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sGuimar\Documents\SESC PANTANAL\SSA\RESTAURANTE BURITIZAL\Varanda\"/>
    </mc:Choice>
  </mc:AlternateContent>
  <bookViews>
    <workbookView xWindow="0" yWindow="0" windowWidth="20490" windowHeight="7755"/>
  </bookViews>
  <sheets>
    <sheet name="res" sheetId="5" r:id="rId1"/>
    <sheet name="Orçamento" sheetId="1" r:id="rId2"/>
    <sheet name="COMPOSIÇÕES" sheetId="2" r:id="rId3"/>
    <sheet name="COMP AUX" sheetId="8" r:id="rId4"/>
    <sheet name="Administração da Obra" sheetId="4" r:id="rId5"/>
    <sheet name="memoria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cab1" localSheetId="3">#REF!</definedName>
    <definedName name="_cab1">#REF!</definedName>
    <definedName name="_xlnm._FilterDatabase" localSheetId="4" hidden="1">'Administração da Obra'!$A$8:$O$22</definedName>
    <definedName name="_xlnm._FilterDatabase" localSheetId="3" hidden="1">'COMP AUX'!#REF!</definedName>
    <definedName name="_xlnm._FilterDatabase" localSheetId="2" hidden="1">COMPOSIÇÕES!#REF!</definedName>
    <definedName name="_JAZ1" localSheetId="3">#REF!</definedName>
    <definedName name="_JAZ1">#REF!</definedName>
    <definedName name="_JAZ11" localSheetId="3">#REF!</definedName>
    <definedName name="_JAZ11">#REF!</definedName>
    <definedName name="_JAZ2" localSheetId="3">#REF!</definedName>
    <definedName name="_JAZ2">#REF!</definedName>
    <definedName name="_JAZ22" localSheetId="3">#REF!</definedName>
    <definedName name="_JAZ22">#REF!</definedName>
    <definedName name="_JAZ3" localSheetId="3">#REF!</definedName>
    <definedName name="_JAZ3">#REF!</definedName>
    <definedName name="_JAZ33" localSheetId="3">#REF!</definedName>
    <definedName name="_JAZ33">#REF!</definedName>
    <definedName name="_Key1" hidden="1">'[1]1.6'!$A$11</definedName>
    <definedName name="_LAG2">[2]SERVIÇOS!$G$26</definedName>
    <definedName name="_Order1" hidden="1">255</definedName>
    <definedName name="_Order2" hidden="1">255</definedName>
    <definedName name="_PAG1">"$#REF!.$C$16"</definedName>
    <definedName name="_PAG10">"$#REF!.$C$26"</definedName>
    <definedName name="_PAG11">"$#REF!.$C$27"</definedName>
    <definedName name="_PAG12">"$#REF!.$C$28"</definedName>
    <definedName name="_PAG13">"$#REF!.$C$21"</definedName>
    <definedName name="_PAG2">"$#REF!.$C$17"</definedName>
    <definedName name="_PAG3">"$#REF!.$C$18"</definedName>
    <definedName name="_PAG4">"$#REF!.$C$19"</definedName>
    <definedName name="_PAG5">"$#REF!.$C$20"</definedName>
    <definedName name="_PAG6">"$#REF!.$C$22"</definedName>
    <definedName name="_PAG7">"$#REF!.$C$23"</definedName>
    <definedName name="_PAG8">"$#REF!.$C$24"</definedName>
    <definedName name="_PAG9">"$#REF!.$C$25"</definedName>
    <definedName name="_RET1" localSheetId="3">#REF!</definedName>
    <definedName name="_RET1">#REF!</definedName>
    <definedName name="_TB10">"'file:///D:/Meus documentos/ANASTÁCIO/SERCEL/BR262990800.xls'#$TLMB.$#REF!$#REF!"</definedName>
    <definedName name="_tb97">"$#REF!.$E$71"</definedName>
    <definedName name="_tbw97">"$#REF!.$E$73"</definedName>
    <definedName name="_TCB4">"$#REF!.$I$26"</definedName>
    <definedName name="_TCC4">"$#REF!.$I$18"</definedName>
    <definedName name="_TEB4">"$#REF!.$I$16"</definedName>
    <definedName name="_TT102" localSheetId="3">'[3]Relatório-1ª med.'!#REF!</definedName>
    <definedName name="_TT102">'[3]Relatório-1ª med.'!#REF!</definedName>
    <definedName name="_TT107" localSheetId="3">'[3]Relatório-1ª med.'!#REF!</definedName>
    <definedName name="_TT107">'[3]Relatório-1ª med.'!#REF!</definedName>
    <definedName name="_TT121" localSheetId="3">'[3]Relatório-1ª med.'!#REF!</definedName>
    <definedName name="_TT121">'[3]Relatório-1ª med.'!#REF!</definedName>
    <definedName name="_TT123" localSheetId="3">'[3]Relatório-1ª med.'!#REF!</definedName>
    <definedName name="_TT123">'[3]Relatório-1ª med.'!#REF!</definedName>
    <definedName name="_TT19" localSheetId="3">'[3]Relatório-1ª med.'!#REF!</definedName>
    <definedName name="_TT19">'[3]Relatório-1ª med.'!#REF!</definedName>
    <definedName name="_TT20" localSheetId="3">'[3]Relatório-1ª med.'!#REF!</definedName>
    <definedName name="_TT20">'[3]Relatório-1ª med.'!#REF!</definedName>
    <definedName name="_TT21" localSheetId="3">'[3]Relatório-1ª med.'!#REF!</definedName>
    <definedName name="_TT21">'[3]Relatório-1ª med.'!#REF!</definedName>
    <definedName name="_TT22" localSheetId="3">'[3]Relatório-1ª med.'!#REF!</definedName>
    <definedName name="_TT22">'[3]Relatório-1ª med.'!#REF!</definedName>
    <definedName name="_TT26" localSheetId="3">'[3]Relatório-1ª med.'!#REF!</definedName>
    <definedName name="_TT26">'[3]Relatório-1ª med.'!#REF!</definedName>
    <definedName name="_TT27" localSheetId="3">'[3]Relatório-1ª med.'!#REF!</definedName>
    <definedName name="_TT27">'[3]Relatório-1ª med.'!#REF!</definedName>
    <definedName name="_TT28" localSheetId="3">'[3]Relatório-1ª med.'!#REF!</definedName>
    <definedName name="_TT28">'[3]Relatório-1ª med.'!#REF!</definedName>
    <definedName name="_TT30" localSheetId="3">'[3]Relatório-1ª med.'!#REF!</definedName>
    <definedName name="_TT30">'[3]Relatório-1ª med.'!#REF!</definedName>
    <definedName name="_TT31" localSheetId="3">'[3]Relatório-1ª med.'!#REF!</definedName>
    <definedName name="_TT31">'[3]Relatório-1ª med.'!#REF!</definedName>
    <definedName name="_TT32" localSheetId="3">'[3]Relatório-1ª med.'!#REF!</definedName>
    <definedName name="_TT32">'[3]Relatório-1ª med.'!#REF!</definedName>
    <definedName name="_TT33" localSheetId="3">'[3]Relatório-1ª med.'!#REF!</definedName>
    <definedName name="_TT33">'[3]Relatório-1ª med.'!#REF!</definedName>
    <definedName name="_TT34" localSheetId="3">'[3]Relatório-1ª med.'!#REF!</definedName>
    <definedName name="_TT34">'[3]Relatório-1ª med.'!#REF!</definedName>
    <definedName name="_TT36" localSheetId="3">'[3]Relatório-1ª med.'!#REF!</definedName>
    <definedName name="_TT36">'[3]Relatório-1ª med.'!#REF!</definedName>
    <definedName name="_TT37" localSheetId="3">'[3]Relatório-1ª med.'!#REF!</definedName>
    <definedName name="_TT37">'[3]Relatório-1ª med.'!#REF!</definedName>
    <definedName name="_TT38" localSheetId="3">'[3]Relatório-1ª med.'!#REF!</definedName>
    <definedName name="_TT38">'[3]Relatório-1ª med.'!#REF!</definedName>
    <definedName name="_TT39" localSheetId="3">'[3]Relatório-1ª med.'!#REF!</definedName>
    <definedName name="_TT39">'[3]Relatório-1ª med.'!#REF!</definedName>
    <definedName name="_TT40" localSheetId="3">'[3]Relatório-1ª med.'!#REF!</definedName>
    <definedName name="_TT40">'[3]Relatório-1ª med.'!#REF!</definedName>
    <definedName name="_TT5" localSheetId="3">'[3]Relatório-1ª med.'!#REF!</definedName>
    <definedName name="_TT5">'[3]Relatório-1ª med.'!#REF!</definedName>
    <definedName name="_TT52" localSheetId="3">'[3]Relatório-1ª med.'!#REF!</definedName>
    <definedName name="_TT52">'[3]Relatório-1ª med.'!#REF!</definedName>
    <definedName name="_TT53" localSheetId="3">'[3]Relatório-1ª med.'!#REF!</definedName>
    <definedName name="_TT53">'[3]Relatório-1ª med.'!#REF!</definedName>
    <definedName name="_TT54" localSheetId="3">'[3]Relatório-1ª med.'!#REF!</definedName>
    <definedName name="_TT54">'[3]Relatório-1ª med.'!#REF!</definedName>
    <definedName name="_TT55" localSheetId="3">'[3]Relatório-1ª med.'!#REF!</definedName>
    <definedName name="_TT55">'[3]Relatório-1ª med.'!#REF!</definedName>
    <definedName name="_TT6" localSheetId="3">'[3]Relatório-1ª med.'!#REF!</definedName>
    <definedName name="_TT6">'[3]Relatório-1ª med.'!#REF!</definedName>
    <definedName name="_TT60" localSheetId="3">'[3]Relatório-1ª med.'!#REF!</definedName>
    <definedName name="_TT60">'[3]Relatório-1ª med.'!#REF!</definedName>
    <definedName name="_TT61" localSheetId="3">'[3]Relatório-1ª med.'!#REF!</definedName>
    <definedName name="_TT61">'[3]Relatório-1ª med.'!#REF!</definedName>
    <definedName name="_TT69" localSheetId="3">'[3]Relatório-1ª med.'!#REF!</definedName>
    <definedName name="_TT69">'[3]Relatório-1ª med.'!#REF!</definedName>
    <definedName name="_TT7" localSheetId="3">'[3]Relatório-1ª med.'!#REF!</definedName>
    <definedName name="_TT7">'[3]Relatório-1ª med.'!#REF!</definedName>
    <definedName name="_TT70" localSheetId="3">'[3]Relatório-1ª med.'!#REF!</definedName>
    <definedName name="_TT70">'[3]Relatório-1ª med.'!#REF!</definedName>
    <definedName name="_TT71" localSheetId="3">'[3]Relatório-1ª med.'!#REF!</definedName>
    <definedName name="_TT71">'[3]Relatório-1ª med.'!#REF!</definedName>
    <definedName name="_TT74" localSheetId="3">'[3]Relatório-1ª med.'!#REF!</definedName>
    <definedName name="_TT74">'[3]Relatório-1ª med.'!#REF!</definedName>
    <definedName name="_TT75" localSheetId="3">'[3]Relatório-1ª med.'!#REF!</definedName>
    <definedName name="_TT75">'[3]Relatório-1ª med.'!#REF!</definedName>
    <definedName name="_TT76" localSheetId="3">'[3]Relatório-1ª med.'!#REF!</definedName>
    <definedName name="_TT76">'[3]Relatório-1ª med.'!#REF!</definedName>
    <definedName name="_TT77" localSheetId="3">'[3]Relatório-1ª med.'!#REF!</definedName>
    <definedName name="_TT77">'[3]Relatório-1ª med.'!#REF!</definedName>
    <definedName name="_TT78" localSheetId="3">'[3]Relatório-1ª med.'!#REF!</definedName>
    <definedName name="_TT78">'[3]Relatório-1ª med.'!#REF!</definedName>
    <definedName name="_TT79" localSheetId="3">'[3]Relatório-1ª med.'!#REF!</definedName>
    <definedName name="_TT79">'[3]Relatório-1ª med.'!#REF!</definedName>
    <definedName name="_TT94" localSheetId="3">'[3]Relatório-1ª med.'!#REF!</definedName>
    <definedName name="_TT94">'[3]Relatório-1ª med.'!#REF!</definedName>
    <definedName name="_TT95" localSheetId="3">'[3]Relatório-1ª med.'!#REF!</definedName>
    <definedName name="_TT95">'[3]Relatório-1ª med.'!#REF!</definedName>
    <definedName name="_TT97" localSheetId="3">'[3]Relatório-1ª med.'!#REF!</definedName>
    <definedName name="_TT97">'[3]Relatório-1ª med.'!#REF!</definedName>
    <definedName name="alex" localSheetId="4" hidden="1">{#N/A,#N/A,FALSE,"MO (2)"}</definedName>
    <definedName name="alex" hidden="1">{#N/A,#N/A,FALSE,"MO (2)"}</definedName>
    <definedName name="AND" localSheetId="3">#REF!</definedName>
    <definedName name="AND">#REF!</definedName>
    <definedName name="ant" localSheetId="4" hidden="1">{#N/A,#N/A,FALSE,"MO (2)"}</definedName>
    <definedName name="ant" hidden="1">{#N/A,#N/A,FALSE,"MO (2)"}</definedName>
    <definedName name="AQCAP20">"$#REF!.$I$15"</definedName>
    <definedName name="AQCM30">"$#REF!.$I$16"</definedName>
    <definedName name="AQRM1C">"$#REF!.$I$18"</definedName>
    <definedName name="AQRR1C">"$#REF!.$I$17"</definedName>
    <definedName name="area_base">[4]Base!$U$40</definedName>
    <definedName name="_xlnm.Print_Area" localSheetId="4">'Administração da Obra'!$A$1:$O$63</definedName>
    <definedName name="_xlnm.Print_Area" localSheetId="3">'COMP AUX'!$A$1:$I$806</definedName>
    <definedName name="_xlnm.Print_Area" localSheetId="2">COMPOSIÇÕES!$A$1:$H$876</definedName>
    <definedName name="_xlnm.Print_Area" localSheetId="1">Orçamento!$B$1:$H$61</definedName>
    <definedName name="_xlnm.Print_Area" localSheetId="0">res!$A$1:$D$33</definedName>
    <definedName name="_xlnm.Print_Area">#REF!</definedName>
    <definedName name="ASFALTO" localSheetId="3">#REF!</definedName>
    <definedName name="ASFALTO" localSheetId="2">#REF!</definedName>
    <definedName name="ASFALTO">#REF!</definedName>
    <definedName name="ATUAL">"$#REF!.$F$29"</definedName>
    <definedName name="AUTO">"$#REF!.$D$12"</definedName>
    <definedName name="bbbb" localSheetId="4" hidden="1">{#N/A,#N/A,FALSE,"MO (2)"}</definedName>
    <definedName name="bbbb" hidden="1">{#N/A,#N/A,FALSE,"MO (2)"}</definedName>
    <definedName name="BR">[5]Croqui!$B$3</definedName>
    <definedName name="BRZ">[6]ORÇAMENTO!$B$4</definedName>
    <definedName name="cab_cortes" localSheetId="3">#REF!</definedName>
    <definedName name="cab_cortes">#REF!</definedName>
    <definedName name="cab_dmt" localSheetId="3">#REF!</definedName>
    <definedName name="cab_dmt">#REF!</definedName>
    <definedName name="cab_limpeza" localSheetId="3">#REF!</definedName>
    <definedName name="cab_limpeza">#REF!</definedName>
    <definedName name="cab_pmf" localSheetId="3">#REF!</definedName>
    <definedName name="cab_pmf">#REF!</definedName>
    <definedName name="cabmeio" localSheetId="3">#REF!</definedName>
    <definedName name="cabmeio">#REF!</definedName>
    <definedName name="CAIA">"'file:///D:/Meus documentos/ANASTÁCIO/SERCEL/BR262990800.xls'#$SERVIÇOS.$#REF!$#REF!"</definedName>
    <definedName name="CAMI">"$#REF!.$D$13"</definedName>
    <definedName name="CAP20W">"$#REF!.$J$14"</definedName>
    <definedName name="CAP20WA">"$#REF!.$J$13"</definedName>
    <definedName name="CAPSEL">[2]SERVIÇOS!$G$25</definedName>
    <definedName name="CAPTOTAL">"$#REF!.$J$12"</definedName>
    <definedName name="CARRO">'[5]CALCULOS AUXILIARES'!$E$12</definedName>
    <definedName name="CCP">[6]SERVIÇOS!$G$59</definedName>
    <definedName name="CCPW">"$#REF!.$E$34"</definedName>
    <definedName name="CCPWA">"$#REF!.$E$33"</definedName>
    <definedName name="CD">[6]SERVIÇOS!$G$13</definedName>
    <definedName name="CD97A">"$#REF!.$H$80"</definedName>
    <definedName name="CD97AW">"$#REF!.$H$82"</definedName>
    <definedName name="CDW">"$#REF!.$H$41"</definedName>
    <definedName name="CDWA">"$#REF!.$H$40"</definedName>
    <definedName name="CM">"$#REF!.$O$31"</definedName>
    <definedName name="CM30W">"$#REF!.$I$14"</definedName>
    <definedName name="CM30WA">"$#REF!.$I$13"</definedName>
    <definedName name="CMTOTAL">"$#REF!.$I$12"</definedName>
    <definedName name="CMW">"$#REF!.$O$33"</definedName>
    <definedName name="CMWA">"$#REF!.$O$32"</definedName>
    <definedName name="CODIGO" localSheetId="3">#REF!</definedName>
    <definedName name="CODIGO" localSheetId="2">#REF!</definedName>
    <definedName name="CODIGO">#REF!</definedName>
    <definedName name="CONTR">[6]SERVIÇOS!$I$5</definedName>
    <definedName name="Cron" localSheetId="4" hidden="1">{#N/A,#N/A,FALSE,"MO (2)"}</definedName>
    <definedName name="Cron" hidden="1">{#N/A,#N/A,FALSE,"MO (2)"}</definedName>
    <definedName name="cronograma" localSheetId="4" hidden="1">{#N/A,#N/A,TRUE,"Plan1"}</definedName>
    <definedName name="cronograma" localSheetId="3" hidden="1">{#N/A,#N/A,TRUE,"Plan1"}</definedName>
    <definedName name="cronograma" localSheetId="2" hidden="1">{#N/A,#N/A,TRUE,"Plan1"}</definedName>
    <definedName name="cronograma" localSheetId="0" hidden="1">{#N/A,#N/A,TRUE,"Plan1"}</definedName>
    <definedName name="cronograma" hidden="1">{#N/A,#N/A,TRUE,"Plan1"}</definedName>
    <definedName name="cronograma1" localSheetId="3" hidden="1">{#N/A,#N/A,TRUE,"Plan1"}</definedName>
    <definedName name="cronograma1" localSheetId="2" hidden="1">{#N/A,#N/A,TRUE,"Plan1"}</definedName>
    <definedName name="cronograma1" localSheetId="0" hidden="1">{#N/A,#N/A,TRUE,"Plan1"}</definedName>
    <definedName name="cronograma1" hidden="1">{#N/A,#N/A,TRUE,"Plan1"}</definedName>
    <definedName name="data" localSheetId="3">#REF!</definedName>
    <definedName name="data">#REF!</definedName>
    <definedName name="DCA">"$#REF!.$E$31"</definedName>
    <definedName name="DCAW">"$#REF!.$E$33"</definedName>
    <definedName name="densidade_cap" localSheetId="3">#REF!</definedName>
    <definedName name="densidade_cap">#REF!</definedName>
    <definedName name="DIA">"$#REF!.$H$4"</definedName>
    <definedName name="DMT" localSheetId="3">#REF!</definedName>
    <definedName name="DMT" localSheetId="2">#REF!</definedName>
    <definedName name="DMT">#REF!</definedName>
    <definedName name="DMT_0_50" localSheetId="3">#REF!</definedName>
    <definedName name="DMT_0_50">#REF!</definedName>
    <definedName name="DMT_1000" localSheetId="3">#REF!</definedName>
    <definedName name="DMT_1000">#REF!</definedName>
    <definedName name="DMT_200" localSheetId="3">#REF!</definedName>
    <definedName name="DMT_200">#REF!</definedName>
    <definedName name="DMT_200_400" localSheetId="3">#REF!</definedName>
    <definedName name="DMT_200_400">#REF!</definedName>
    <definedName name="DMT_400" localSheetId="3">#REF!</definedName>
    <definedName name="DMT_400">#REF!</definedName>
    <definedName name="DMT_400_600" localSheetId="3">#REF!</definedName>
    <definedName name="DMT_400_600">#REF!</definedName>
    <definedName name="DMT_50" localSheetId="3">#REF!</definedName>
    <definedName name="DMT_50">#REF!</definedName>
    <definedName name="DMT_50_200" localSheetId="3">#REF!</definedName>
    <definedName name="DMT_50_200">#REF!</definedName>
    <definedName name="DMT_600" localSheetId="3">#REF!</definedName>
    <definedName name="DMT_600">#REF!</definedName>
    <definedName name="DMT_800" localSheetId="3">#REF!</definedName>
    <definedName name="DMT_800">#REF!</definedName>
    <definedName name="DNIT1">[5]Pato!$A$1</definedName>
    <definedName name="drena" localSheetId="3">#REF!</definedName>
    <definedName name="drena">#REF!</definedName>
    <definedName name="DTMED">"$#REF!.$C$8"</definedName>
    <definedName name="EA">[6]SERVIÇOS!$G$32</definedName>
    <definedName name="ee" localSheetId="3">[7]reg_mec_fx_dm_!#REF!</definedName>
    <definedName name="ee" localSheetId="2">[7]reg_mec_fx_dm_!#REF!</definedName>
    <definedName name="ee">[8]reg_mec_fx_dm_!#REF!</definedName>
    <definedName name="EM">"$#REF!.$E$30"</definedName>
    <definedName name="EMP">[6]SERVIÇOS!$I$6</definedName>
    <definedName name="Empo" localSheetId="3">#REF!</definedName>
    <definedName name="Empo">#REF!</definedName>
    <definedName name="Empolamento" localSheetId="3">#REF!</definedName>
    <definedName name="Empolamento">#REF!</definedName>
    <definedName name="EMW">"$#REF!.$E$32"</definedName>
    <definedName name="EMWA">"$#REF!.$E$31"</definedName>
    <definedName name="EU" localSheetId="4" hidden="1">{#N/A,#N/A,FALSE,"MO (2)"}</definedName>
    <definedName name="EU" hidden="1">{#N/A,#N/A,FALSE,"MO (2)"}</definedName>
    <definedName name="Excel_BuiltIn_Print_Area_2">"$Quad_Quant_.$#REF!$#REF!:$#REF!$#REF!"</definedName>
    <definedName name="Excel_BuiltIn_Print_Area_7" localSheetId="3">[7]reg_mec_fx_dm_!#REF!</definedName>
    <definedName name="Excel_BuiltIn_Print_Area_7" localSheetId="2">[7]reg_mec_fx_dm_!#REF!</definedName>
    <definedName name="Excel_BuiltIn_Print_Area_7">[8]reg_mec_fx_dm_!#REF!</definedName>
    <definedName name="EXT" localSheetId="3">#REF!</definedName>
    <definedName name="EXT" localSheetId="2">#REF!</definedName>
    <definedName name="EXT">#REF!</definedName>
    <definedName name="EXTENSÃO">[5]Croqui!$A$7</definedName>
    <definedName name="EXTENSÃO1">[5]Croqui!$B$7</definedName>
    <definedName name="FAT" localSheetId="3">#REF!</definedName>
    <definedName name="FAT" localSheetId="2">#REF!</definedName>
    <definedName name="FAT">#REF!</definedName>
    <definedName name="FCT" localSheetId="3">#REF!</definedName>
    <definedName name="FCT" localSheetId="2">#REF!</definedName>
    <definedName name="FCT">#REF!</definedName>
    <definedName name="FE">"'file:///D:/Meus documentos/ANASTÁCIO/SERCEL/BR262990800.xls'#$SERVIÇOS.$#REF!$#REF!"</definedName>
    <definedName name="fgff" localSheetId="4" hidden="1">{#N/A,#N/A,FALSE,"MO (2)"}</definedName>
    <definedName name="fgff" hidden="1">{#N/A,#N/A,FALSE,"MO (2)"}</definedName>
    <definedName name="FM">"$#REF!.$E$31"</definedName>
    <definedName name="FMW">"$#REF!.$E$33"</definedName>
    <definedName name="FMWA">"$#REF!.$E$32"</definedName>
    <definedName name="GP">"'file:///D:/Meus documentos/ANASTÁCIO/SERCEL/BR262990800.xls'#$SERVIÇOS.$#REF!$#REF!"</definedName>
    <definedName name="IND" localSheetId="3">#REF!</definedName>
    <definedName name="IND" localSheetId="2">#REF!</definedName>
    <definedName name="IND">#REF!</definedName>
    <definedName name="INDI22" localSheetId="3">#REF!</definedName>
    <definedName name="INDI22">#REF!</definedName>
    <definedName name="inic" localSheetId="3">#REF!</definedName>
    <definedName name="inic">#REF!</definedName>
    <definedName name="koae" localSheetId="3">#REF!</definedName>
    <definedName name="koae">#REF!</definedName>
    <definedName name="kpavi" localSheetId="3">#REF!</definedName>
    <definedName name="kpavi">#REF!</definedName>
    <definedName name="kterra" localSheetId="3">#REF!</definedName>
    <definedName name="kterra">#REF!</definedName>
    <definedName name="la" localSheetId="4" hidden="1">{#N/A,#N/A,FALSE,"MO (2)"}</definedName>
    <definedName name="la" hidden="1">{#N/A,#N/A,FALSE,"MO (2)"}</definedName>
    <definedName name="LDD">"'file:///D:/Meus documentos/ANASTÁCIO/SERCEL/BR262990800.xls'#$SERVIÇOS.$#REF!$#REF!"</definedName>
    <definedName name="LDI" localSheetId="3">#REF!</definedName>
    <definedName name="LDI" localSheetId="2">#REF!</definedName>
    <definedName name="LDI">#REF!</definedName>
    <definedName name="LOCAL">"$#REF!.$D$5"</definedName>
    <definedName name="LOTE">[5]Croqui!$I$6</definedName>
    <definedName name="LP">"$#REF!.$E$28"</definedName>
    <definedName name="LPW">"$#REF!.$E$30"</definedName>
    <definedName name="LPWA">"$#REF!.$E$29"</definedName>
    <definedName name="LS">"$#REF!.$E$27"</definedName>
    <definedName name="LSW">"$#REF!.$E$29"</definedName>
    <definedName name="LSWA">"$#REF!.$E$28"</definedName>
    <definedName name="LVC">"'file:///D:/Meus documentos/ANASTÁCIO/SERCEL/BR262990800.xls'#$SERVIÇOS.$#REF!$#REF!"</definedName>
    <definedName name="LVD">"'file:///D:/Meus documentos/ANASTÁCIO/SERCEL/BR262990800.xls'#$SERVIÇOS.$#REF!$#REF!"</definedName>
    <definedName name="m" localSheetId="3">#REF!</definedName>
    <definedName name="m" localSheetId="0">'[9]materiais drenagem'!$C$14</definedName>
    <definedName name="m">#REF!</definedName>
    <definedName name="MATBET" localSheetId="3">#REF!</definedName>
    <definedName name="MATBET" localSheetId="2">#REF!</definedName>
    <definedName name="MATBET">#REF!</definedName>
    <definedName name="MBQ">[6]SERVIÇOS!$G$57</definedName>
    <definedName name="MBR">"$#REF!.$I$34"</definedName>
    <definedName name="MBUF">"$#REF!.$D$12"</definedName>
    <definedName name="MBUFW">"$#REF!.$D$14"</definedName>
    <definedName name="MBUFWA">"$#REF!.$D$13"</definedName>
    <definedName name="MBUQ">"$#REF!.$E$12"</definedName>
    <definedName name="MBUQW">"$#REF!.$E$14"</definedName>
    <definedName name="MBUQWA">"$#REF!.$E$13"</definedName>
    <definedName name="MD">[6]SERVIÇOS!$G$60</definedName>
    <definedName name="MEIO_FIO" localSheetId="3">#REF!</definedName>
    <definedName name="MEIO_FIO">#REF!</definedName>
    <definedName name="MES">"$#REF!.$C$4"</definedName>
    <definedName name="MÊS" localSheetId="3">#REF!</definedName>
    <definedName name="MÊS" localSheetId="2">#REF!</definedName>
    <definedName name="MÊS">#REF!</definedName>
    <definedName name="mo_base">[4]Base!$U$39</definedName>
    <definedName name="mo_sub_base">'[4]Sub-base'!$U$36</definedName>
    <definedName name="NUMED">"$#REF!.$C$3"</definedName>
    <definedName name="oac" localSheetId="3">#REF!</definedName>
    <definedName name="oac">#REF!</definedName>
    <definedName name="oae" localSheetId="3">#REF!</definedName>
    <definedName name="oae">#REF!</definedName>
    <definedName name="ocom" localSheetId="3">#REF!</definedName>
    <definedName name="ocom">#REF!</definedName>
    <definedName name="Orçamento" localSheetId="3">[10]Orçamento!$A$13:$D$34</definedName>
    <definedName name="Orçamento" localSheetId="2">[10]Orçamento!$A$13:$D$34</definedName>
    <definedName name="Orçamento">[11]Orçamento!$A$13:$D$34</definedName>
    <definedName name="PATO" localSheetId="3">#REF!</definedName>
    <definedName name="PATO" localSheetId="2">#REF!</definedName>
    <definedName name="PATO">#REF!</definedName>
    <definedName name="PAVI" localSheetId="3">#REF!</definedName>
    <definedName name="PAVI">#REF!</definedName>
    <definedName name="PCAIA">"'file:///D:/Meus documentos/ANASTÁCIO/SERCEL/BR262990800.xls'#$SERVIÇOS.$#REF!$#REF!"</definedName>
    <definedName name="PEN">[2]SERVIÇOS!$G$59</definedName>
    <definedName name="PG">"$#REF!.$C$1"</definedName>
    <definedName name="PGP">"'file:///D:/Meus documentos/ANASTÁCIO/SERCEL/BR262990800.xls'#$SERVIÇOS.$#REF!$#REF!"</definedName>
    <definedName name="PL">"$#REF!.$F$12"</definedName>
    <definedName name="plano" localSheetId="3">#REF!</definedName>
    <definedName name="plano">#REF!</definedName>
    <definedName name="PLCD">"$#REF!.$L$39"</definedName>
    <definedName name="PLCD97">"$#REF!.$L$80"</definedName>
    <definedName name="PLDD">"'file:///D:/Meus documentos/ANASTÁCIO/SERCEL/BR262990800.xls'#$SERVIÇOS.$#REF!$#REF!"</definedName>
    <definedName name="PLIQ">"$#REF!.$C$5"</definedName>
    <definedName name="pliq1">"$#REF!.$C$6"</definedName>
    <definedName name="PLMBUQ">"$#REF!.$L$32"</definedName>
    <definedName name="PLVC">"'file:///D:/Meus documentos/ANASTÁCIO/SERCEL/BR262990800.xls'#$SERVIÇOS.$#REF!$#REF!"</definedName>
    <definedName name="PLVD">"'file:///D:/Meus documentos/ANASTÁCIO/SERCEL/BR262990800.xls'#$SERVIÇOS.$#REF!$#REF!"</definedName>
    <definedName name="PLW">"$#REF!.$F$14"</definedName>
    <definedName name="PLWA">"$#REF!.$F$13"</definedName>
    <definedName name="PRDM">"'file:///D:/Meus documentos/ANASTÁCIO/SERCEL/BR262990800.xls'#$SERVIÇOS.$#REF!$#REF!"</definedName>
    <definedName name="Print_Area_MI" localSheetId="3">#REF!</definedName>
    <definedName name="Print_Area_MI" localSheetId="2">#REF!</definedName>
    <definedName name="Print_Area_MI">#REF!</definedName>
    <definedName name="PRINT_TITLES_MI" localSheetId="3">#REF!</definedName>
    <definedName name="PRINT_TITLES_MI" localSheetId="2">#REF!</definedName>
    <definedName name="PRINT_TITLES_MI">#REF!</definedName>
    <definedName name="PRMCC">"'file:///D:/Meus documentos/ANASTÁCIO/SERCEL/BR262990800.xls'#$SERVIÇOS.$#REF!$#REF!"</definedName>
    <definedName name="PRRMBF">"'file:///D:/Meus documentos/ANASTÁCIO/SERCEL/BR262990800.xls'#$SERVIÇOS.$#REF!$#REF!"</definedName>
    <definedName name="QUANT_acumu" localSheetId="3">#REF!</definedName>
    <definedName name="QUANT_acumu">#REF!</definedName>
    <definedName name="RDM">"'file:///D:/Meus documentos/ANASTÁCIO/SERCEL/BR262990800.xls'#$SERVIÇOS.$#REF!$#REF!"</definedName>
    <definedName name="rea" localSheetId="3">#REF!</definedName>
    <definedName name="rea">#REF!</definedName>
    <definedName name="REAJ">"$#REF!.$F$16"</definedName>
    <definedName name="REG" localSheetId="3">#REF!</definedName>
    <definedName name="REG">#REF!</definedName>
    <definedName name="REGULA" localSheetId="3">#REF!</definedName>
    <definedName name="REGULA">#REF!</definedName>
    <definedName name="RELATÓRIO_DOS_SERVIÇOS_EXECUTADOS" localSheetId="3">#REF!</definedName>
    <definedName name="RELATÓRIO_DOS_SERVIÇOS_EXECUTADOS">#REF!</definedName>
    <definedName name="resumo" localSheetId="3" hidden="1">{#N/A,#N/A,TRUE,"Plan1"}</definedName>
    <definedName name="resumo" localSheetId="2" hidden="1">{#N/A,#N/A,TRUE,"Plan1"}</definedName>
    <definedName name="resumo" localSheetId="0" hidden="1">{#N/A,#N/A,TRUE,"Plan1"}</definedName>
    <definedName name="resumo" hidden="1">{#N/A,#N/A,TRUE,"Plan1"}</definedName>
    <definedName name="resumou" localSheetId="4" hidden="1">{#N/A,#N/A,TRUE,"Plan1"}</definedName>
    <definedName name="resumou" localSheetId="3" hidden="1">{#N/A,#N/A,TRUE,"Plan1"}</definedName>
    <definedName name="resumou" localSheetId="2" hidden="1">{#N/A,#N/A,TRUE,"Plan1"}</definedName>
    <definedName name="resumou" localSheetId="0" hidden="1">{#N/A,#N/A,TRUE,"Plan1"}</definedName>
    <definedName name="resumou" hidden="1">{#N/A,#N/A,TRUE,"Plan1"}</definedName>
    <definedName name="RM">"$#REF!.$E$31"</definedName>
    <definedName name="RM1CW">"$#REF!.$G$14"</definedName>
    <definedName name="RM1CWA">"$#REF!.$G$13"</definedName>
    <definedName name="RMA">"$#REF!.$E$28"</definedName>
    <definedName name="RMAW">"$#REF!.$E$30"</definedName>
    <definedName name="RMAWA">"$#REF!.$E$29"</definedName>
    <definedName name="RMCC">"'file:///D:/Meus documentos/ANASTÁCIO/SERCEL/BR262990800.xls'#$SERVIÇOS.$#REF!$#REF!"</definedName>
    <definedName name="RMCCW">"$#REF!.$J$33"</definedName>
    <definedName name="RMCCWA">"$#REF!.$J$32"</definedName>
    <definedName name="RMTOTAL">"$#REF!.$G$12"</definedName>
    <definedName name="RMW">"$#REF!.$E$33"</definedName>
    <definedName name="RMWA">"$#REF!.$E$32"</definedName>
    <definedName name="RMZ">"'file:///D:/Meus documentos/ANASTÁCIO/SERCEL/BR262990800.xls'#$SERVIÇOS.$#REF!$#REF!"</definedName>
    <definedName name="RMZW">"$#REF!.$J$30"</definedName>
    <definedName name="RMZWA">"$#REF!.$J$29"</definedName>
    <definedName name="RODOVIA" localSheetId="3">#REF!</definedName>
    <definedName name="RODOVIA" localSheetId="2">#REF!</definedName>
    <definedName name="RODOVIA">#REF!</definedName>
    <definedName name="RP">[6]SERVIÇOS!$G$12</definedName>
    <definedName name="RPW">"$#REF!.$K$36"</definedName>
    <definedName name="RPWA">"$#REF!.$K$35"</definedName>
    <definedName name="RPZ">"'file:///D:/Meus documentos/ANASTÁCIO/SERCEL/BR262990800.xls'#$SERVIÇOS.$#REF!$#REF!"</definedName>
    <definedName name="RR1CW">"$#REF!.$H$14"</definedName>
    <definedName name="RR1CWA">"$#REF!.$H$13"</definedName>
    <definedName name="RRMBF">"'file:///D:/Meus documentos/ANASTÁCIO/SERCEL/BR262990800.xls'#$SERVIÇOS.$#REF!$#REF!"</definedName>
    <definedName name="RRMBUQ">"$#REF!.$H$32"</definedName>
    <definedName name="RRMBUQW">"$#REF!.$H$34"</definedName>
    <definedName name="RRMBUQWA">"$#REF!.$H$33"</definedName>
    <definedName name="RRTOTAL">"$#REF!.$H$12"</definedName>
    <definedName name="rz">[6]SERVIÇOS!$G$37</definedName>
    <definedName name="SASA" localSheetId="4" hidden="1">{#N/A,#N/A,FALSE,"MO (2)"}</definedName>
    <definedName name="SASA" hidden="1">{#N/A,#N/A,FALSE,"MO (2)"}</definedName>
    <definedName name="SASASA" localSheetId="4" hidden="1">{#N/A,#N/A,FALSE,"MO (2)"}</definedName>
    <definedName name="SASASA" hidden="1">{#N/A,#N/A,FALSE,"MO (2)"}</definedName>
    <definedName name="SB">"'file:///D:/Meus documentos/ANASTÁCIO/SERCEL/BR262990800.xls'#$SERVIÇOS.$#REF!$#REF!"</definedName>
    <definedName name="SBRP">"'file:///D:/Meus documentos/ANASTÁCIO/SERCEL/BR262990800.xls'#$SERVIÇOS.$#REF!$#REF!"</definedName>
    <definedName name="SCB">[6]SERVIÇOS!$G$55</definedName>
    <definedName name="SEGMENTO" localSheetId="3">#REF!</definedName>
    <definedName name="SEGMENTO" localSheetId="2">#REF!</definedName>
    <definedName name="SEGMENTO">#REF!</definedName>
    <definedName name="SERV">"$#REF!.$C$7"</definedName>
    <definedName name="Serviços" localSheetId="3">[12]Serviços!$A$3:$AF$1403</definedName>
    <definedName name="Serviços" localSheetId="2">[12]Serviços!$A$3:$AF$1403</definedName>
    <definedName name="Serviços">[13]Serviços!$A$3:$AF$1403</definedName>
    <definedName name="SM">"$#REF!.$J$34"</definedName>
    <definedName name="SMW">"$#REF!.$J$36"</definedName>
    <definedName name="SMWA">"$#REF!.$J$35"</definedName>
    <definedName name="SRROO">[5]Croqui!$I$4</definedName>
    <definedName name="SS" localSheetId="4" hidden="1">{#N/A,#N/A,FALSE,"MO (2)"}</definedName>
    <definedName name="SS" hidden="1">{#N/A,#N/A,FALSE,"MO (2)"}</definedName>
    <definedName name="SSS" localSheetId="4" hidden="1">{#N/A,#N/A,FALSE,"MO (2)"}</definedName>
    <definedName name="SSS" hidden="1">{#N/A,#N/A,FALSE,"MO (2)"}</definedName>
    <definedName name="STR">[6]ORÇAMENTO!$B$6</definedName>
    <definedName name="SUBT1" localSheetId="3">#REF!</definedName>
    <definedName name="SUBT1" localSheetId="2">#REF!</definedName>
    <definedName name="SUBT1">#REF!</definedName>
    <definedName name="SUBTRECHO" localSheetId="3">#REF!</definedName>
    <definedName name="SUBTRECHO" localSheetId="2">#REF!</definedName>
    <definedName name="SUBTRECHO">#REF!</definedName>
    <definedName name="SUBTRECHO1">[5]Croqui!$B$6</definedName>
    <definedName name="TABELA">"$#REF!.$B$32"</definedName>
    <definedName name="Tachas" localSheetId="4" hidden="1">{#N/A,#N/A,TRUE,"Plan1"}</definedName>
    <definedName name="Tachas" hidden="1">{#N/A,#N/A,TRUE,"Plan1"}</definedName>
    <definedName name="taxa_cap" localSheetId="3">#REF!</definedName>
    <definedName name="taxa_cap">#REF!</definedName>
    <definedName name="TB">[6]SERVIÇOS!$G$11</definedName>
    <definedName name="TBW">"$#REF!.$E$33"</definedName>
    <definedName name="TBWA">"$#REF!.$E$32"</definedName>
    <definedName name="TCB">"$#REF!.$G$31"</definedName>
    <definedName name="TCB10M3" localSheetId="3">#REF!</definedName>
    <definedName name="TCB10M3" localSheetId="2">#REF!</definedName>
    <definedName name="TCB10M3">#REF!</definedName>
    <definedName name="TCB5M3">"$#REF!.$J$32"</definedName>
    <definedName name="TCBMBUQ">"$#REF!.$K$32"</definedName>
    <definedName name="TCBW">"$#REF!.$G$33"</definedName>
    <definedName name="TCBWA">"$#REF!.$G$32"</definedName>
    <definedName name="TCC">"$#REF!.$G$44"</definedName>
    <definedName name="TCC4TCONCR">"$#REF!.$I$32"</definedName>
    <definedName name="TCC4TFORMA">"$#REF!.$H$31"</definedName>
    <definedName name="TCCBRMZ">"$#REF!.$M$28"</definedName>
    <definedName name="TCCW">"$#REF!.$G$46"</definedName>
    <definedName name="TCCWA">"$#REF!.$G$45"</definedName>
    <definedName name="TEB">"$#REF!.$G$16"</definedName>
    <definedName name="TEBW">"$#REF!.$G$18"</definedName>
    <definedName name="TEBWA">"$#REF!.$G$17"</definedName>
    <definedName name="TECD">"$#REF!.$K$39"</definedName>
    <definedName name="TECD97">"$#REF!.$K$80"</definedName>
    <definedName name="TERP">"$#REF!.$P$34"</definedName>
    <definedName name="terra" localSheetId="3">#REF!</definedName>
    <definedName name="terra">#REF!</definedName>
    <definedName name="TESM">"$#REF!.$Q$34"</definedName>
    <definedName name="TETB">"$#REF!.$H$30"</definedName>
    <definedName name="TETB97">"$#REF!.$H$70"</definedName>
    <definedName name="_xlnm.Print_Titles" localSheetId="1">Orçamento!$3:$4</definedName>
    <definedName name="TLC4T" localSheetId="3">#REF!</definedName>
    <definedName name="TLC4T" localSheetId="2">#REF!</definedName>
    <definedName name="TLC4T">#REF!</definedName>
    <definedName name="TLMR" localSheetId="3">#REF!</definedName>
    <definedName name="TLMR" localSheetId="2">#REF!</definedName>
    <definedName name="TLMR">#REF!</definedName>
    <definedName name="TR">[6]ORÇAMENTO!$B$5</definedName>
    <definedName name="TRABALHO" localSheetId="3">#REF!</definedName>
    <definedName name="TRABALHO" localSheetId="2">#REF!</definedName>
    <definedName name="TRABALHO">#REF!</definedName>
    <definedName name="TRCAP20">"$#REF!.$I$27"</definedName>
    <definedName name="TRCM30">"$#REF!.$I$28"</definedName>
    <definedName name="TRECHO" localSheetId="3">#REF!</definedName>
    <definedName name="TRECHO" localSheetId="2">#REF!</definedName>
    <definedName name="TRECHO">#REF!</definedName>
    <definedName name="TRECHO1">[5]Croqui!$B$5</definedName>
    <definedName name="TRRM1C">"$#REF!.$I$30"</definedName>
    <definedName name="TRRR1C">"$#REF!.$I$29"</definedName>
    <definedName name="TS2C">"'file:///D:/Meus documentos/ANASTÁCIO/SERCEL/BR262990800.xls'#$TLMB.$#REF!$#REF!"</definedName>
    <definedName name="TSD">"'file:///D:/Meus documentos/ANASTÁCIO/SERCEL/BR262990800.xls'#$SERVIÇOS.$#REF!$#REF!"</definedName>
    <definedName name="VACAP">"$#REF!.$D$38"</definedName>
    <definedName name="VACM">"$#REF!.$D$37"</definedName>
    <definedName name="VARM">"$#REF!.$D$36"</definedName>
    <definedName name="VARR">"$#REF!.$D$34"</definedName>
    <definedName name="VLM">"$#REF!.$#REF!$#REF!"</definedName>
    <definedName name="VLPI">"$#REF!.$#REF!$#REF!"</definedName>
    <definedName name="VLREAJ">"$#REF!.$#REF!$#REF!"</definedName>
    <definedName name="vvv" localSheetId="4" hidden="1">{#N/A,#N/A,FALSE,"MO (2)"}</definedName>
    <definedName name="vvv" hidden="1">{#N/A,#N/A,FALSE,"MO (2)"}</definedName>
    <definedName name="w" localSheetId="3" hidden="1">{#N/A,#N/A,TRUE,"Plan1"}</definedName>
    <definedName name="w" localSheetId="2" hidden="1">{#N/A,#N/A,TRUE,"Plan1"}</definedName>
    <definedName name="w" localSheetId="0" hidden="1">{#N/A,#N/A,TRUE,"Plan1"}</definedName>
    <definedName name="w" hidden="1">{#N/A,#N/A,TRUE,"Plan1"}</definedName>
    <definedName name="wrn.mo2." localSheetId="4" hidden="1">{#N/A,#N/A,FALSE,"MO (2)"}</definedName>
    <definedName name="wrn.mo2." hidden="1">{#N/A,#N/A,FALSE,"MO (2)"}</definedName>
    <definedName name="wrn.relext." localSheetId="4" hidden="1">{#N/A,#N/A,TRUE,"Plan1"}</definedName>
    <definedName name="wrn.relext." localSheetId="3" hidden="1">{#N/A,#N/A,TRUE,"Plan1"}</definedName>
    <definedName name="wrn.relext." localSheetId="2" hidden="1">{#N/A,#N/A,TRUE,"Plan1"}</definedName>
    <definedName name="wrn.relext." localSheetId="0" hidden="1">{#N/A,#N/A,TRUE,"Plan1"}</definedName>
    <definedName name="wrn.relext." hidden="1">{#N/A,#N/A,TRUE,"Plan1"}</definedName>
    <definedName name="ww" localSheetId="3">[7]reg_mec_fx_dm_!#REF!</definedName>
    <definedName name="ww" localSheetId="2">[7]reg_mec_fx_dm_!#REF!</definedName>
    <definedName name="ww">[8]reg_mec_fx_dm_!#REF!</definedName>
    <definedName name="Y" localSheetId="4" hidden="1">{#N/A,#N/A,FALSE,"MO (2)"}</definedName>
    <definedName name="Y" hidden="1">{#N/A,#N/A,FALSE,"MO (2)"}</definedName>
    <definedName name="z" localSheetId="4" hidden="1">{#N/A,#N/A,FALSE,"MO (2)"}</definedName>
    <definedName name="z" hidden="1">{#N/A,#N/A,FALSE,"MO (2)"}</definedName>
    <definedName name="zaza" localSheetId="4" hidden="1">{#N/A,#N/A,FALSE,"MO (2)"}</definedName>
    <definedName name="zaza" hidden="1">{#N/A,#N/A,FALSE,"MO (2)"}</definedName>
  </definedNames>
  <calcPr calcId="152511"/>
</workbook>
</file>

<file path=xl/calcChain.xml><?xml version="1.0" encoding="utf-8"?>
<calcChain xmlns="http://schemas.openxmlformats.org/spreadsheetml/2006/main">
  <c r="C18" i="5" l="1"/>
  <c r="B18" i="5"/>
  <c r="C16" i="5"/>
  <c r="B16" i="5"/>
  <c r="C14" i="5"/>
  <c r="B14" i="5"/>
  <c r="A14" i="5"/>
  <c r="C12" i="5"/>
  <c r="B12" i="5"/>
  <c r="A12" i="5"/>
  <c r="C10" i="5"/>
  <c r="B10" i="5"/>
  <c r="A10" i="5"/>
  <c r="C8" i="5"/>
  <c r="C6" i="5"/>
  <c r="B82" i="7" l="1"/>
  <c r="M227" i="2" l="1"/>
  <c r="M226" i="2"/>
  <c r="F541" i="2" l="1"/>
  <c r="F246" i="2"/>
  <c r="F226" i="2"/>
  <c r="F30" i="1"/>
  <c r="E82" i="7" l="1"/>
  <c r="F31" i="1"/>
  <c r="G82" i="7"/>
  <c r="K82" i="7" s="1"/>
  <c r="E79" i="7"/>
  <c r="F208" i="2" l="1"/>
  <c r="G208" i="2" s="1"/>
  <c r="F360" i="8"/>
  <c r="G400" i="8"/>
  <c r="G402" i="8" s="1"/>
  <c r="G403" i="8" s="1"/>
  <c r="F359" i="8"/>
  <c r="G390" i="8"/>
  <c r="G392" i="8" s="1"/>
  <c r="G393" i="8" s="1"/>
  <c r="G380" i="8"/>
  <c r="G382" i="8" s="1"/>
  <c r="G383" i="8" s="1"/>
  <c r="F358" i="8" s="1"/>
  <c r="F357" i="8"/>
  <c r="G357" i="8" s="1"/>
  <c r="G370" i="8"/>
  <c r="G372" i="8" s="1"/>
  <c r="G373" i="8" s="1"/>
  <c r="J357" i="8"/>
  <c r="G360" i="8"/>
  <c r="G359" i="8"/>
  <c r="K58" i="7"/>
  <c r="I58" i="7"/>
  <c r="B52" i="7"/>
  <c r="G53" i="7" s="1"/>
  <c r="B48" i="7"/>
  <c r="G49" i="7" s="1"/>
  <c r="B41" i="7"/>
  <c r="G42" i="7" s="1"/>
  <c r="E21" i="7"/>
  <c r="I19" i="7"/>
  <c r="G23" i="7"/>
  <c r="E23" i="7"/>
  <c r="G21" i="7"/>
  <c r="E19" i="7"/>
  <c r="E16" i="7"/>
  <c r="G37" i="7"/>
  <c r="E37" i="7"/>
  <c r="G38" i="7"/>
  <c r="E38" i="7"/>
  <c r="E32" i="7"/>
  <c r="E6" i="7"/>
  <c r="E5" i="7"/>
  <c r="G5" i="7"/>
  <c r="E4" i="7"/>
  <c r="G4" i="7"/>
  <c r="I38" i="7" l="1"/>
  <c r="I37" i="7"/>
  <c r="M14" i="7"/>
  <c r="B14" i="7" s="1"/>
  <c r="G79" i="2"/>
  <c r="I39" i="7" l="1"/>
  <c r="B37" i="7" s="1"/>
  <c r="E53" i="7" s="1"/>
  <c r="E49" i="7"/>
  <c r="I49" i="7" s="1"/>
  <c r="B49" i="7" s="1"/>
  <c r="K559" i="2"/>
  <c r="K560" i="2" l="1"/>
  <c r="F559" i="2" s="1"/>
  <c r="K781" i="2" l="1"/>
  <c r="G598" i="2" l="1"/>
  <c r="G578" i="2"/>
  <c r="G577" i="2"/>
  <c r="G559" i="2"/>
  <c r="G541" i="2"/>
  <c r="G540" i="2"/>
  <c r="G791" i="8"/>
  <c r="G513" i="2"/>
  <c r="G512" i="2"/>
  <c r="G773" i="8"/>
  <c r="G761" i="8"/>
  <c r="G760" i="8"/>
  <c r="G452" i="2"/>
  <c r="G438" i="2"/>
  <c r="G424" i="2"/>
  <c r="G423" i="2"/>
  <c r="F629" i="2"/>
  <c r="G629" i="2" s="1"/>
  <c r="G630" i="2"/>
  <c r="G631" i="2"/>
  <c r="G632" i="2"/>
  <c r="G633" i="2"/>
  <c r="G409" i="2"/>
  <c r="G395" i="2"/>
  <c r="G394" i="2"/>
  <c r="G384" i="2"/>
  <c r="G383" i="2"/>
  <c r="F369" i="2"/>
  <c r="G369" i="2" s="1"/>
  <c r="F368" i="2"/>
  <c r="G368" i="2" s="1"/>
  <c r="F740" i="8"/>
  <c r="G740" i="8" s="1"/>
  <c r="G741" i="8" s="1"/>
  <c r="G743" i="8" s="1"/>
  <c r="F853" i="2" s="1"/>
  <c r="F750" i="8"/>
  <c r="G750" i="8" s="1"/>
  <c r="G751" i="8" s="1"/>
  <c r="G753" i="8" s="1"/>
  <c r="F870" i="2" s="1"/>
  <c r="F863" i="2" l="1"/>
  <c r="G863" i="2" s="1"/>
  <c r="F846" i="2"/>
  <c r="G846" i="2" s="1"/>
  <c r="G870" i="2"/>
  <c r="G867" i="2"/>
  <c r="F366" i="2" s="1"/>
  <c r="G366" i="2" s="1"/>
  <c r="G866" i="2"/>
  <c r="G865" i="2"/>
  <c r="G864" i="2"/>
  <c r="G853" i="2"/>
  <c r="G850" i="2"/>
  <c r="G849" i="2"/>
  <c r="G848" i="2"/>
  <c r="G847" i="2"/>
  <c r="F730" i="8"/>
  <c r="G730" i="8" s="1"/>
  <c r="F720" i="8"/>
  <c r="G720" i="8" s="1"/>
  <c r="G721" i="8" s="1"/>
  <c r="G723" i="8" s="1"/>
  <c r="F836" i="2" s="1"/>
  <c r="G836" i="2" s="1"/>
  <c r="F829" i="2"/>
  <c r="G829" i="2" s="1"/>
  <c r="G833" i="2"/>
  <c r="G832" i="2"/>
  <c r="G831" i="2"/>
  <c r="G830" i="2"/>
  <c r="F812" i="2"/>
  <c r="G812" i="2" s="1"/>
  <c r="G816" i="2"/>
  <c r="G815" i="2"/>
  <c r="G814" i="2"/>
  <c r="G813" i="2"/>
  <c r="F710" i="8"/>
  <c r="G710" i="8" s="1"/>
  <c r="G711" i="8" s="1"/>
  <c r="G713" i="8" s="1"/>
  <c r="F802" i="2" s="1"/>
  <c r="F795" i="2"/>
  <c r="G795" i="2" s="1"/>
  <c r="G799" i="2"/>
  <c r="G798" i="2"/>
  <c r="G797" i="2"/>
  <c r="G796" i="2"/>
  <c r="F700" i="8"/>
  <c r="G700" i="8" s="1"/>
  <c r="G701" i="8" s="1"/>
  <c r="G703" i="8" s="1"/>
  <c r="F768" i="2" s="1"/>
  <c r="F690" i="8"/>
  <c r="G690" i="8" s="1"/>
  <c r="G691" i="8" s="1"/>
  <c r="G693" i="8" s="1"/>
  <c r="F785" i="2" s="1"/>
  <c r="F778" i="2"/>
  <c r="G778" i="2" s="1"/>
  <c r="G782" i="2"/>
  <c r="G781" i="2"/>
  <c r="G780" i="2"/>
  <c r="G779" i="2"/>
  <c r="G295" i="2"/>
  <c r="G667" i="8"/>
  <c r="G657" i="8"/>
  <c r="G647" i="8"/>
  <c r="G649" i="8" s="1"/>
  <c r="G637" i="8"/>
  <c r="G639" i="8" s="1"/>
  <c r="F627" i="8"/>
  <c r="G627" i="8" s="1"/>
  <c r="G628" i="8" s="1"/>
  <c r="G630" i="8" s="1"/>
  <c r="F617" i="8" s="1"/>
  <c r="F611" i="8"/>
  <c r="G611" i="8" s="1"/>
  <c r="G615" i="8"/>
  <c r="G614" i="8"/>
  <c r="G613" i="8"/>
  <c r="G612" i="8"/>
  <c r="G271" i="2"/>
  <c r="G272" i="2"/>
  <c r="G273" i="2"/>
  <c r="F761" i="2"/>
  <c r="G270" i="2"/>
  <c r="G269" i="2"/>
  <c r="G268" i="2"/>
  <c r="G650" i="8" l="1"/>
  <c r="G659" i="8"/>
  <c r="G660" i="8" s="1"/>
  <c r="F600" i="8" s="1"/>
  <c r="G600" i="8" s="1"/>
  <c r="G617" i="8"/>
  <c r="G618" i="8" s="1"/>
  <c r="G669" i="8"/>
  <c r="G670" i="8" s="1"/>
  <c r="F601" i="8" s="1"/>
  <c r="G601" i="8" s="1"/>
  <c r="G871" i="2"/>
  <c r="F355" i="2" s="1"/>
  <c r="G355" i="2" s="1"/>
  <c r="G854" i="2"/>
  <c r="F353" i="2" s="1"/>
  <c r="G353" i="2" s="1"/>
  <c r="G837" i="2"/>
  <c r="F560" i="2" s="1"/>
  <c r="G560" i="2" s="1"/>
  <c r="G731" i="8"/>
  <c r="G733" i="8" s="1"/>
  <c r="F819" i="2" s="1"/>
  <c r="G819" i="2" s="1"/>
  <c r="G820" i="2" s="1"/>
  <c r="G802" i="2"/>
  <c r="G803" i="2" s="1"/>
  <c r="G785" i="2"/>
  <c r="G786" i="2" s="1"/>
  <c r="F289" i="2" s="1"/>
  <c r="G289" i="2" s="1"/>
  <c r="G640" i="8"/>
  <c r="G575" i="8"/>
  <c r="G577" i="8" s="1"/>
  <c r="G578" i="8" s="1"/>
  <c r="F535" i="8" s="1"/>
  <c r="G535" i="8" s="1"/>
  <c r="G565" i="8"/>
  <c r="G567" i="8" s="1"/>
  <c r="G568" i="8" s="1"/>
  <c r="F534" i="8" s="1"/>
  <c r="G534" i="8" s="1"/>
  <c r="G555" i="8"/>
  <c r="G557" i="8" s="1"/>
  <c r="G558" i="8" s="1"/>
  <c r="F533" i="8" s="1"/>
  <c r="G533" i="8" s="1"/>
  <c r="G545" i="8"/>
  <c r="G547" i="8" s="1"/>
  <c r="G548" i="8" s="1"/>
  <c r="F532" i="8" s="1"/>
  <c r="G532" i="8" s="1"/>
  <c r="G190" i="2"/>
  <c r="G189" i="2"/>
  <c r="G188" i="2"/>
  <c r="F544" i="2" l="1"/>
  <c r="G544" i="2" s="1"/>
  <c r="F562" i="2"/>
  <c r="G562" i="2" s="1"/>
  <c r="G564" i="2" s="1"/>
  <c r="F787" i="8"/>
  <c r="F542" i="2"/>
  <c r="G542" i="2" s="1"/>
  <c r="F516" i="2"/>
  <c r="G516" i="2" s="1"/>
  <c r="F789" i="8"/>
  <c r="F774" i="8"/>
  <c r="G774" i="8" s="1"/>
  <c r="F514" i="2"/>
  <c r="G514" i="2" s="1"/>
  <c r="F762" i="8"/>
  <c r="G762" i="8" s="1"/>
  <c r="G764" i="8" s="1"/>
  <c r="F776" i="8"/>
  <c r="G776" i="8" s="1"/>
  <c r="F596" i="8"/>
  <c r="G596" i="8" s="1"/>
  <c r="G602" i="8" s="1"/>
  <c r="F677" i="8"/>
  <c r="G677" i="8" s="1"/>
  <c r="G681" i="8" s="1"/>
  <c r="F598" i="8"/>
  <c r="G598" i="8" s="1"/>
  <c r="F679" i="8"/>
  <c r="G679" i="8" s="1"/>
  <c r="F599" i="8"/>
  <c r="G599" i="8" s="1"/>
  <c r="F680" i="8"/>
  <c r="G680" i="8" s="1"/>
  <c r="F441" i="2"/>
  <c r="G441" i="2" s="1"/>
  <c r="F455" i="2"/>
  <c r="G455" i="2" s="1"/>
  <c r="F439" i="2"/>
  <c r="G439" i="2" s="1"/>
  <c r="F453" i="2"/>
  <c r="G453" i="2" s="1"/>
  <c r="F410" i="2"/>
  <c r="G410" i="2" s="1"/>
  <c r="F425" i="2"/>
  <c r="G425" i="2" s="1"/>
  <c r="F412" i="2"/>
  <c r="G412" i="2" s="1"/>
  <c r="F427" i="2"/>
  <c r="G427" i="2" s="1"/>
  <c r="F342" i="2"/>
  <c r="G342" i="2" s="1"/>
  <c r="F398" i="2"/>
  <c r="G398" i="2" s="1"/>
  <c r="G357" i="2"/>
  <c r="F340" i="2"/>
  <c r="G340" i="2" s="1"/>
  <c r="F396" i="2"/>
  <c r="G396" i="2" s="1"/>
  <c r="F585" i="8"/>
  <c r="G585" i="8" s="1"/>
  <c r="F586" i="8"/>
  <c r="G586" i="8" s="1"/>
  <c r="G588" i="8" s="1"/>
  <c r="G589" i="8" s="1"/>
  <c r="G537" i="8"/>
  <c r="G538" i="8" s="1"/>
  <c r="G455" i="8"/>
  <c r="G457" i="8" s="1"/>
  <c r="G458" i="8" s="1"/>
  <c r="F415" i="8" s="1"/>
  <c r="G415" i="8" s="1"/>
  <c r="G445" i="8"/>
  <c r="G447" i="8" s="1"/>
  <c r="G448" i="8" s="1"/>
  <c r="F414" i="8" s="1"/>
  <c r="G414" i="8" s="1"/>
  <c r="G358" i="8" s="1"/>
  <c r="G362" i="8" s="1"/>
  <c r="G363" i="8" s="1"/>
  <c r="G435" i="8"/>
  <c r="G437" i="8" s="1"/>
  <c r="G438" i="8" s="1"/>
  <c r="F413" i="8" s="1"/>
  <c r="G413" i="8" s="1"/>
  <c r="G425" i="8"/>
  <c r="G427" i="8" s="1"/>
  <c r="G765" i="2"/>
  <c r="G764" i="2"/>
  <c r="G763" i="2"/>
  <c r="G762" i="2"/>
  <c r="G761" i="2"/>
  <c r="G164" i="2"/>
  <c r="G163" i="2"/>
  <c r="G504" i="8"/>
  <c r="G768" i="2" s="1"/>
  <c r="G518" i="8"/>
  <c r="F186" i="2" l="1"/>
  <c r="G186" i="2" s="1"/>
  <c r="F187" i="2"/>
  <c r="G187" i="2" s="1"/>
  <c r="G546" i="2"/>
  <c r="B550" i="2" s="1"/>
  <c r="B568" i="2"/>
  <c r="G778" i="8"/>
  <c r="F470" i="2" s="1"/>
  <c r="G470" i="2" s="1"/>
  <c r="G518" i="2"/>
  <c r="F491" i="2" s="1"/>
  <c r="F468" i="2"/>
  <c r="G468" i="2" s="1"/>
  <c r="F527" i="2"/>
  <c r="G527" i="2" s="1"/>
  <c r="G443" i="2"/>
  <c r="F493" i="2" s="1"/>
  <c r="G493" i="2" s="1"/>
  <c r="F311" i="2"/>
  <c r="G311" i="2" s="1"/>
  <c r="F483" i="2"/>
  <c r="G483" i="2" s="1"/>
  <c r="F293" i="2"/>
  <c r="G293" i="2" s="1"/>
  <c r="F266" i="2"/>
  <c r="G266" i="2" s="1"/>
  <c r="F291" i="2"/>
  <c r="G291" i="2" s="1"/>
  <c r="F264" i="2"/>
  <c r="G264" i="2" s="1"/>
  <c r="G414" i="2"/>
  <c r="G344" i="2"/>
  <c r="G429" i="2"/>
  <c r="F319" i="2" s="1"/>
  <c r="G319" i="2" s="1"/>
  <c r="G400" i="2"/>
  <c r="F487" i="2" s="1"/>
  <c r="G487" i="2" s="1"/>
  <c r="F468" i="8"/>
  <c r="G468" i="8" s="1"/>
  <c r="G428" i="8"/>
  <c r="G769" i="2"/>
  <c r="F494" i="8"/>
  <c r="G494" i="8" s="1"/>
  <c r="G495" i="8" s="1"/>
  <c r="G497" i="8" s="1"/>
  <c r="F734" i="2" s="1"/>
  <c r="G734" i="2" s="1"/>
  <c r="F727" i="2"/>
  <c r="G727" i="2" s="1"/>
  <c r="G731" i="2"/>
  <c r="G730" i="2"/>
  <c r="G729" i="2"/>
  <c r="G728" i="2"/>
  <c r="F484" i="8"/>
  <c r="G484" i="8" s="1"/>
  <c r="G485" i="8" s="1"/>
  <c r="G487" i="8" s="1"/>
  <c r="F751" i="2" s="1"/>
  <c r="G751" i="2" s="1"/>
  <c r="F744" i="2"/>
  <c r="G744" i="2" s="1"/>
  <c r="G748" i="2"/>
  <c r="G747" i="2"/>
  <c r="G746" i="2"/>
  <c r="G745" i="2"/>
  <c r="G142" i="2"/>
  <c r="G141" i="2"/>
  <c r="G336" i="8"/>
  <c r="G338" i="8" s="1"/>
  <c r="G339" i="8" s="1"/>
  <c r="F296" i="8" s="1"/>
  <c r="G296" i="8" s="1"/>
  <c r="G326" i="8"/>
  <c r="G328" i="8" s="1"/>
  <c r="G329" i="8" s="1"/>
  <c r="F295" i="8" s="1"/>
  <c r="G295" i="8" s="1"/>
  <c r="G316" i="8"/>
  <c r="G318" i="8" s="1"/>
  <c r="G319" i="8" s="1"/>
  <c r="F294" i="8" s="1"/>
  <c r="G294" i="8" s="1"/>
  <c r="G306" i="8"/>
  <c r="G308" i="8" s="1"/>
  <c r="G309" i="8" s="1"/>
  <c r="F283" i="8"/>
  <c r="G283" i="8" s="1"/>
  <c r="G284" i="8" s="1"/>
  <c r="G286" i="8" s="1"/>
  <c r="F273" i="8" s="1"/>
  <c r="G273" i="8" s="1"/>
  <c r="F267" i="8"/>
  <c r="G267" i="8" s="1"/>
  <c r="G271" i="8"/>
  <c r="G270" i="8"/>
  <c r="G269" i="8"/>
  <c r="G268" i="8"/>
  <c r="G251" i="8"/>
  <c r="G250" i="8"/>
  <c r="G249" i="8"/>
  <c r="G224" i="8"/>
  <c r="G226" i="8" s="1"/>
  <c r="G227" i="8" s="1"/>
  <c r="F158" i="8" s="1"/>
  <c r="G214" i="8"/>
  <c r="G216" i="8" s="1"/>
  <c r="G217" i="8" s="1"/>
  <c r="F157" i="8" s="1"/>
  <c r="G204" i="8"/>
  <c r="G206" i="8" s="1"/>
  <c r="G207" i="8" s="1"/>
  <c r="F156" i="8" s="1"/>
  <c r="G472" i="2" l="1"/>
  <c r="F325" i="2" s="1"/>
  <c r="G325" i="2" s="1"/>
  <c r="F321" i="2"/>
  <c r="G321" i="2" s="1"/>
  <c r="F317" i="2"/>
  <c r="G317" i="2" s="1"/>
  <c r="F489" i="2"/>
  <c r="G489" i="2" s="1"/>
  <c r="F309" i="2"/>
  <c r="G309" i="2" s="1"/>
  <c r="F481" i="2"/>
  <c r="G481" i="2" s="1"/>
  <c r="F315" i="2"/>
  <c r="G315" i="2" s="1"/>
  <c r="F260" i="2"/>
  <c r="G260" i="2" s="1"/>
  <c r="F467" i="8"/>
  <c r="G467" i="8" s="1"/>
  <c r="F412" i="8"/>
  <c r="G412" i="8" s="1"/>
  <c r="F293" i="8"/>
  <c r="G293" i="8" s="1"/>
  <c r="G298" i="8" s="1"/>
  <c r="F346" i="8"/>
  <c r="G346" i="8" s="1"/>
  <c r="F347" i="8"/>
  <c r="G347" i="8" s="1"/>
  <c r="G735" i="2"/>
  <c r="F167" i="2" s="1"/>
  <c r="G752" i="2"/>
  <c r="F505" i="8" s="1"/>
  <c r="G505" i="8" s="1"/>
  <c r="G274" i="8"/>
  <c r="F238" i="8"/>
  <c r="G238" i="8" s="1"/>
  <c r="G194" i="8"/>
  <c r="F184" i="8"/>
  <c r="G184" i="8" s="1"/>
  <c r="G185" i="8" s="1"/>
  <c r="F168" i="8"/>
  <c r="G168" i="8" s="1"/>
  <c r="G172" i="8"/>
  <c r="G171" i="8"/>
  <c r="G170" i="8"/>
  <c r="G169" i="8"/>
  <c r="G157" i="8"/>
  <c r="G100" i="2"/>
  <c r="B18" i="2"/>
  <c r="G13" i="2"/>
  <c r="G12" i="2"/>
  <c r="G11" i="2"/>
  <c r="G10" i="2"/>
  <c r="G9" i="2"/>
  <c r="G8" i="2"/>
  <c r="G7" i="2"/>
  <c r="F184" i="2" l="1"/>
  <c r="G184" i="2" s="1"/>
  <c r="F521" i="8"/>
  <c r="G521" i="8" s="1"/>
  <c r="F507" i="8"/>
  <c r="G507" i="8" s="1"/>
  <c r="G509" i="8" s="1"/>
  <c r="F519" i="8"/>
  <c r="G519" i="8" s="1"/>
  <c r="F145" i="2"/>
  <c r="G145" i="2" s="1"/>
  <c r="G349" i="8"/>
  <c r="G350" i="8" s="1"/>
  <c r="F257" i="8" s="1"/>
  <c r="G257" i="8" s="1"/>
  <c r="F143" i="2"/>
  <c r="G143" i="2" s="1"/>
  <c r="F254" i="8"/>
  <c r="G254" i="8" s="1"/>
  <c r="G196" i="8"/>
  <c r="G197" i="8" s="1"/>
  <c r="G187" i="8"/>
  <c r="F174" i="8" s="1"/>
  <c r="G174" i="8" s="1"/>
  <c r="G156" i="8"/>
  <c r="G15" i="2"/>
  <c r="G16" i="2" s="1"/>
  <c r="B17" i="2" s="1"/>
  <c r="B19" i="2" s="1"/>
  <c r="B20" i="2" s="1"/>
  <c r="G8" i="1" s="1"/>
  <c r="B32" i="2"/>
  <c r="G27" i="2"/>
  <c r="G29" i="2" s="1"/>
  <c r="G30" i="2" s="1"/>
  <c r="B31" i="2" s="1"/>
  <c r="G143" i="8"/>
  <c r="G142" i="8"/>
  <c r="G132" i="8"/>
  <c r="G131" i="8"/>
  <c r="G121" i="8"/>
  <c r="G120" i="8"/>
  <c r="F75" i="8"/>
  <c r="G75" i="8" s="1"/>
  <c r="G76" i="8" s="1"/>
  <c r="G78" i="8" s="1"/>
  <c r="F700" i="2" s="1"/>
  <c r="G700" i="2" s="1"/>
  <c r="F695" i="2"/>
  <c r="G695" i="2" s="1"/>
  <c r="G699" i="2"/>
  <c r="G698" i="2"/>
  <c r="G697" i="2"/>
  <c r="G696" i="2"/>
  <c r="F95" i="8"/>
  <c r="G95" i="8" s="1"/>
  <c r="G96" i="8" s="1"/>
  <c r="G98" i="8" s="1"/>
  <c r="F717" i="2" s="1"/>
  <c r="G717" i="2" s="1"/>
  <c r="G714" i="2"/>
  <c r="G713" i="2"/>
  <c r="G712" i="2"/>
  <c r="G711" i="2"/>
  <c r="F710" i="2"/>
  <c r="G710" i="2" s="1"/>
  <c r="F55" i="8"/>
  <c r="G55" i="8" s="1"/>
  <c r="G42" i="2"/>
  <c r="G43" i="2"/>
  <c r="G44" i="2"/>
  <c r="G41" i="2"/>
  <c r="F680" i="2"/>
  <c r="F65" i="8"/>
  <c r="G56" i="8" l="1"/>
  <c r="G58" i="8" s="1"/>
  <c r="F670" i="2" s="1"/>
  <c r="G523" i="8"/>
  <c r="F147" i="2" s="1"/>
  <c r="G147" i="2" s="1"/>
  <c r="G149" i="2" s="1"/>
  <c r="G145" i="8"/>
  <c r="G146" i="8" s="1"/>
  <c r="F109" i="8" s="1"/>
  <c r="G109" i="8" s="1"/>
  <c r="G158" i="8"/>
  <c r="F237" i="8"/>
  <c r="G237" i="8" s="1"/>
  <c r="G134" i="8"/>
  <c r="G135" i="8" s="1"/>
  <c r="F108" i="8" s="1"/>
  <c r="G108" i="8" s="1"/>
  <c r="G123" i="8"/>
  <c r="G124" i="8" s="1"/>
  <c r="F107" i="8" s="1"/>
  <c r="G107" i="8" s="1"/>
  <c r="F155" i="8"/>
  <c r="G155" i="8" s="1"/>
  <c r="G175" i="8"/>
  <c r="B33" i="2"/>
  <c r="B34" i="2" s="1"/>
  <c r="G9" i="1" s="1"/>
  <c r="G702" i="2"/>
  <c r="F106" i="8" s="1"/>
  <c r="G106" i="8" s="1"/>
  <c r="G701" i="2"/>
  <c r="G718" i="2"/>
  <c r="F85" i="8"/>
  <c r="G85" i="8" s="1"/>
  <c r="G86" i="8" s="1"/>
  <c r="G88" i="8" s="1"/>
  <c r="F653" i="2" s="1"/>
  <c r="G65" i="8"/>
  <c r="G66" i="8" s="1"/>
  <c r="G68" i="8" s="1"/>
  <c r="F685" i="2" s="1"/>
  <c r="G685" i="2" s="1"/>
  <c r="G684" i="2"/>
  <c r="G683" i="2"/>
  <c r="G682" i="2"/>
  <c r="G681" i="2"/>
  <c r="G680" i="2"/>
  <c r="F206" i="2" l="1"/>
  <c r="G206" i="2" s="1"/>
  <c r="F222" i="2"/>
  <c r="F581" i="2"/>
  <c r="G581" i="2" s="1"/>
  <c r="F465" i="8"/>
  <c r="G465" i="8" s="1"/>
  <c r="G469" i="8" s="1"/>
  <c r="F410" i="8"/>
  <c r="G410" i="8" s="1"/>
  <c r="G416" i="8" s="1"/>
  <c r="B153" i="2"/>
  <c r="F101" i="2"/>
  <c r="G101" i="2" s="1"/>
  <c r="F122" i="2"/>
  <c r="G122" i="2" s="1"/>
  <c r="G111" i="8"/>
  <c r="F235" i="8"/>
  <c r="G235" i="8" s="1"/>
  <c r="G239" i="8" s="1"/>
  <c r="F84" i="2" s="1"/>
  <c r="G84" i="2" s="1"/>
  <c r="F153" i="8"/>
  <c r="G153" i="8" s="1"/>
  <c r="G159" i="8" s="1"/>
  <c r="F82" i="2" s="1"/>
  <c r="G82" i="2" s="1"/>
  <c r="G703" i="2"/>
  <c r="G491" i="2" s="1"/>
  <c r="F105" i="8"/>
  <c r="G105" i="8" s="1"/>
  <c r="G110" i="8" s="1"/>
  <c r="F62" i="2"/>
  <c r="G62" i="2" s="1"/>
  <c r="G687" i="2"/>
  <c r="G686" i="2"/>
  <c r="F663" i="2"/>
  <c r="G663" i="2" s="1"/>
  <c r="G667" i="2"/>
  <c r="G666" i="2"/>
  <c r="G665" i="2"/>
  <c r="G664" i="2"/>
  <c r="F45" i="8"/>
  <c r="G45" i="8" s="1"/>
  <c r="F646" i="2"/>
  <c r="G646" i="2" s="1"/>
  <c r="G650" i="2"/>
  <c r="G649" i="2"/>
  <c r="G648" i="2"/>
  <c r="G647" i="2"/>
  <c r="G35" i="8"/>
  <c r="G34" i="8"/>
  <c r="G33" i="8"/>
  <c r="G32" i="8"/>
  <c r="G31" i="8"/>
  <c r="G30" i="8"/>
  <c r="G29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F107" i="2" l="1"/>
  <c r="G107" i="2" s="1"/>
  <c r="F105" i="2"/>
  <c r="G105" i="2" s="1"/>
  <c r="G112" i="8"/>
  <c r="G688" i="2"/>
  <c r="G46" i="8"/>
  <c r="G48" i="8" s="1"/>
  <c r="G670" i="2" s="1"/>
  <c r="G671" i="2" s="1"/>
  <c r="G37" i="8"/>
  <c r="G38" i="8" s="1"/>
  <c r="G21" i="8"/>
  <c r="G22" i="8" s="1"/>
  <c r="G246" i="2"/>
  <c r="G245" i="2"/>
  <c r="G226" i="2"/>
  <c r="G36" i="4"/>
  <c r="I79" i="7"/>
  <c r="I61" i="7"/>
  <c r="G61" i="7"/>
  <c r="F204" i="2" l="1"/>
  <c r="G204" i="2" s="1"/>
  <c r="G209" i="2" s="1"/>
  <c r="B213" i="2" s="1"/>
  <c r="K79" i="7"/>
  <c r="B77" i="7" s="1"/>
  <c r="F80" i="2"/>
  <c r="G80" i="2" s="1"/>
  <c r="G86" i="2" s="1"/>
  <c r="F614" i="2"/>
  <c r="G614" i="2" s="1"/>
  <c r="G616" i="2" s="1"/>
  <c r="B620" i="2" s="1"/>
  <c r="F579" i="2"/>
  <c r="G579" i="2" s="1"/>
  <c r="F599" i="2"/>
  <c r="G599" i="2" s="1"/>
  <c r="F616" i="8"/>
  <c r="G616" i="8" s="1"/>
  <c r="G619" i="8" s="1"/>
  <c r="F818" i="2"/>
  <c r="G818" i="2" s="1"/>
  <c r="F869" i="2"/>
  <c r="G869" i="2" s="1"/>
  <c r="F852" i="2"/>
  <c r="G852" i="2" s="1"/>
  <c r="F801" i="2"/>
  <c r="G801" i="2" s="1"/>
  <c r="F750" i="2"/>
  <c r="G750" i="2" s="1"/>
  <c r="F784" i="2"/>
  <c r="G784" i="2" s="1"/>
  <c r="F835" i="2"/>
  <c r="G835" i="2" s="1"/>
  <c r="F767" i="2"/>
  <c r="G767" i="2" s="1"/>
  <c r="F732" i="2"/>
  <c r="G732" i="2" s="1"/>
  <c r="F868" i="2"/>
  <c r="G868" i="2" s="1"/>
  <c r="F817" i="2"/>
  <c r="G817" i="2" s="1"/>
  <c r="F800" i="2"/>
  <c r="G800" i="2" s="1"/>
  <c r="G804" i="2" s="1"/>
  <c r="F749" i="2"/>
  <c r="G749" i="2" s="1"/>
  <c r="F783" i="2"/>
  <c r="G783" i="2" s="1"/>
  <c r="G787" i="2" s="1"/>
  <c r="F834" i="2"/>
  <c r="G834" i="2" s="1"/>
  <c r="F851" i="2"/>
  <c r="G851" i="2" s="1"/>
  <c r="G787" i="8" s="1"/>
  <c r="F766" i="2"/>
  <c r="G766" i="2" s="1"/>
  <c r="F381" i="2"/>
  <c r="G381" i="2" s="1"/>
  <c r="G385" i="2" s="1"/>
  <c r="F182" i="2"/>
  <c r="G182" i="2" s="1"/>
  <c r="G191" i="2" s="1"/>
  <c r="B195" i="2" s="1"/>
  <c r="F287" i="2"/>
  <c r="G287" i="2" s="1"/>
  <c r="G296" i="2" s="1"/>
  <c r="B300" i="2" s="1"/>
  <c r="F252" i="8"/>
  <c r="G252" i="8" s="1"/>
  <c r="G258" i="8" s="1"/>
  <c r="F126" i="2" s="1"/>
  <c r="G126" i="2" s="1"/>
  <c r="F165" i="2"/>
  <c r="G165" i="2" s="1"/>
  <c r="F733" i="2"/>
  <c r="G733" i="2" s="1"/>
  <c r="F173" i="8"/>
  <c r="G173" i="8" s="1"/>
  <c r="F272" i="8"/>
  <c r="G272" i="8" s="1"/>
  <c r="G275" i="8" s="1"/>
  <c r="F103" i="2"/>
  <c r="G103" i="2" s="1"/>
  <c r="G109" i="2" s="1"/>
  <c r="B113" i="2" s="1"/>
  <c r="F124" i="2"/>
  <c r="G124" i="2" s="1"/>
  <c r="F715" i="2"/>
  <c r="G715" i="2" s="1"/>
  <c r="F668" i="2"/>
  <c r="G668" i="2" s="1"/>
  <c r="F669" i="2"/>
  <c r="G669" i="2" s="1"/>
  <c r="F716" i="2"/>
  <c r="G716" i="2" s="1"/>
  <c r="F64" i="2"/>
  <c r="G64" i="2" s="1"/>
  <c r="G66" i="2" s="1"/>
  <c r="F224" i="2"/>
  <c r="G224" i="2" s="1"/>
  <c r="F47" i="2"/>
  <c r="G47" i="2" s="1"/>
  <c r="F652" i="2"/>
  <c r="G652" i="2" s="1"/>
  <c r="F635" i="2"/>
  <c r="G635" i="2" s="1"/>
  <c r="F634" i="2"/>
  <c r="G634" i="2" s="1"/>
  <c r="F651" i="2"/>
  <c r="G651" i="2" s="1"/>
  <c r="F636" i="2"/>
  <c r="G636" i="2" s="1"/>
  <c r="G637" i="2" s="1"/>
  <c r="G653" i="2"/>
  <c r="G176" i="8" l="1"/>
  <c r="F466" i="8" s="1"/>
  <c r="G466" i="8" s="1"/>
  <c r="G470" i="8" s="1"/>
  <c r="G471" i="8" s="1"/>
  <c r="F185" i="2"/>
  <c r="G185" i="2" s="1"/>
  <c r="B90" i="2"/>
  <c r="G601" i="2"/>
  <c r="B605" i="2" s="1"/>
  <c r="F370" i="2"/>
  <c r="G370" i="2" s="1"/>
  <c r="G372" i="2" s="1"/>
  <c r="F485" i="2" s="1"/>
  <c r="G485" i="2" s="1"/>
  <c r="F583" i="2"/>
  <c r="G583" i="2" s="1"/>
  <c r="G585" i="2" s="1"/>
  <c r="B589" i="2" s="1"/>
  <c r="F457" i="2"/>
  <c r="G457" i="2" s="1"/>
  <c r="G459" i="2" s="1"/>
  <c r="F495" i="2" s="1"/>
  <c r="G495" i="2" s="1"/>
  <c r="G838" i="2"/>
  <c r="G789" i="8"/>
  <c r="G792" i="8" s="1"/>
  <c r="F529" i="2" s="1"/>
  <c r="G529" i="2" s="1"/>
  <c r="G531" i="2" s="1"/>
  <c r="F497" i="2" s="1"/>
  <c r="G497" i="2" s="1"/>
  <c r="G736" i="2"/>
  <c r="F168" i="2" s="1"/>
  <c r="G855" i="2"/>
  <c r="F354" i="2" s="1"/>
  <c r="G354" i="2" s="1"/>
  <c r="G753" i="2"/>
  <c r="F520" i="8" s="1"/>
  <c r="G520" i="8" s="1"/>
  <c r="F290" i="2"/>
  <c r="G290" i="2" s="1"/>
  <c r="G788" i="2"/>
  <c r="G821" i="2"/>
  <c r="F367" i="2"/>
  <c r="G367" i="2" s="1"/>
  <c r="G872" i="2"/>
  <c r="G805" i="2"/>
  <c r="G770" i="2"/>
  <c r="G620" i="8"/>
  <c r="F678" i="8"/>
  <c r="G678" i="8" s="1"/>
  <c r="G682" i="8" s="1"/>
  <c r="F597" i="8"/>
  <c r="G597" i="8" s="1"/>
  <c r="G603" i="8" s="1"/>
  <c r="F236" i="8"/>
  <c r="G236" i="8" s="1"/>
  <c r="G240" i="8" s="1"/>
  <c r="F411" i="8"/>
  <c r="G411" i="8" s="1"/>
  <c r="G417" i="8" s="1"/>
  <c r="G128" i="2"/>
  <c r="B132" i="2" s="1"/>
  <c r="G167" i="2"/>
  <c r="G169" i="2" s="1"/>
  <c r="G177" i="8"/>
  <c r="F154" i="8"/>
  <c r="G154" i="8" s="1"/>
  <c r="G160" i="8" s="1"/>
  <c r="F255" i="8"/>
  <c r="G255" i="8" s="1"/>
  <c r="G299" i="8" s="1"/>
  <c r="F256" i="8" s="1"/>
  <c r="G256" i="8" s="1"/>
  <c r="G276" i="8"/>
  <c r="G672" i="2"/>
  <c r="G719" i="2"/>
  <c r="F223" i="2" s="1"/>
  <c r="G655" i="2"/>
  <c r="B70" i="2"/>
  <c r="G638" i="2"/>
  <c r="F242" i="2" s="1"/>
  <c r="F241" i="2"/>
  <c r="G241" i="2" s="1"/>
  <c r="G654" i="2"/>
  <c r="F106" i="2" l="1"/>
  <c r="G106" i="2" s="1"/>
  <c r="F83" i="2"/>
  <c r="G83" i="2" s="1"/>
  <c r="G241" i="8"/>
  <c r="F85" i="2"/>
  <c r="G85" i="2" s="1"/>
  <c r="F81" i="2"/>
  <c r="G81" i="2" s="1"/>
  <c r="F205" i="2"/>
  <c r="G205" i="2" s="1"/>
  <c r="F207" i="2"/>
  <c r="G207" i="2" s="1"/>
  <c r="F600" i="2"/>
  <c r="G600" i="2" s="1"/>
  <c r="G602" i="2" s="1"/>
  <c r="G603" i="2" s="1"/>
  <c r="B604" i="2" s="1"/>
  <c r="F615" i="2"/>
  <c r="G615" i="2" s="1"/>
  <c r="G617" i="2" s="1"/>
  <c r="G618" i="2" s="1"/>
  <c r="B619" i="2" s="1"/>
  <c r="B621" i="2" s="1"/>
  <c r="B622" i="2" s="1"/>
  <c r="F313" i="2"/>
  <c r="G313" i="2" s="1"/>
  <c r="F123" i="2"/>
  <c r="G123" i="2" s="1"/>
  <c r="F582" i="2"/>
  <c r="G582" i="2" s="1"/>
  <c r="F382" i="2"/>
  <c r="G382" i="2" s="1"/>
  <c r="G386" i="2" s="1"/>
  <c r="F580" i="2"/>
  <c r="G580" i="2" s="1"/>
  <c r="G499" i="2"/>
  <c r="B503" i="2" s="1"/>
  <c r="F323" i="2"/>
  <c r="G323" i="2" s="1"/>
  <c r="F545" i="2"/>
  <c r="G545" i="2" s="1"/>
  <c r="F563" i="2"/>
  <c r="G563" i="2" s="1"/>
  <c r="F397" i="2"/>
  <c r="G397" i="2" s="1"/>
  <c r="F561" i="2"/>
  <c r="G561" i="2" s="1"/>
  <c r="F788" i="8"/>
  <c r="G788" i="8" s="1"/>
  <c r="F543" i="2"/>
  <c r="G543" i="2" s="1"/>
  <c r="F411" i="2"/>
  <c r="G411" i="2" s="1"/>
  <c r="F426" i="2"/>
  <c r="G426" i="2" s="1"/>
  <c r="G839" i="2"/>
  <c r="F440" i="2"/>
  <c r="G440" i="2" s="1"/>
  <c r="F517" i="2"/>
  <c r="G517" i="2" s="1"/>
  <c r="F790" i="8"/>
  <c r="G790" i="8" s="1"/>
  <c r="G737" i="2"/>
  <c r="F341" i="2"/>
  <c r="G341" i="2" s="1"/>
  <c r="F454" i="2"/>
  <c r="G454" i="2" s="1"/>
  <c r="F506" i="8"/>
  <c r="G506" i="8" s="1"/>
  <c r="G856" i="2"/>
  <c r="F775" i="8"/>
  <c r="G775" i="8" s="1"/>
  <c r="F515" i="2"/>
  <c r="G515" i="2" s="1"/>
  <c r="G519" i="2" s="1"/>
  <c r="F146" i="2"/>
  <c r="G146" i="2" s="1"/>
  <c r="F508" i="8"/>
  <c r="G508" i="8" s="1"/>
  <c r="F522" i="8"/>
  <c r="G522" i="8" s="1"/>
  <c r="G524" i="8" s="1"/>
  <c r="F148" i="2" s="1"/>
  <c r="G148" i="2" s="1"/>
  <c r="F144" i="2"/>
  <c r="G144" i="2" s="1"/>
  <c r="G754" i="2"/>
  <c r="G168" i="2" s="1"/>
  <c r="F763" i="8"/>
  <c r="G763" i="8" s="1"/>
  <c r="G765" i="8" s="1"/>
  <c r="F777" i="8"/>
  <c r="G777" i="8" s="1"/>
  <c r="F261" i="2"/>
  <c r="G261" i="2" s="1"/>
  <c r="G771" i="2"/>
  <c r="G683" i="8"/>
  <c r="F294" i="2"/>
  <c r="G294" i="2" s="1"/>
  <c r="F267" i="2"/>
  <c r="G267" i="2" s="1"/>
  <c r="F442" i="2"/>
  <c r="G442" i="2" s="1"/>
  <c r="F428" i="2"/>
  <c r="G428" i="2" s="1"/>
  <c r="F399" i="2"/>
  <c r="G399" i="2" s="1"/>
  <c r="F456" i="2"/>
  <c r="G456" i="2" s="1"/>
  <c r="F413" i="2"/>
  <c r="G413" i="2" s="1"/>
  <c r="F343" i="2"/>
  <c r="G343" i="2" s="1"/>
  <c r="G822" i="2"/>
  <c r="F265" i="2"/>
  <c r="G265" i="2" s="1"/>
  <c r="F292" i="2"/>
  <c r="G292" i="2" s="1"/>
  <c r="G604" i="8"/>
  <c r="F356" i="2"/>
  <c r="G356" i="2" s="1"/>
  <c r="G358" i="2" s="1"/>
  <c r="F484" i="2" s="1"/>
  <c r="G484" i="2" s="1"/>
  <c r="G873" i="2"/>
  <c r="F262" i="2"/>
  <c r="G262" i="2" s="1"/>
  <c r="G274" i="2" s="1"/>
  <c r="B278" i="2" s="1"/>
  <c r="F288" i="2"/>
  <c r="G288" i="2" s="1"/>
  <c r="G418" i="8"/>
  <c r="F108" i="2"/>
  <c r="G108" i="2" s="1"/>
  <c r="F263" i="2"/>
  <c r="G263" i="2" s="1"/>
  <c r="F166" i="2"/>
  <c r="G166" i="2" s="1"/>
  <c r="F183" i="2"/>
  <c r="G183" i="2" s="1"/>
  <c r="G192" i="2" s="1"/>
  <c r="G193" i="2" s="1"/>
  <c r="B194" i="2" s="1"/>
  <c r="B196" i="2" s="1"/>
  <c r="B197" i="2" s="1"/>
  <c r="G25" i="1" s="1"/>
  <c r="F244" i="2"/>
  <c r="B173" i="2"/>
  <c r="I21" i="7"/>
  <c r="K21" i="7" s="1"/>
  <c r="B21" i="7" s="1"/>
  <c r="G161" i="8"/>
  <c r="F125" i="2"/>
  <c r="G125" i="2" s="1"/>
  <c r="F253" i="8"/>
  <c r="G253" i="8" s="1"/>
  <c r="G259" i="8" s="1"/>
  <c r="G720" i="2"/>
  <c r="F102" i="2"/>
  <c r="G102" i="2" s="1"/>
  <c r="F104" i="2"/>
  <c r="G104" i="2" s="1"/>
  <c r="F63" i="2"/>
  <c r="G63" i="2" s="1"/>
  <c r="F225" i="2"/>
  <c r="G225" i="2" s="1"/>
  <c r="G673" i="2"/>
  <c r="F65" i="2"/>
  <c r="G65" i="2" s="1"/>
  <c r="F48" i="2"/>
  <c r="G48" i="2" s="1"/>
  <c r="G223" i="2"/>
  <c r="G228" i="2" s="1"/>
  <c r="F46" i="2"/>
  <c r="G46" i="2" s="1"/>
  <c r="G639" i="2"/>
  <c r="G242" i="2" s="1"/>
  <c r="G222" i="2"/>
  <c r="F45" i="2"/>
  <c r="G45" i="2" s="1"/>
  <c r="G49" i="2" s="1"/>
  <c r="B53" i="2" s="1"/>
  <c r="G656" i="2"/>
  <c r="F243" i="2"/>
  <c r="G243" i="2" s="1"/>
  <c r="G247" i="2" s="1"/>
  <c r="B251" i="2" s="1"/>
  <c r="G19" i="7"/>
  <c r="K19" i="7" s="1"/>
  <c r="B19" i="7" s="1"/>
  <c r="F22" i="1" s="1"/>
  <c r="I23" i="7"/>
  <c r="K23" i="7" s="1"/>
  <c r="G16" i="7"/>
  <c r="I16" i="7" s="1"/>
  <c r="B16" i="7" s="1"/>
  <c r="G227" i="2" l="1"/>
  <c r="B231" i="2" s="1"/>
  <c r="G210" i="2"/>
  <c r="G211" i="2" s="1"/>
  <c r="B212" i="2" s="1"/>
  <c r="B214" i="2" s="1"/>
  <c r="B215" i="2" s="1"/>
  <c r="G26" i="1" s="1"/>
  <c r="G87" i="2"/>
  <c r="G88" i="2" s="1"/>
  <c r="B89" i="2" s="1"/>
  <c r="B91" i="2" s="1"/>
  <c r="B92" i="2" s="1"/>
  <c r="G19" i="1" s="1"/>
  <c r="B23" i="7"/>
  <c r="E25" i="7"/>
  <c r="I25" i="7" s="1"/>
  <c r="B25" i="7" s="1"/>
  <c r="F23" i="1" s="1"/>
  <c r="G327" i="2"/>
  <c r="B331" i="2" s="1"/>
  <c r="B606" i="2"/>
  <c r="B607" i="2" s="1"/>
  <c r="G55" i="1" s="1"/>
  <c r="F371" i="2"/>
  <c r="G371" i="2" s="1"/>
  <c r="G373" i="2" s="1"/>
  <c r="F486" i="2" s="1"/>
  <c r="G486" i="2" s="1"/>
  <c r="F584" i="2"/>
  <c r="G584" i="2" s="1"/>
  <c r="G586" i="2" s="1"/>
  <c r="G587" i="2" s="1"/>
  <c r="B588" i="2" s="1"/>
  <c r="F458" i="2"/>
  <c r="G458" i="2" s="1"/>
  <c r="G460" i="2" s="1"/>
  <c r="F496" i="2" s="1"/>
  <c r="G496" i="2" s="1"/>
  <c r="G565" i="2"/>
  <c r="G566" i="2" s="1"/>
  <c r="B567" i="2" s="1"/>
  <c r="B569" i="2" s="1"/>
  <c r="B570" i="2" s="1"/>
  <c r="G45" i="1" s="1"/>
  <c r="H45" i="1" s="1"/>
  <c r="G387" i="2"/>
  <c r="G547" i="2"/>
  <c r="G548" i="2" s="1"/>
  <c r="B549" i="2" s="1"/>
  <c r="B551" i="2" s="1"/>
  <c r="B552" i="2" s="1"/>
  <c r="G44" i="1" s="1"/>
  <c r="G401" i="2"/>
  <c r="F488" i="2" s="1"/>
  <c r="G488" i="2" s="1"/>
  <c r="G415" i="2"/>
  <c r="F490" i="2" s="1"/>
  <c r="G490" i="2" s="1"/>
  <c r="G510" i="8"/>
  <c r="G793" i="8"/>
  <c r="F530" i="2" s="1"/>
  <c r="G530" i="2" s="1"/>
  <c r="G430" i="2"/>
  <c r="F320" i="2" s="1"/>
  <c r="G320" i="2" s="1"/>
  <c r="G444" i="2"/>
  <c r="F494" i="2" s="1"/>
  <c r="G494" i="2" s="1"/>
  <c r="G345" i="2"/>
  <c r="F482" i="2" s="1"/>
  <c r="G482" i="2" s="1"/>
  <c r="F469" i="2"/>
  <c r="G469" i="2" s="1"/>
  <c r="F528" i="2"/>
  <c r="G528" i="2" s="1"/>
  <c r="G779" i="8"/>
  <c r="G780" i="8" s="1"/>
  <c r="G170" i="2"/>
  <c r="G171" i="2" s="1"/>
  <c r="B172" i="2" s="1"/>
  <c r="B174" i="2" s="1"/>
  <c r="B175" i="2" s="1"/>
  <c r="G24" i="1" s="1"/>
  <c r="F492" i="2"/>
  <c r="G492" i="2" s="1"/>
  <c r="G520" i="2"/>
  <c r="G150" i="2"/>
  <c r="G151" i="2" s="1"/>
  <c r="B152" i="2" s="1"/>
  <c r="B154" i="2" s="1"/>
  <c r="B155" i="2" s="1"/>
  <c r="G23" i="1" s="1"/>
  <c r="G766" i="8"/>
  <c r="F312" i="2"/>
  <c r="G312" i="2" s="1"/>
  <c r="G359" i="2"/>
  <c r="G297" i="2"/>
  <c r="G298" i="2" s="1"/>
  <c r="B299" i="2" s="1"/>
  <c r="B301" i="2" s="1"/>
  <c r="B302" i="2" s="1"/>
  <c r="G37" i="1" s="1"/>
  <c r="G275" i="2"/>
  <c r="G276" i="2" s="1"/>
  <c r="B277" i="2" s="1"/>
  <c r="B279" i="2" s="1"/>
  <c r="B280" i="2" s="1"/>
  <c r="G36" i="1" s="1"/>
  <c r="G244" i="2"/>
  <c r="G248" i="2" s="1"/>
  <c r="G249" i="2" s="1"/>
  <c r="B250" i="2" s="1"/>
  <c r="B252" i="2" s="1"/>
  <c r="B253" i="2" s="1"/>
  <c r="G525" i="8"/>
  <c r="G260" i="8"/>
  <c r="F127" i="2"/>
  <c r="G127" i="2" s="1"/>
  <c r="G129" i="2" s="1"/>
  <c r="G130" i="2" s="1"/>
  <c r="B131" i="2" s="1"/>
  <c r="B133" i="2" s="1"/>
  <c r="B134" i="2" s="1"/>
  <c r="G22" i="1" s="1"/>
  <c r="G110" i="2"/>
  <c r="G111" i="2" s="1"/>
  <c r="B112" i="2" s="1"/>
  <c r="B114" i="2" s="1"/>
  <c r="B115" i="2" s="1"/>
  <c r="G21" i="1" s="1"/>
  <c r="G67" i="2"/>
  <c r="G68" i="2" s="1"/>
  <c r="B69" i="2" s="1"/>
  <c r="B71" i="2" s="1"/>
  <c r="B72" i="2" s="1"/>
  <c r="G18" i="1" s="1"/>
  <c r="G50" i="2"/>
  <c r="G51" i="2" s="1"/>
  <c r="B52" i="2" s="1"/>
  <c r="B54" i="2" s="1"/>
  <c r="B55" i="2" s="1"/>
  <c r="G17" i="1" s="1"/>
  <c r="F18" i="1"/>
  <c r="S72" i="7"/>
  <c r="Q72" i="7"/>
  <c r="S66" i="7"/>
  <c r="Q66" i="7"/>
  <c r="U71" i="7"/>
  <c r="U65" i="7"/>
  <c r="I6" i="7"/>
  <c r="G58" i="7"/>
  <c r="E58" i="7"/>
  <c r="I68" i="7"/>
  <c r="G67" i="7"/>
  <c r="E67" i="7"/>
  <c r="E66" i="7"/>
  <c r="I66" i="7" s="1"/>
  <c r="G65" i="7"/>
  <c r="I65" i="7" s="1"/>
  <c r="I33" i="7"/>
  <c r="I32" i="7"/>
  <c r="M58" i="7" l="1"/>
  <c r="Q58" i="7" s="1"/>
  <c r="E61" i="7"/>
  <c r="K61" i="7" s="1"/>
  <c r="O61" i="7" s="1"/>
  <c r="F51" i="1" s="1"/>
  <c r="G229" i="2"/>
  <c r="B230" i="2" s="1"/>
  <c r="B232" i="2" s="1"/>
  <c r="B233" i="2" s="1"/>
  <c r="G30" i="1" s="1"/>
  <c r="H30" i="1" s="1"/>
  <c r="H23" i="1"/>
  <c r="F314" i="2"/>
  <c r="G314" i="2" s="1"/>
  <c r="G374" i="2"/>
  <c r="F316" i="2"/>
  <c r="G316" i="2" s="1"/>
  <c r="G431" i="2"/>
  <c r="B590" i="2"/>
  <c r="B591" i="2" s="1"/>
  <c r="G402" i="2"/>
  <c r="G416" i="2"/>
  <c r="F318" i="2"/>
  <c r="G318" i="2" s="1"/>
  <c r="G461" i="2"/>
  <c r="F310" i="2"/>
  <c r="G310" i="2" s="1"/>
  <c r="F324" i="2"/>
  <c r="G324" i="2" s="1"/>
  <c r="G511" i="8"/>
  <c r="G346" i="2"/>
  <c r="F322" i="2"/>
  <c r="G322" i="2" s="1"/>
  <c r="G532" i="2"/>
  <c r="F498" i="2" s="1"/>
  <c r="G498" i="2" s="1"/>
  <c r="G500" i="2" s="1"/>
  <c r="G501" i="2" s="1"/>
  <c r="B502" i="2" s="1"/>
  <c r="B504" i="2" s="1"/>
  <c r="B505" i="2" s="1"/>
  <c r="G43" i="1" s="1"/>
  <c r="G794" i="8"/>
  <c r="F471" i="2"/>
  <c r="G471" i="2" s="1"/>
  <c r="G473" i="2" s="1"/>
  <c r="G474" i="2" s="1"/>
  <c r="G445" i="2"/>
  <c r="H22" i="1"/>
  <c r="H18" i="1"/>
  <c r="G31" i="1"/>
  <c r="H31" i="1" s="1"/>
  <c r="I34" i="7"/>
  <c r="B32" i="7" s="1"/>
  <c r="B87" i="7" s="1"/>
  <c r="F55" i="1" s="1"/>
  <c r="I67" i="7"/>
  <c r="I69" i="7" s="1"/>
  <c r="B65" i="7" s="1"/>
  <c r="U72" i="7"/>
  <c r="U73" i="7" s="1"/>
  <c r="S74" i="7" s="1"/>
  <c r="G73" i="7" s="1"/>
  <c r="I73" i="7" s="1"/>
  <c r="U66" i="7"/>
  <c r="U67" i="7" s="1"/>
  <c r="S68" i="7" s="1"/>
  <c r="G71" i="7" s="1"/>
  <c r="I71" i="7" s="1"/>
  <c r="I4" i="7"/>
  <c r="I5" i="7"/>
  <c r="F50" i="1" l="1"/>
  <c r="G59" i="7"/>
  <c r="H32" i="1"/>
  <c r="G51" i="1"/>
  <c r="H51" i="1" s="1"/>
  <c r="G49" i="1"/>
  <c r="G50" i="1"/>
  <c r="G533" i="2"/>
  <c r="F326" i="2"/>
  <c r="G326" i="2" s="1"/>
  <c r="G328" i="2" s="1"/>
  <c r="G329" i="2" s="1"/>
  <c r="B330" i="2" s="1"/>
  <c r="B332" i="2" s="1"/>
  <c r="B333" i="2" s="1"/>
  <c r="G42" i="1" s="1"/>
  <c r="G72" i="7"/>
  <c r="I72" i="7" s="1"/>
  <c r="I74" i="7" s="1"/>
  <c r="B71" i="7" s="1"/>
  <c r="E59" i="7"/>
  <c r="I53" i="7"/>
  <c r="B53" i="7" s="1"/>
  <c r="F19" i="1"/>
  <c r="H19" i="1" s="1"/>
  <c r="I7" i="7"/>
  <c r="B2" i="7" s="1"/>
  <c r="B88" i="7" s="1"/>
  <c r="H50" i="1" l="1"/>
  <c r="F26" i="1"/>
  <c r="H26" i="1" s="1"/>
  <c r="F25" i="1"/>
  <c r="H25" i="1" s="1"/>
  <c r="F17" i="1"/>
  <c r="I59" i="7"/>
  <c r="F49" i="1" s="1"/>
  <c r="H49" i="1" s="1"/>
  <c r="E42" i="7"/>
  <c r="I42" i="7" s="1"/>
  <c r="B42" i="7" s="1"/>
  <c r="F21" i="1" s="1"/>
  <c r="H21" i="1" s="1"/>
  <c r="E45" i="7"/>
  <c r="I45" i="7" s="1"/>
  <c r="B45" i="7" s="1"/>
  <c r="F24" i="1" s="1"/>
  <c r="H24" i="1" s="1"/>
  <c r="H52" i="1" l="1"/>
  <c r="F37" i="1"/>
  <c r="H37" i="1" s="1"/>
  <c r="H36" i="1"/>
  <c r="H38" i="1" s="1"/>
  <c r="H44" i="1"/>
  <c r="H18" i="4" l="1"/>
  <c r="I18" i="4"/>
  <c r="G18" i="4"/>
  <c r="H36" i="4"/>
  <c r="I36" i="4" s="1"/>
  <c r="H37" i="4"/>
  <c r="I37" i="4" s="1"/>
  <c r="H38" i="4"/>
  <c r="I38" i="4" s="1"/>
  <c r="I39" i="4" l="1"/>
  <c r="H43" i="1" l="1"/>
  <c r="D39" i="4"/>
  <c r="N40" i="4" l="1"/>
  <c r="O41" i="4" l="1"/>
  <c r="O40" i="4"/>
  <c r="O42" i="4" l="1"/>
  <c r="O43" i="4" s="1"/>
  <c r="B8" i="5" l="1"/>
  <c r="B6" i="5"/>
  <c r="H55" i="1" l="1"/>
  <c r="H56" i="1" s="1"/>
  <c r="H11" i="1" l="1"/>
  <c r="A16" i="5" l="1"/>
  <c r="A8" i="5"/>
  <c r="A6" i="5"/>
  <c r="D18" i="4" l="1"/>
  <c r="L16" i="4"/>
  <c r="M16" i="4" s="1"/>
  <c r="N16" i="4" s="1"/>
  <c r="O16" i="4" s="1"/>
  <c r="L15" i="4"/>
  <c r="M15" i="4" s="1"/>
  <c r="N15" i="4" s="1"/>
  <c r="O15" i="4" s="1"/>
  <c r="L14" i="4"/>
  <c r="M14" i="4" s="1"/>
  <c r="N14" i="4" s="1"/>
  <c r="O14" i="4" s="1"/>
  <c r="L13" i="4"/>
  <c r="M13" i="4" s="1"/>
  <c r="N13" i="4" s="1"/>
  <c r="O13" i="4" s="1"/>
  <c r="L12" i="4"/>
  <c r="M12" i="4" s="1"/>
  <c r="N12" i="4" s="1"/>
  <c r="O12" i="4" s="1"/>
  <c r="L11" i="4"/>
  <c r="L18" i="4" l="1"/>
  <c r="M11" i="4"/>
  <c r="M18" i="4" l="1"/>
  <c r="N11" i="4"/>
  <c r="O11" i="4" s="1"/>
  <c r="N19" i="4" l="1"/>
  <c r="O19" i="4"/>
  <c r="O20" i="4" l="1"/>
  <c r="O21" i="4" s="1"/>
  <c r="O22" i="4" s="1"/>
  <c r="G12" i="1" s="1"/>
  <c r="H12" i="1" s="1"/>
  <c r="H9" i="1" l="1"/>
  <c r="H8" i="1" l="1"/>
  <c r="H13" i="1" s="1"/>
  <c r="H42" i="1" l="1"/>
  <c r="H46" i="1" s="1"/>
  <c r="H17" i="1"/>
  <c r="H27" i="1" s="1"/>
  <c r="H58" i="1" l="1"/>
  <c r="C26" i="5" l="1"/>
  <c r="D18" i="5" s="1"/>
  <c r="D16" i="5" l="1"/>
  <c r="D26" i="5"/>
  <c r="D12" i="5"/>
  <c r="D14" i="5"/>
  <c r="D6" i="5"/>
  <c r="D10" i="5"/>
  <c r="D8" i="5"/>
</calcChain>
</file>

<file path=xl/sharedStrings.xml><?xml version="1.0" encoding="utf-8"?>
<sst xmlns="http://schemas.openxmlformats.org/spreadsheetml/2006/main" count="4103" uniqueCount="830">
  <si>
    <t xml:space="preserve">Unidade        </t>
  </si>
  <si>
    <t xml:space="preserve">Quantidade     </t>
  </si>
  <si>
    <t xml:space="preserve">Pr. Unitario   </t>
  </si>
  <si>
    <t xml:space="preserve">Pr. Total      </t>
  </si>
  <si>
    <t xml:space="preserve"> </t>
  </si>
  <si>
    <t>cj</t>
  </si>
  <si>
    <t/>
  </si>
  <si>
    <t>m³</t>
  </si>
  <si>
    <t>m</t>
  </si>
  <si>
    <t>1.2</t>
  </si>
  <si>
    <t>3.1</t>
  </si>
  <si>
    <t>4.1</t>
  </si>
  <si>
    <t xml:space="preserve">Total item:   1   </t>
  </si>
  <si>
    <t>m²</t>
  </si>
  <si>
    <t>Total item:   3</t>
  </si>
  <si>
    <t>2.1</t>
  </si>
  <si>
    <t>2.2</t>
  </si>
  <si>
    <t>3.2</t>
  </si>
  <si>
    <t>6.1</t>
  </si>
  <si>
    <t>mês</t>
  </si>
  <si>
    <t>Item</t>
  </si>
  <si>
    <t>Descrição</t>
  </si>
  <si>
    <t>Total item:   4</t>
  </si>
  <si>
    <t>Emprego de equipamentos e ferramentas e também equipamentos de proteção individual e coletiva necessários a execução dos serviços que compõem a obra</t>
  </si>
  <si>
    <t>1.2.1</t>
  </si>
  <si>
    <t>1.2.2</t>
  </si>
  <si>
    <t>1.</t>
  </si>
  <si>
    <t>2.</t>
  </si>
  <si>
    <t>3.</t>
  </si>
  <si>
    <t>4.</t>
  </si>
  <si>
    <t>5.</t>
  </si>
  <si>
    <t>6.</t>
  </si>
  <si>
    <t>Código</t>
  </si>
  <si>
    <t>Administração local da obra - Despesas diversas</t>
  </si>
  <si>
    <t>ITEM</t>
  </si>
  <si>
    <t>CÓDIGO</t>
  </si>
  <si>
    <t>DISCRIMINAÇÃO</t>
  </si>
  <si>
    <t xml:space="preserve">B.D.I. - BONIFICAÇÃO E DESPESAS INDIRETAS </t>
  </si>
  <si>
    <t>CUSTO UNITÁRIO DA REFEIÇÃO</t>
  </si>
  <si>
    <t>CAFÉ DA MANHÃ</t>
  </si>
  <si>
    <t>ALMOÇO / JANTAR</t>
  </si>
  <si>
    <t>FUNCIONÁRIOS</t>
  </si>
  <si>
    <t>CUSTO TOTAL ALIMENTAÇÃO (R$)</t>
  </si>
  <si>
    <t>QUANT.</t>
  </si>
  <si>
    <t>Permanência Obra (mêses)</t>
  </si>
  <si>
    <t>Consumo por Mês</t>
  </si>
  <si>
    <t>Valor Custo (R$)</t>
  </si>
  <si>
    <t>Refeições por Dia</t>
  </si>
  <si>
    <t>Dias</t>
  </si>
  <si>
    <t>Refeições</t>
  </si>
  <si>
    <t>Mensal</t>
  </si>
  <si>
    <t>Esta Obra</t>
  </si>
  <si>
    <t>ALIMENTAÇÃO DO PESSOAL</t>
  </si>
  <si>
    <t>ADMINISTRAÇÃO DIRETA</t>
  </si>
  <si>
    <t>1.3.2</t>
  </si>
  <si>
    <t>T205</t>
  </si>
  <si>
    <t>Apontador</t>
  </si>
  <si>
    <t>1.3.3</t>
  </si>
  <si>
    <t>1.3.4</t>
  </si>
  <si>
    <t>T500</t>
  </si>
  <si>
    <t>Encarregado Geral</t>
  </si>
  <si>
    <t>T702</t>
  </si>
  <si>
    <t>Ajudante</t>
  </si>
  <si>
    <t>T708</t>
  </si>
  <si>
    <t>T710</t>
  </si>
  <si>
    <t>T730</t>
  </si>
  <si>
    <t>SUB-TOTAIS PREVISTOS</t>
  </si>
  <si>
    <t>CUSTO DIRETO (MENSAL / TOTAL) PARA ESTA OBRA (R$)</t>
  </si>
  <si>
    <t xml:space="preserve">PRAZO TOTAL PREVISTO PARA A OBRA = </t>
  </si>
  <si>
    <t>MESES</t>
  </si>
  <si>
    <t>PREÇO TOTAL PARA ESTA OBRA (Custo Direto + B.D.I)</t>
  </si>
  <si>
    <t>VALOR MÉDIO MENSAL DA DESPESA COM ALIMENTAÇÃO DO PESSOAL DA ADMINISTRAÇÃO DIRETA (Custo Direto + B.D.I)</t>
  </si>
  <si>
    <t>Quadro resumo do orçamento</t>
  </si>
  <si>
    <t xml:space="preserve">Descrição  </t>
  </si>
  <si>
    <t>Valor</t>
  </si>
  <si>
    <t>%</t>
  </si>
  <si>
    <t>TOTAL GERAL</t>
  </si>
  <si>
    <t>Un</t>
  </si>
  <si>
    <t xml:space="preserve"> Alimentação do pessoal</t>
  </si>
  <si>
    <t>PRÓPRIA</t>
  </si>
  <si>
    <t>SINAPI 93557</t>
  </si>
  <si>
    <t>Class</t>
  </si>
  <si>
    <t>Coef</t>
  </si>
  <si>
    <t>Preço unitário (R$) sem taxas</t>
  </si>
  <si>
    <t>Total (R$) sem taxas</t>
  </si>
  <si>
    <t>12892</t>
  </si>
  <si>
    <t>LUVA RASPA DE COURO, CANO CURTO (PUNHO *7* CM)</t>
  </si>
  <si>
    <t>MAT</t>
  </si>
  <si>
    <t>12893</t>
  </si>
  <si>
    <t>BOTA DE SEGURANCA COM BIQUEIRA DE ACO E COLARINHO ACOLCHOADO</t>
  </si>
  <si>
    <t>Total mão-de-obra, sem taxas (R$):</t>
  </si>
  <si>
    <t>Total outros itens, sem taxas (R$):</t>
  </si>
  <si>
    <t>Total geral, sem taxas (R$):</t>
  </si>
  <si>
    <t>Valores Totais (R$)</t>
  </si>
  <si>
    <t xml:space="preserve">Sem taxas: </t>
  </si>
  <si>
    <t xml:space="preserve">Com taxas: </t>
  </si>
  <si>
    <t>m2</t>
  </si>
  <si>
    <t>kg</t>
  </si>
  <si>
    <t>MOD</t>
  </si>
  <si>
    <t>h</t>
  </si>
  <si>
    <t>SERVENTE COM ENCARGOS COMPLEMENTARES</t>
  </si>
  <si>
    <t>Administração da Obra</t>
  </si>
  <si>
    <t>Total item:  7</t>
  </si>
  <si>
    <t>7.1</t>
  </si>
  <si>
    <t>7.</t>
  </si>
  <si>
    <t>PEDREIRO COM ENCARGOS COMPLEMENTARES</t>
  </si>
  <si>
    <t>SERVIÇOS PRELIMINARES</t>
  </si>
  <si>
    <t>Pedreiros</t>
  </si>
  <si>
    <t>Carpinteiros</t>
  </si>
  <si>
    <t>Eletricistas</t>
  </si>
  <si>
    <t>custo</t>
  </si>
  <si>
    <t>Transporte</t>
  </si>
  <si>
    <t>1.3.3.1</t>
  </si>
  <si>
    <t>1.3.3.2</t>
  </si>
  <si>
    <t>1.3.3.3</t>
  </si>
  <si>
    <t>1.3.3.4</t>
  </si>
  <si>
    <t>1.3.3.5</t>
  </si>
  <si>
    <t>1.3.3.6</t>
  </si>
  <si>
    <t>1.3.4.1</t>
  </si>
  <si>
    <t>TRANSPORTE DA EQUIPE</t>
  </si>
  <si>
    <t>Motorista</t>
  </si>
  <si>
    <t>PROPRIO</t>
  </si>
  <si>
    <t>Aluguel de Van com 14 lugares</t>
  </si>
  <si>
    <t>Combustivel</t>
  </si>
  <si>
    <t>PISO , RODAPÉ E ACABAMENTOS</t>
  </si>
  <si>
    <t>PREGO DE ACO POLIDO COM CABECA 18 X 27 (2 1/2 X 10)</t>
  </si>
  <si>
    <t xml:space="preserve">                               </t>
  </si>
  <si>
    <t xml:space="preserve">                          </t>
  </si>
  <si>
    <t>Despesas e Encargos Mensais</t>
  </si>
  <si>
    <t>Construção da Varanda do Restaurante</t>
  </si>
  <si>
    <t>Unidade Sesc Serra Azul</t>
  </si>
  <si>
    <t>cobertura</t>
  </si>
  <si>
    <t>x</t>
  </si>
  <si>
    <t>=</t>
  </si>
  <si>
    <t>57x57</t>
  </si>
  <si>
    <t>+</t>
  </si>
  <si>
    <t>15x30</t>
  </si>
  <si>
    <t>-</t>
  </si>
  <si>
    <t>projeção</t>
  </si>
  <si>
    <t>inclinada</t>
  </si>
  <si>
    <t>altura</t>
  </si>
  <si>
    <t>diagonal</t>
  </si>
  <si>
    <t>concreto</t>
  </si>
  <si>
    <t>escavação</t>
  </si>
  <si>
    <t>armação</t>
  </si>
  <si>
    <t>und</t>
  </si>
  <si>
    <t>Piso</t>
  </si>
  <si>
    <t>Locação da obra</t>
  </si>
  <si>
    <t>lastro 5cm</t>
  </si>
  <si>
    <t>regularização de fundo</t>
  </si>
  <si>
    <t>cm</t>
  </si>
  <si>
    <t>revestimento</t>
  </si>
  <si>
    <t>aço Q138</t>
  </si>
  <si>
    <t>1.1</t>
  </si>
  <si>
    <t>1.1.1</t>
  </si>
  <si>
    <t>1.1.2</t>
  </si>
  <si>
    <t>INFRAESTRUTURA</t>
  </si>
  <si>
    <t>Trabalhos em Terra</t>
  </si>
  <si>
    <t>Fundações</t>
  </si>
  <si>
    <t>SINAPI  94107</t>
  </si>
  <si>
    <t>kg/m²</t>
  </si>
  <si>
    <t>SINAPI  94965</t>
  </si>
  <si>
    <t>2.2.1</t>
  </si>
  <si>
    <t>2.2.6</t>
  </si>
  <si>
    <t>2.2.2</t>
  </si>
  <si>
    <t>2.2.4</t>
  </si>
  <si>
    <t>2.2.5</t>
  </si>
  <si>
    <t>2.2.7</t>
  </si>
  <si>
    <t>Total item:   2</t>
  </si>
  <si>
    <t>SUPRAESTRUTURA</t>
  </si>
  <si>
    <t>COBERTURAS E PROTEÇÕES</t>
  </si>
  <si>
    <t>Telhados</t>
  </si>
  <si>
    <t>4.1.1</t>
  </si>
  <si>
    <t>4.1.2</t>
  </si>
  <si>
    <t>5.1</t>
  </si>
  <si>
    <t>5.1.1</t>
  </si>
  <si>
    <t>Total item:   5</t>
  </si>
  <si>
    <t>INSTALAÇÕES E APARELHOS</t>
  </si>
  <si>
    <t>Instalações Elétricas</t>
  </si>
  <si>
    <t>SINAPI  92539</t>
  </si>
  <si>
    <t>SINAPI  73743/001</t>
  </si>
  <si>
    <t>rodapé</t>
  </si>
  <si>
    <t>SINAPI  93137</t>
  </si>
  <si>
    <t>SINAPI  93141</t>
  </si>
  <si>
    <t xml:space="preserve">PONTO DE TOMADA RESIDENCIAL INCLUINDO TOMADA 10A/250V, CAIXA ELÉTRICA, ELETRODUTO, CABO, RASGO, QUEBRA E CHUMBAMENTO. </t>
  </si>
  <si>
    <t>2.1.1</t>
  </si>
  <si>
    <t>2.1.2</t>
  </si>
  <si>
    <t>2.1.3</t>
  </si>
  <si>
    <t>5.1.2</t>
  </si>
  <si>
    <t>pé direito</t>
  </si>
  <si>
    <t>COMPLEMENTAÇÃO DA OPBRA</t>
  </si>
  <si>
    <t>SINAPI  9537</t>
  </si>
  <si>
    <t>LIMPEZA FINAL DA OBRA</t>
  </si>
  <si>
    <t>ALUGUEL CONTAINER/ESCRIT INCL INST ELET LARG=2,20 COMP=6,20M  ALT=2,50M CHAPA ACO C/NERV TRAPEZ FORRO C/ISOL TERMO/ACUSTICO  CHASSIS REFORC PISO COMPENSADO NAVAL (EXCLUSIVE TRANSPORTE/CARGA/DESCARGA)</t>
  </si>
  <si>
    <t>SINAPI 88284</t>
  </si>
  <si>
    <t>UNIDADE SESC SERRA AZUL</t>
  </si>
  <si>
    <t>CONSTRUÇÃO DA VARANDA DO RESTAURANTE</t>
  </si>
  <si>
    <t>COMPOSIÇÕES DE PREÇO</t>
  </si>
  <si>
    <t>L</t>
  </si>
  <si>
    <t>AJUDANTE DE OPERAÇÃO EM GERAL COM ENCARGOS COMPLEMENTARES</t>
  </si>
  <si>
    <t>VIGA DE MADEIRA NAO APARELHADA *6 X 20* CM, MACARANDUBA, ANGELIM OU EQUIVALENTE DA REGIAO</t>
  </si>
  <si>
    <t>COMPOSIÇÕES AUXILIARES</t>
  </si>
  <si>
    <t>H</t>
  </si>
  <si>
    <t>248</t>
  </si>
  <si>
    <t>AJUDANTE DE OPERACAO EM GERAL</t>
  </si>
  <si>
    <t>37370</t>
  </si>
  <si>
    <t>ALIMENTACAO - HORISTA (ENCARGOS COMPLEMENTARES) (COLETADO CAIXA)</t>
  </si>
  <si>
    <t>37371</t>
  </si>
  <si>
    <t>TRANSPORTE - HORISTA (ENCARGOS COMPLEMENTARES) (COLETADO CAIXA)</t>
  </si>
  <si>
    <t>37372</t>
  </si>
  <si>
    <t>EXAMES - HORISTA (ENCARGOS COMPLEMENTARES) (COLETADO CAIXA)</t>
  </si>
  <si>
    <t>37373</t>
  </si>
  <si>
    <t>SEGURO - HORISTA (ENCARGOS COMPLEMENTARES) (COLETADO CAIXA)</t>
  </si>
  <si>
    <t>88236</t>
  </si>
  <si>
    <t>FERRAMENTAS (ENCARGOS COMPLEMENTARES) - HORISTA</t>
  </si>
  <si>
    <t>88237</t>
  </si>
  <si>
    <t>EPI (ENCARGOS COMPLEMENTARES) - HORISTA</t>
  </si>
  <si>
    <t>95311</t>
  </si>
  <si>
    <t>CURSO DE CAPACITAÇÃO PARA AJUDANTE DE OPERAÇÃO EM GERAL (ENCARGOS COMPLEMENTARES) - HORISTA</t>
  </si>
  <si>
    <t>DESCRIÇÃO</t>
  </si>
  <si>
    <t>LS: 72,37%</t>
  </si>
  <si>
    <t>BDI:  24,57%</t>
  </si>
  <si>
    <t>10</t>
  </si>
  <si>
    <t>BALDE PLASTICO CAPACIDADE *10* L</t>
  </si>
  <si>
    <t>UN</t>
  </si>
  <si>
    <t>0,0080172</t>
  </si>
  <si>
    <t>2711</t>
  </si>
  <si>
    <t>CARRINHO DE MAO DE ACO CAPACIDADE 50 A 60 L, PNEU COM CAMARA</t>
  </si>
  <si>
    <t>0,0006646</t>
  </si>
  <si>
    <t>11359</t>
  </si>
  <si>
    <t>ESMERILHADEIRA ANGULAR ELETRICA, DIAMETRO DO DISCO 7 '' (180 MM), ROTACAO 8500 RPM, POTENCIA 2400 W</t>
  </si>
  <si>
    <t>0,0000677</t>
  </si>
  <si>
    <t>12815</t>
  </si>
  <si>
    <t>FITA CREPE ROLO DE 25 MM X 50 M</t>
  </si>
  <si>
    <t>0,0090691</t>
  </si>
  <si>
    <t>25966</t>
  </si>
  <si>
    <t>REDUTOR TIPO THINNER PARA ACABAMENTO</t>
  </si>
  <si>
    <t>0,0015115</t>
  </si>
  <si>
    <t>38382</t>
  </si>
  <si>
    <t>LINHA DE PEDREIRO LISA 100 M</t>
  </si>
  <si>
    <t>0,0027300</t>
  </si>
  <si>
    <t>38390</t>
  </si>
  <si>
    <t>ROLO DE LA DE CARNEIRO 23 CM (SEM CABO)</t>
  </si>
  <si>
    <t>38393</t>
  </si>
  <si>
    <t>ROLO DE ESPUMA POLIESTER 23 CM (SEM CABO)</t>
  </si>
  <si>
    <t>38396</t>
  </si>
  <si>
    <t>SELADOR HORIZONTAL PARA FITA DE ACO 1 "</t>
  </si>
  <si>
    <t>0,0000542</t>
  </si>
  <si>
    <t>38399</t>
  </si>
  <si>
    <t>BOLSA DE LONA PARA FERRAMENTAS *50 X 35 X 25* CM</t>
  </si>
  <si>
    <t>0,0002708</t>
  </si>
  <si>
    <t>38413</t>
  </si>
  <si>
    <t>LIXADEIRA ELETRICA ANGULAR, PARA DISCO DE 7 " (180 MM), POTENCIA DE 2.200 W, *5.000* RPM, 220 V</t>
  </si>
  <si>
    <t>0,0000441</t>
  </si>
  <si>
    <t>38476</t>
  </si>
  <si>
    <t>ESCADA DUPLA DE ABRIR EM ALUMINIO, MODELO PINTOR, 8 DEGRAUS</t>
  </si>
  <si>
    <t>0,0002057</t>
  </si>
  <si>
    <t>38477</t>
  </si>
  <si>
    <t>ESCADA EXTENSIVEL EM ALUMINIO COM 6,00 M ESTENDIDA</t>
  </si>
  <si>
    <t>CODIGO</t>
  </si>
  <si>
    <t>PAR</t>
  </si>
  <si>
    <t>0,0137346</t>
  </si>
  <si>
    <t>0,0016010</t>
  </si>
  <si>
    <t>36144</t>
  </si>
  <si>
    <t>RESPIRADOR DESCARTAVEL SEM VALVULA DE EXALACAO, PFF 1</t>
  </si>
  <si>
    <t>0,1114872</t>
  </si>
  <si>
    <t>36146</t>
  </si>
  <si>
    <t>PROTETOR SOLAR FPS 30, EMBALAGEM 2 LITROS</t>
  </si>
  <si>
    <t>0,0012403</t>
  </si>
  <si>
    <t>36149</t>
  </si>
  <si>
    <t>TRAVA-QUEDAS EM ACO PARA CORDA DE 12 MM, EXTENSOR DE 25 X 300 MM, COM MOSQUETAO TIPO GANCHO TRAVA DUPLA</t>
  </si>
  <si>
    <t>0,0007200</t>
  </si>
  <si>
    <t>36150</t>
  </si>
  <si>
    <t>AVENTAL DE SEGURANCA DE RASPA DE COURO 1,00 X 0,60 M</t>
  </si>
  <si>
    <t>0,0026463</t>
  </si>
  <si>
    <t>36153</t>
  </si>
  <si>
    <t>TALABARTE DE SEGURANCA, 2 MOSQUETOES TRAVA DUPLA *53* MM DE ABERTURA, COM ABSORVEDOR DE ENERGIA</t>
  </si>
  <si>
    <t>0,0010750</t>
  </si>
  <si>
    <t>CARPINTEIRO DE FORMAS</t>
  </si>
  <si>
    <t>CARPINTEIRO DE FORMAS COM ENCARGOS COMPLEMENTARES</t>
  </si>
  <si>
    <t>M</t>
  </si>
  <si>
    <t>Código:   410273  CDHU SÃO PAULO  12/2014</t>
  </si>
  <si>
    <t>PREÇO SINAPI 05/2018</t>
  </si>
  <si>
    <t>88262 SINAPI MT 05/2018</t>
  </si>
  <si>
    <t>PREÇO SINAPI MT 05/2018</t>
  </si>
  <si>
    <t>95311 SINAPI MT 05/2018</t>
  </si>
  <si>
    <t>88237 SINAPI MT 05/2018</t>
  </si>
  <si>
    <t>88236 SINAPI MT 2018</t>
  </si>
  <si>
    <t>88316 SINAPI MT 05/2018</t>
  </si>
  <si>
    <t>SERVENTE DE OBRAS</t>
  </si>
  <si>
    <t>LS:  72,37%</t>
  </si>
  <si>
    <t>MOTORISTA DE CAMINHÃO E CARRETA COM ENCARGOS COMPLEMENTARES</t>
  </si>
  <si>
    <t>88283 SINAPI MT 05/2018</t>
  </si>
  <si>
    <t xml:space="preserve">MOTORISTA DE CAMINHÃO E CARRETA </t>
  </si>
  <si>
    <t>CURSO DE CAPACITAÇÃO PARA MOTORISTA (ENCARGOS COMPLEMENTARES) - HORISTA</t>
  </si>
  <si>
    <t>SERV</t>
  </si>
  <si>
    <t>CURSO DE CAPACITAÇÃO PARA CARPINTEIRO (ENCARGOS COMPLEMENTARES) - HORISTA</t>
  </si>
  <si>
    <t>CURSO DE CAPACITAÇÃO PARA MOTORISTA DE CAMINHÃO E CARRETA (ENCARGOS COMPLEMENTARES) - HORISTA</t>
  </si>
  <si>
    <t>95348 SINAPI MT 05/2018</t>
  </si>
  <si>
    <t>MOTORISTA DE CAMINHÃO-CARRETA</t>
  </si>
  <si>
    <t>95330 SINAPI MT 05/2018</t>
  </si>
  <si>
    <t>CURSO DE CAPACITAÇÃO PARA CARPINTEIRO DE FORMAS (ENCARGOS COMPLEMENTARES) - HORISTA</t>
  </si>
  <si>
    <t>337</t>
  </si>
  <si>
    <t>ARAME RECOZIDO 18 BWG, 1,25 MM (0,01 KG/M)</t>
  </si>
  <si>
    <t>4491</t>
  </si>
  <si>
    <t>PECA DE MADEIRA NATIVA / REGIONAL 7,5 X 7,5CM (3X3) NAO APARELHADA (P/FORMA)</t>
  </si>
  <si>
    <t>5061</t>
  </si>
  <si>
    <t>10567</t>
  </si>
  <si>
    <t>TABUA MADEIRA 3A QUALIDADE 2,5 X 23,0CM (1 X 9") NAO APARELHADA</t>
  </si>
  <si>
    <t>88262</t>
  </si>
  <si>
    <t>88316</t>
  </si>
  <si>
    <t>Código:   74077/003 SINAPI 05/2018</t>
  </si>
  <si>
    <t>Descrição:  LOCACAO CONVENCIONAL DE OBRA, ATRAVÉS DE GABARITO DE TABUAS CORRIDAS PONTALETADAS, COM REAPROVEITAMENTO DE 3 VEZES.                                           M2</t>
  </si>
  <si>
    <t>KG</t>
  </si>
  <si>
    <t>0,0200000</t>
  </si>
  <si>
    <t>0,1200000</t>
  </si>
  <si>
    <t>0,0100000</t>
  </si>
  <si>
    <t>0,1067000</t>
  </si>
  <si>
    <t>0,1000000</t>
  </si>
  <si>
    <t>M3</t>
  </si>
  <si>
    <t>CURSO DE CAPACITAÇÃO PARA SERVENTE (ENCARGOS COMPLEMENTARES) - HORISTA</t>
  </si>
  <si>
    <t>95378 SINAPI MT 05/2018</t>
  </si>
  <si>
    <t>PEDREIRO</t>
  </si>
  <si>
    <t>CURSO DE CAPACITAÇÃO PARA PEDREIRO (ENCARGOS COMPLEMENTARES) - HORISTA</t>
  </si>
  <si>
    <t>95371 SINAPI MT 05/2018</t>
  </si>
  <si>
    <t>88309 SINAPI MT 05/2018</t>
  </si>
  <si>
    <t>CARPINTEIRO DE FORMA DE CONCRETO, INCLUSIVE ENCARGOS SOCIAIS</t>
  </si>
  <si>
    <t>CHI</t>
  </si>
  <si>
    <t>88281 SINAPI MT 05/2018</t>
  </si>
  <si>
    <t>MOTORISTA DE BASCULANTE COM ENCARGOS COMPLEMENTARES</t>
  </si>
  <si>
    <t>CURSO DE CAPACITAÇÃO PARA MOTORISTA DE BASCULANTE (ENCARGOS COMPLEMENTARES) - HORISTA</t>
  </si>
  <si>
    <t>MOTORISTA DE CAMINHÃO BASCULANTE</t>
  </si>
  <si>
    <t xml:space="preserve">MOTORISTA DE CAMINHÃO BASCULANTE </t>
  </si>
  <si>
    <t>95346 SINAPI MT 05/2018</t>
  </si>
  <si>
    <t>CAMINHÃO BASCULANTE 6 M3, PESO BRUTO TOTAL 16.000 KG, CARGA ÚTIL MÁXIMA 13.071 KG, DISTÂNCIA ENTRE EIXOS 4,80 M, POTÊNCIA 230 CV INCLUSIVE CAÇAMBA METÁLICA</t>
  </si>
  <si>
    <t>5961 SINAPI MT 2018</t>
  </si>
  <si>
    <t>91367</t>
  </si>
  <si>
    <t>CAMINHÃO BASCULANTE 6 M3, PESO BRUTO TOTAL 16.000 KG, CARGA ÚTIL MÁXIMA 13.071 KG, DISTÂNCIA ENTRE EIXOS 4,80 M, POTÊNCIA 230 CV INCLUSIVE CAÇAMBA METÁLICA - DEPRECIAÇÃO. AF_06/2014</t>
  </si>
  <si>
    <t>91368</t>
  </si>
  <si>
    <t>91369</t>
  </si>
  <si>
    <t>CAMINHÃO BASCULANTE 6 M3, PESO BRUTO TOTAL 16.000 KG, CARGA ÚTIL MÁXIMA 13.071 KG, DISTÂNCIA ENTRE EIXOS 4,80 M, POTÊNCIA 230 CV INCLUSIVE CAÇAMBA METÁLICA - DEPRECIAÇÃO</t>
  </si>
  <si>
    <t>CAMINHÃO BASCULANTE 6 M3, PESO BRUTO TOTAL 16.000 KG, CARGA ÚTIL MÁXIMA 13.071 KG, DISTÂNCIA ENTRE EIXOS 4,80 M, POTÊNCIA 230 CV INCLUSIVE CAÇAMBA METÁLICA - JUROS</t>
  </si>
  <si>
    <t xml:space="preserve">CAMINHÃO BASCULANTE 6 M3, PESO BRUTO TOTAL 16.000 KG, CARGA ÚTIL MÁXIMA 13.071 KG, DISTÂNCIA ENTRE EIXOS 4,80 M, POTÊNCIA 230 CV INCLUSIVE CAÇAMBA METÁLICA - IMPOSTOS E SEGUROS. </t>
  </si>
  <si>
    <t>EQUIP</t>
  </si>
  <si>
    <t>91367 SINAPI MT 2018</t>
  </si>
  <si>
    <t>37733</t>
  </si>
  <si>
    <t>CACAMBA METALICA BASCULANTE COM CAPACIDADE DE 6 M3 (INCLUI MONTAGEM, NAO INCLUI CAMINHAO)</t>
  </si>
  <si>
    <t>37760</t>
  </si>
  <si>
    <t>CAMINHAO TOCO, PESO BRUTO TOTAL 16000 KG, CARGA UTIL MAXIMA 13071 KG, DISTANCIA ENTRE EIXOS 4,80 M, POTENCIA 230 CV (INCLUI CABINE E CHASSI, NAO INCLUI CARROCERIA)</t>
  </si>
  <si>
    <t>251.584,95</t>
  </si>
  <si>
    <t>91368 SINAPI MT 2018</t>
  </si>
  <si>
    <t>91369 SINAPI MT 2018</t>
  </si>
  <si>
    <t>CAMINHÃO BASCULANTE 6 M3, PESO BRUTO TOTAL 16.000 KG, CARGA ÚTIL MÁXIMA 13.071 KG, DISTÂNCIA ENTRE EIXOS 4,80 M, POTÊNCIA 230 CV INCLUSIVE CAÇAMBA METÁLICA - IMPOSTOS E SEGUROS</t>
  </si>
  <si>
    <t>Código:   73847/001</t>
  </si>
  <si>
    <t>Descrição:  ALUGUEL CONTAINER/ESCRIT INCL INST ELET LARG=2,20 COMP=6,20M ALT=2,50M CHAPA ACO C/NERV TRAPEZ FORRO C/ISOL TERMO/ACUSTICO CHASSIS REFORC PISO COMPENS NAVAL EXC TRANSP/CARGA/DESCARGA</t>
  </si>
  <si>
    <t>MÊS</t>
  </si>
  <si>
    <t>2,5899292</t>
  </si>
  <si>
    <t>0,3018941</t>
  </si>
  <si>
    <t>21,0231487</t>
  </si>
  <si>
    <t>0,2338900</t>
  </si>
  <si>
    <t>0,1357774</t>
  </si>
  <si>
    <t>0,4990999</t>
  </si>
  <si>
    <t>0,2027047</t>
  </si>
  <si>
    <t>Código:   93557  SINAP MT</t>
  </si>
  <si>
    <t>Descrição:  EPI (ENCARGOS COMPLEMENTARES) - MENSALISTA</t>
  </si>
  <si>
    <t>Código:   94107 SINAPI 05/2018</t>
  </si>
  <si>
    <t>Descrição:  LASTRO COM PREPARO DE FUNDO, LARGURA MAIOR OU IGUAL A 1,5 M, COM CAMADA DE BRITA, LANÇAMENTO MANUAL, EM LOCAL COM NÍVEL BAIXO DE INTERFERÊNCIA.</t>
  </si>
  <si>
    <t>4720</t>
  </si>
  <si>
    <t>PEDRA BRITADA N. 0, OU PEDRISCO (4,8 A 9,5 MM) POSTO PEDREIRA/FORNECEDOR, SEM FRETE</t>
  </si>
  <si>
    <t>88309</t>
  </si>
  <si>
    <t>91533</t>
  </si>
  <si>
    <t>91534</t>
  </si>
  <si>
    <t xml:space="preserve">COMPACTADOR DE SOLOS DE PERCUSSÃO (SOQUETE) COM MOTOR A GASOLINA 4 TEMPOS, POTÊNCIA 4 CV - CHI DIURNO. </t>
  </si>
  <si>
    <t xml:space="preserve">COMPACTADOR DE SOLOS DE PERCUSSÃO (SOQUETE) COM MOTOR A GASOLINA 4 TEMPOS, POTÊNCIA 4 CV - CHP DIURNO. </t>
  </si>
  <si>
    <t>CHP</t>
  </si>
  <si>
    <t>1,1000000</t>
  </si>
  <si>
    <t>2,1540000</t>
  </si>
  <si>
    <t>3,2300000</t>
  </si>
  <si>
    <t>0,0320000</t>
  </si>
  <si>
    <t>0,0300000</t>
  </si>
  <si>
    <t>91533 SINAPI MT 2018</t>
  </si>
  <si>
    <t>COMPACTADOR DE SOLOS DE PERCUSSÃO (SOQUETE) COM MOTOR A GASOLINA 4 TEMPOS, POTÊNCIA 4 CV - CHP DIURNO.</t>
  </si>
  <si>
    <t>OPERADOR DE MÁQUINAS E EQUIPAMENTOS COM ENCARGOS COMPLEMENTARES</t>
  </si>
  <si>
    <t>91529</t>
  </si>
  <si>
    <t>91530</t>
  </si>
  <si>
    <t>91531</t>
  </si>
  <si>
    <t>91532</t>
  </si>
  <si>
    <t>COMPACTADOR DE SOLOS DE PERCUSSÃO (SOQUETE) COM MOTOR A GASOLINA 4 TEMPOS, POTÊNCIA 4 CV - MANUTENÇÃO.</t>
  </si>
  <si>
    <t>COMPACTADOR DE SOLOS DE PERCUSSÃO (SOQUETE) COM MOTOR A GASOLINA 4 TEMPOS, POTÊNCIA 4 CV - MATERIAIS NA OPERAÇÃO.</t>
  </si>
  <si>
    <t>COMPACTADOR DE SOLOS DE PERCUSSÃO (SOQUETE) COM MOTOR A GASOLINA 4 TEMPOS, POTÊNCIA 4 CV - JUROS.</t>
  </si>
  <si>
    <t xml:space="preserve">COMPACTADOR DE SOLOS DE PERCUSSÃO (SOQUETE) COM MOTOR A GASOLINA 4 TEMPOS, POTÊNCIA 4 CV - DEPRECIAÇÃO. </t>
  </si>
  <si>
    <t>88297 SINAPI MT 05/2018</t>
  </si>
  <si>
    <t>OPERADOR DE MÁQUINAS E TRATORES DIVERSOS (TERRAPLANAGEM)</t>
  </si>
  <si>
    <t>CURSO DE CAPACITAÇÃO PARA OPERADOR DE MÁQUINAS E EQUIPAMENTOS (ENCARGOS COMPLEMENTARES) - HORISTA</t>
  </si>
  <si>
    <t>95360 SINAPI MT 05/2018</t>
  </si>
  <si>
    <t>91529 SINAPI MT 05/2018</t>
  </si>
  <si>
    <t>13458</t>
  </si>
  <si>
    <t>COMPACTADOR DE SOLOS DE PERCURSAO (SOQUETE) COM MOTOR A GASOLINA 4 TEMPOS DE 4 HP (4 CV)</t>
  </si>
  <si>
    <t>91530 SINAPI MT 05/2018</t>
  </si>
  <si>
    <t>COMPACTADOR DE SOLOS DE PERCUSSÃO (SOQUETE) COM MOTOR A GASOLINA 4 TEMPOS, POTÊNCIA 4 CV - JUROS</t>
  </si>
  <si>
    <t>91531 SINAPI MT 05/2018</t>
  </si>
  <si>
    <t>COMPACTADOR DE SOLOS DE PERCUSSÃO (SOQUETE) COM MOTOR A GASOLINA 4 TEMPOS, POTÊNCIA 4 CV - MANUTENÇÃO</t>
  </si>
  <si>
    <t>91532 SINAPI MT 05/2018</t>
  </si>
  <si>
    <t>COMPACTADOR DE SOLOS DE PERCUSSÃO (SOQUETE) COM MOTOR A GASOLINA 4 TEMPOS, POTÊNCIA 4 CV - MATERIAIS NA OPERAÇÃO</t>
  </si>
  <si>
    <t>GASOLINA COMUM</t>
  </si>
  <si>
    <t>91534 SINAPI MT 2018</t>
  </si>
  <si>
    <t>Código:   96619 SINAPI 05/2018</t>
  </si>
  <si>
    <t>SINAPI  96619</t>
  </si>
  <si>
    <t>Descrição:  LASTRO DE CONCRETO MAGRO, APLICADO EM BLOCOS DE COROAMENTO OU SAPATAS. ESPESSURA 5CM</t>
  </si>
  <si>
    <t>94968 SINAPI MT 2018</t>
  </si>
  <si>
    <t xml:space="preserve">CONCRETO MAGRO PARA LASTRO, TRAÇO 1:4,5:4,5 (CIMENTO/ AREIA MÉDIA/ BRITA 1)  - PREPARO MECÂNICO COM BETONEIRA 600 L. </t>
  </si>
  <si>
    <t>370</t>
  </si>
  <si>
    <t>AREIA MEDIA - POSTO JAZIDA/FORNECEDOR (RETIRADO NA JAZIDA, SEM TRANSPORTE)</t>
  </si>
  <si>
    <t>1379</t>
  </si>
  <si>
    <t>CIMENTO PORTLAND COMPOSTO CP II-32</t>
  </si>
  <si>
    <t>4721</t>
  </si>
  <si>
    <t>PEDRA BRITADA N. 1 (9,5 a 19 MM) POSTO PEDREIRA/FORNECEDOR, SEM FRETE</t>
  </si>
  <si>
    <t>88377</t>
  </si>
  <si>
    <t>OPERADOR DE BETONEIRA ESTACIONÁRIA/MISTURADOR COM ENCARGOS COMPLEMENTARES</t>
  </si>
  <si>
    <t>89225</t>
  </si>
  <si>
    <t>BETONEIRA CAPACIDADE NOMINAL DE 600 L, CAPACIDADE DE MISTURA 360 L, MOTOR ELÉTRICO TRIFÁSICO POTÊNCIA DE 4 CV, SEM CARREGADOR - CHP DIURNO. AF_11/2014</t>
  </si>
  <si>
    <t>89226</t>
  </si>
  <si>
    <t>BETONEIRA CAPACIDADE NOMINAL DE 600 L, CAPACIDADE DE MISTURA 360 L, MOTOR ELÉTRICO TRIFÁSICO POTÊNCIA DE 4 CV, SEM CARREGADOR - CHI DIURNO. AF_11/2014</t>
  </si>
  <si>
    <t>88377 SINAPI MT 05/2018</t>
  </si>
  <si>
    <t>OPERADOR DE BETONEIRA ESTACIONÁRIA/MISTURADOR</t>
  </si>
  <si>
    <t>CURSO DE CAPACITAÇÃO PARA OPERADOR DE BETONEIRA ESTACIONÁRIA/MISTURADOR (ENCARGOS COMPLEMENTARES) - HORISTA</t>
  </si>
  <si>
    <t>95389 SINAPI MT 05/2018</t>
  </si>
  <si>
    <t>89225 SINAPI MT 2018</t>
  </si>
  <si>
    <t>89221</t>
  </si>
  <si>
    <t>89222</t>
  </si>
  <si>
    <t>89223</t>
  </si>
  <si>
    <t>89224</t>
  </si>
  <si>
    <t xml:space="preserve">BETONEIRA CAPACIDADE NOMINAL DE 600 L, CAPACIDADE DE MISTURA 360 L, MOTOR ELÉTRICO TRIFÁSICO POTÊNCIA DE 4 CV, SEM CARREGADOR - DEPRECIAÇÃO. </t>
  </si>
  <si>
    <t xml:space="preserve">BETONEIRA CAPACIDADE NOMINAL DE 600 L, CAPACIDADE DE MISTURA 360 L, MOTOR ELÉTRICO TRIFÁSICO POTÊNCIA DE 4 CV, SEM CARREGADOR - JUROS. </t>
  </si>
  <si>
    <t xml:space="preserve">BETONEIRA CAPACIDADE NOMINAL DE 600 L, CAPACIDADE DE MISTURA 360 L, MOTOR ELÉTRICO TRIFÁSICO POTÊNCIA DE 4 CV, SEM CARREGADOR - MANUTENÇÃO. </t>
  </si>
  <si>
    <t xml:space="preserve">BETONEIRA CAPACIDADE NOMINAL DE 600 L, CAPACIDADE DE MISTURA 360 L, MOTOR ELÉTRICO TRIFÁSICO POTÊNCIA DE 4 CV, SEM CARREGADOR - MATERIAIS NA OPERAÇÃO. </t>
  </si>
  <si>
    <t>BETONEIRA CAPACIDADE NOMINAL DE 600 L, CAPACIDADE DE MISTURA 360 L, MOTOR ELÉTRICO TRIFÁSICO POTÊNCIA DE 4 CV, SEM CARREGADOR - CHP DIURNO.</t>
  </si>
  <si>
    <t>89221 SINAPI MT 2018</t>
  </si>
  <si>
    <t>BETONEIRA, CAPACIDADE NOMINAL 600 L, CAPACIDADE DE MISTURA  360L, MOTOR ELETRICO TRIFASICO 220/380V, POTENCIA 4CV, EXCLUSO CARREGADOR</t>
  </si>
  <si>
    <t>89222 SINAPI MT 2018</t>
  </si>
  <si>
    <t>BETONEIRA CAPACIDADE NOMINAL DE 600 L, CAPACIDADE DE MISTURA 360 L, MOTOR ELÉTRICO TRIFÁSICO POTÊNCIA DE 4 CV, SEM CARREGADOR - JUROS</t>
  </si>
  <si>
    <t>89223 SINAPI MT 2018</t>
  </si>
  <si>
    <t>BETONEIRA CAPACIDADE NOMINAL DE 600 L, CAPACIDADE DE MISTURA 360 L, MOTOR ELÉTRICO TRIFÁSICO POTÊNCIA DE 4 CV, SEM CARREGADOR - MANUTENÇÃO</t>
  </si>
  <si>
    <t>89224 SINAPI MT 2018</t>
  </si>
  <si>
    <t>BETONEIRA CAPACIDADE NOMINAL DE 600 L, CAPACIDADE DE MISTURA 360 L, MOTOR ELÉTRICO TRIFÁSICO POTÊNCIA DE 4 CV, SEM CARREGADOR - MATERIAIS NA OPERAÇÃO</t>
  </si>
  <si>
    <t>2705</t>
  </si>
  <si>
    <t>ENERGIA ELETRICA ATE 2000 KWH INDUSTRIAL, SEM DEMANDA</t>
  </si>
  <si>
    <t>KW/H</t>
  </si>
  <si>
    <t>89226 SINAPI MT 2018</t>
  </si>
  <si>
    <t>BETONEIRA CAPACIDADE NOMINAL DE 600 L, CAPACIDADE DE MISTURA 360 L, MOTOR ELÉTRICO TRIFÁSICO POTÊNCIA DE 4 CV, SEM CARREGADOR - CHI DIURNO.</t>
  </si>
  <si>
    <t>39017</t>
  </si>
  <si>
    <t>ESPACADOR / DISTANCIADOR CIRCULAR COM ENTRADA LATERAL, EM PLASTICO, PARA VERGALHAO *4,2 A 12,5* MM, COBRIMENTO 20 MM</t>
  </si>
  <si>
    <t>88238</t>
  </si>
  <si>
    <t>AJUDANTE DE ARMADOR COM ENCARGOS COMPLEMENTARES</t>
  </si>
  <si>
    <t>88245</t>
  </si>
  <si>
    <t>ARMADOR COM ENCARGOS COMPLEMENTARES</t>
  </si>
  <si>
    <t>88238 SINAPI MT  05/2018</t>
  </si>
  <si>
    <t>CURSO DE CAPACITAÇÃO PARA AJUDANTE DE ARMADOR (ENCARGOS COMPLEMENTARES) - HORISTA</t>
  </si>
  <si>
    <t>95308 SINAPI MT 05/2018</t>
  </si>
  <si>
    <t>AJUDANTE DE ARMADOR</t>
  </si>
  <si>
    <t>88245 SINAPI MT  05/2018</t>
  </si>
  <si>
    <t>CURSO DE CAPACITAÇÃO PARA ARMADOR (ENCARGOS COMPLEMENTARES) - HORISTA</t>
  </si>
  <si>
    <t>ARMADOR</t>
  </si>
  <si>
    <t>95314 SINAPI MT 05/2018</t>
  </si>
  <si>
    <t>33</t>
  </si>
  <si>
    <t>ACO CA-50, 8,0 MM, VERGALHAO</t>
  </si>
  <si>
    <t>92793 SINAPI MT 05/2018</t>
  </si>
  <si>
    <t>CORTE E DOBRA DE AÇO CA-50, DIÂMETRO DE 8,0 MM, UTILIZADO EM ESTRUTURAS DIVERSAS, EXCETO LAJES.</t>
  </si>
  <si>
    <t>Código:   73994/001 SINAPI 05/2018</t>
  </si>
  <si>
    <t>Descrição:   ARMACAO EM TELA DE ACO SOLDADA NERVURADA Q-138, ACO CA-60, 4,2MM, MALHA 10X10CM</t>
  </si>
  <si>
    <t>TELA DE ACO SOLDADA NERVURADA CA-60, Q-138, (2,20 KG/M2), DIAMETRO DO FIO = 4,2 MM, LARGURA =  2,45 X 120 M DE COMPRIMENTO, ESPACAMENTO DA MALHA = 10 X 10 CM</t>
  </si>
  <si>
    <t>M2</t>
  </si>
  <si>
    <t>AJUDANTE DE CARPINTEIRO COM ENCARGOS COMPLEMENTARES</t>
  </si>
  <si>
    <t>88239 SINAPI MT  05/2018</t>
  </si>
  <si>
    <t xml:space="preserve">SERRA CIRCULAR DE BANCADA COM MOTOR ELÉTRICO POTÊNCIA DE 5HP, COM COIFA PARA DISCO 10" - CHI DIURNO. </t>
  </si>
  <si>
    <t xml:space="preserve">SERRA CIRCULAR DE BANCADA COM MOTOR ELÉTRICO POTÊNCIA DE 5HP, COM COIFA PARA DISCO 10" - CHP DIURNO. </t>
  </si>
  <si>
    <t>91692 SINAPI MT 2018</t>
  </si>
  <si>
    <t>88297</t>
  </si>
  <si>
    <t>91688</t>
  </si>
  <si>
    <t>91689</t>
  </si>
  <si>
    <t>91690</t>
  </si>
  <si>
    <t>91691</t>
  </si>
  <si>
    <t>91688 SINAPI MT 2018</t>
  </si>
  <si>
    <t>14618</t>
  </si>
  <si>
    <t>SERRA CIRCULAR DE BANCADA COM MOTOR ELETRICO, POTENCIA DE *1600* W, PARA DISCO DE DIAMETRO DE 10" (250 MM)</t>
  </si>
  <si>
    <t>91689 SINAPI MT 2018</t>
  </si>
  <si>
    <t>SERRA CIRCULAR DE BANCADA COM MOTOR ELÉTRICO POTÊNCIA DE 5HP, COM COIFA PARA DISCO 10" - DEPRECIAÇÃO.</t>
  </si>
  <si>
    <t>SERRA CIRCULAR DE BANCADA COM MOTOR ELÉTRICO POTÊNCIA DE 5HP, COM COIFA PARA DISCO 10" - JUROS.</t>
  </si>
  <si>
    <t>91690 SINAPI MT 2018</t>
  </si>
  <si>
    <t>SERRA CIRCULAR DE BANCADA COM MOTOR ELÉTRICO POTÊNCIA DE 5HP, COM COIFA PARA DISCO 10" - MANUTENÇÃO.</t>
  </si>
  <si>
    <t xml:space="preserve">SERRA CIRCULAR DE BANCADA COM MOTOR ELÉTRICO POTÊNCIA DE 5HP, COM COIFA PARA DISCO 10" - JUROS. </t>
  </si>
  <si>
    <t xml:space="preserve">SERRA CIRCULAR DE BANCADA COM MOTOR ELÉTRICO POTÊNCIA DE 5HP, COM COIFA PARA DISCO 10" - MANUTENÇÃO. </t>
  </si>
  <si>
    <t xml:space="preserve">SERRA CIRCULAR DE BANCADA COM MOTOR ELÉTRICO POTÊNCIA DE 5HP, COM COIFA PARA DISCO 10" - MATERIAIS NA OPERAÇÃO. </t>
  </si>
  <si>
    <t>91691 SINAPI MT 2018</t>
  </si>
  <si>
    <t>SERRA CIRCULAR DE BANCADA COM MOTOR ELÉTRICO POTÊNCIA DE 5HP, COM COIFA PARA DISCO 10" - MATERIAIS NA OPERAÇÃO.</t>
  </si>
  <si>
    <t>91693 SINAPI MT 2018</t>
  </si>
  <si>
    <t>Código:   94965 SINAPI MT</t>
  </si>
  <si>
    <t xml:space="preserve">Descrição:  CONCRETO FCK = 25MPA, TRAÇO 1:2,3:2,7 (CIMENTO/ AREIA MÉDIA/ BRITA 1)  - PREPARO MECÂNICO COM BETONEIRA 400 L. </t>
  </si>
  <si>
    <t>88830</t>
  </si>
  <si>
    <t>BETONEIRA CAPACIDADE NOMINAL DE 400 L, CAPACIDADE DE MISTURA 280 L, MOTOR ELÉTRICO TRIFÁSICO POTÊNCIA DE 2 CV, SEM CARREGADOR - CHP DIURNO.</t>
  </si>
  <si>
    <t>BETONEIRA CAPACIDADE NOMINAL DE 400 L, CAPACIDADE DE MISTURA 280 L, MOTOR ELÉTRICO TRIFÁSICO POTÊNCIA DE 2 CV, SEM CARREGADOR - CHI DIURNO.</t>
  </si>
  <si>
    <t>88830 SINAPI MT 2018</t>
  </si>
  <si>
    <t xml:space="preserve">BETONEIRA CAPACIDADE NOMINAL DE 400 L, CAPACIDADE DE MISTURA 280 L, MOTOR ELÉTRICO TRIFÁSICO POTÊNCIA DE 2 CV, SEM CARREGADOR - CHP DIURNO. </t>
  </si>
  <si>
    <t xml:space="preserve">BETONEIRA CAPACIDADE NOMINAL DE 400 L, CAPACIDADE DE MISTURA 280 L, MOTOR ELÉTRICO TRIFÁSICO POTÊNCIA DE 2 CV, SEM CARREGADOR - DEPRECIAÇÃO. </t>
  </si>
  <si>
    <t xml:space="preserve">BETONEIRA CAPACIDADE NOMINAL DE 400 L, CAPACIDADE DE MISTURA 280 L, MOTOR ELÉTRICO TRIFÁSICO POTÊNCIA DE 2 CV, SEM CARREGADOR - JUROS. </t>
  </si>
  <si>
    <t xml:space="preserve">BETONEIRA CAPACIDADE NOMINAL DE 400 L, CAPACIDADE DE MISTURA 280 L, MOTOR ELÉTRICO TRIFÁSICO POTÊNCIA DE 2 CV, SEM CARREGADOR - MANUTENÇÃO. </t>
  </si>
  <si>
    <t xml:space="preserve">BETONEIRA CAPACIDADE NOMINAL DE 400 L, CAPACIDADE DE MISTURA 280 L, MOTOR ELÉTRICO TRIFÁSICO POTÊNCIA DE 2 CV, SEM CARREGADOR - MATERIAIS NA OPERAÇÃO. </t>
  </si>
  <si>
    <t>88826 SINAPI MT 2018</t>
  </si>
  <si>
    <t>BETONEIRA CAPACIDADE NOMINAL DE 400 L, CAPACIDADE DE MISTURA 280 L, MOTOR ELÉTRICO TRIFÁSICO POTÊNCIA DE 2 CV, SEM CARREGADOR - JUROS</t>
  </si>
  <si>
    <t>88827 SINAPI MT 2018</t>
  </si>
  <si>
    <t>88828 SINAPI MT 2018</t>
  </si>
  <si>
    <t>BETONEIRA CAPACIDADE NOMINAL DE 400 L, CAPACIDADE DE MISTURA 280 L, MOTOR ELÉTRICO TRIFÁSICO POTÊNCIA DE 2 CV, SEM CARREGADOR - MANUTENÇÃO</t>
  </si>
  <si>
    <t>88829 SINAPI MT 2018</t>
  </si>
  <si>
    <t>BETONEIRA CAPACIDADE NOMINAL DE 400 L, CAPACIDADE DE MISTURA 280 L, MOTOR ELÉTRICO TRIFÁSICO POTÊNCIA DE 2 CV, SEM CARREGADOR - MATERIAIS NA OPERAÇÃO</t>
  </si>
  <si>
    <t>BETONEIRA, CAPACIDADE NOMINAL 400 L, CAPACIDADE DE MISTURA  280L, MOTOR ELETRICO TRIFASICO 220/380V, POTENCIA 2CV, EXCLUSO CARREGADOR</t>
  </si>
  <si>
    <t>BETONEIRA, CAPACIDADE NOMINAL 400 L, CAPACIDADE DE MISTURA  280L, MOTOR ELETRICO TRIFASICO 220/380V, POTENCIA 4CV, EXCLUSO CARREGADOR</t>
  </si>
  <si>
    <t>88831 SINAPI MT 2018</t>
  </si>
  <si>
    <t xml:space="preserve">BETONEIRA CAPACIDADE NOMINAL DE 400 L, CAPACIDADE DE MISTURA 280 L, MOTOR ELÉTRICO TRIFÁSICO POTÊNCIA DE 2 CV, SEM CARREGADOR - CHI DIURNO. </t>
  </si>
  <si>
    <t>Descrição:</t>
  </si>
  <si>
    <t>CARPINTEIRO AUXILIAR</t>
  </si>
  <si>
    <t>93281</t>
  </si>
  <si>
    <t>93282</t>
  </si>
  <si>
    <t>GUINCHO ELÉTRICO DE COLUNA, CAPACIDADE 400 KG, COM MOTO FREIO, MOTOR TRIFÁSICO DE 1,25 CV - CHP DIURNO.</t>
  </si>
  <si>
    <t xml:space="preserve">GUINCHO ELÉTRICO DE COLUNA, CAPACIDADE 400 KG, COM MOTO FREIO, MOTOR TRIFÁSICO DE 1,25 CV - CHI DIURNO. </t>
  </si>
  <si>
    <t>4408</t>
  </si>
  <si>
    <t>RIPA DE MADEIRA NAO APARELHADA *1,5 X 5* CM, MACARANDUBA, ANGELIM OU EQUIVALENTE DA REGIAO</t>
  </si>
  <si>
    <t>4425</t>
  </si>
  <si>
    <t>VIGA DE MADEIRA NAO APARELHADA 6 X 12 CM, MACARANDUBA, ANGELIM OU EQUIVALENTE DA REGIAO</t>
  </si>
  <si>
    <t>4430</t>
  </si>
  <si>
    <t>CAIBRO DE MADEIRA NAO APARELHADA *5 X 6* CM, MACARANDUBA, ANGELIM OU EQUIVALENTE DA REGIAO</t>
  </si>
  <si>
    <t>20247</t>
  </si>
  <si>
    <t>PREGO DE ACO POLIDO COM CABECA 15 X 15 (1 1/4 X 13)</t>
  </si>
  <si>
    <t>39027</t>
  </si>
  <si>
    <t>PREGO DE ACO POLIDO COM CABECA 19  X 36 (3 1/4  X  9)</t>
  </si>
  <si>
    <t>40568</t>
  </si>
  <si>
    <t>PREGO DE ACO POLIDO COM CABECA 22 X 48 (4 1/4 X 5)</t>
  </si>
  <si>
    <t>93281 SINAPI MT 2018</t>
  </si>
  <si>
    <t>88295</t>
  </si>
  <si>
    <t>OPERADOR DE GUINCHO COM ENCARGOS COMPLEMENTARES</t>
  </si>
  <si>
    <t>93277</t>
  </si>
  <si>
    <t>GUINCHO ELÉTRICO DE COLUNA, CAPACIDADE 400 KG, COM MOTO FREIO, MOTOR TRIFÁSICO DE 1,25 CV - DEPRECIAÇÃO. AF_03/2016</t>
  </si>
  <si>
    <t>93278</t>
  </si>
  <si>
    <t>GUINCHO ELÉTRICO DE COLUNA, CAPACIDADE 400 KG, COM MOTO FREIO, MOTOR TRIFÁSICO DE 1,25 CV - JUROS. AF_03/2016</t>
  </si>
  <si>
    <t>93279</t>
  </si>
  <si>
    <t>GUINCHO ELÉTRICO DE COLUNA, CAPACIDADE 400 KG, COM MOTO FREIO, MOTOR TRIFÁSICO DE 1,25 CV - MANUTENÇÃO. AF_03/2016</t>
  </si>
  <si>
    <t>93280</t>
  </si>
  <si>
    <t>GUINCHO ELÉTRICO DE COLUNA, CAPACIDADE 400 KG, COM MOTO FREIO, MOTOR TRIFÁSICO DE 1,25 CV - MATERIAIS NA OPERAÇÃO. AF_03/2016</t>
  </si>
  <si>
    <t>88295 SINAPI MT 05/2018</t>
  </si>
  <si>
    <t>OPERADOR DE GUINCHO</t>
  </si>
  <si>
    <t>CURSO DE CAPACITAÇÃO PARA OPERADOR DE GUINCHO (ENCARGOS COMPLEMENTARES) - HORISTA</t>
  </si>
  <si>
    <t>95358 SINAPI MT 05/2018</t>
  </si>
  <si>
    <t>93277 SINAPI MT 05/2018</t>
  </si>
  <si>
    <t xml:space="preserve">GUINCHO ELÉTRICO DE COLUNA, CAPACIDADE 400 KG, COM MOTO FREIO, MOTOR TRIFÁSICO DE 1,25 CV - DEPRECIAÇÃO. </t>
  </si>
  <si>
    <t>36487</t>
  </si>
  <si>
    <t>GUINCHO ELETRICO DE COLUNA, CAPACIDADE 400 KG, COM MOTO FREIO, MOTOR TRIFASICO DE 1,25 CV</t>
  </si>
  <si>
    <t>93278 SINAPI MT 05/2018</t>
  </si>
  <si>
    <t xml:space="preserve">GUINCHO ELÉTRICO DE COLUNA, CAPACIDADE 400 KG, COM MOTO FREIO, MOTOR TRIFÁSICO DE 1,25 CV - JUROS. </t>
  </si>
  <si>
    <t>CLASS</t>
  </si>
  <si>
    <t>93279 SINAPI MT 05/2018</t>
  </si>
  <si>
    <t xml:space="preserve">GUINCHO ELÉTRICO DE COLUNA, CAPACIDADE 400 KG, COM MOTO FREIO, MOTOR TRIFÁSICO DE 1,25 CV - MANUTENÇÃO. </t>
  </si>
  <si>
    <t>93280 SINAPI MT 05/2018</t>
  </si>
  <si>
    <t xml:space="preserve">GUINCHO ELÉTRICO DE COLUNA, CAPACIDADE 400 KG, COM MOTO FREIO, MOTOR TRIFÁSICO DE 1,25 CV - MATERIAIS NA OPERAÇÃO. </t>
  </si>
  <si>
    <t>93282 SINAPI MT 2018</t>
  </si>
  <si>
    <t>GUINCHO ELÉTRICO DE COLUNA, CAPACIDADE 400 KG, COM MOTO FREIO, MOTOR TRIFÁSICO DE 1,25 CV - CHI DIURNO.</t>
  </si>
  <si>
    <t>TELHADISTA COM ENCARGOS COMPLEMENTARES</t>
  </si>
  <si>
    <t>88323 SINAPI MT  05/2018</t>
  </si>
  <si>
    <t>CURSO DE CAPACITAÇÃO PARA TELHADISTA (ENCARGOS COMPLEMENTARES) - HORISTA</t>
  </si>
  <si>
    <t>TELHADOR</t>
  </si>
  <si>
    <t>95385 SINAPI MT 05/2018</t>
  </si>
  <si>
    <t>Código:   92539 SINAPI MT</t>
  </si>
  <si>
    <t xml:space="preserve">TRAMA DE MADEIRA COMPOSTA POR RIPAS, CAIBROS E TERÇAS PARA TELHADOS DE ATÉ 2 ÁGUAS PARA TELHA DE ENCAIXE CERÂMICA OU DE CONCRETO, INCLUSO TRANSPORTE VERTICAL. </t>
  </si>
  <si>
    <t>Código:   88241 SINAPI MT</t>
  </si>
  <si>
    <t>CURSO DE CAPACITAÇÃO PARA AJUDANTE DE CARPINTEIRO (ENCARGOS COMPLEMENTARES) - HORISTA</t>
  </si>
  <si>
    <t>95309 SINAPI MT 05/2018</t>
  </si>
  <si>
    <t>PINTOR COM ENCARGOS COMPLEMENTARES</t>
  </si>
  <si>
    <t>SERVENTE ENCARGOS COMPLEMENTARES</t>
  </si>
  <si>
    <t>88310 SINAPI MT  05/2018</t>
  </si>
  <si>
    <t>PINTOR</t>
  </si>
  <si>
    <t>CURSO DE CAPACITAÇÃO PARA PINTOR (ENCARGOS COMPLEMENTARES) - HORISTA</t>
  </si>
  <si>
    <t>95372 SINAPI MT 05/2018</t>
  </si>
  <si>
    <t>Código:   93137 SINAPI MT</t>
  </si>
  <si>
    <t>UND</t>
  </si>
  <si>
    <t xml:space="preserve">PONTO DE ILUMINAÇÃO RESIDENCIAL INCLUINDO INTERRUPTOR SIMPLES (2 MÓDULOS), CAIXA ELÉTRICA, ELETRODUTO, CABO, RASGO, QUEBRA E CHUMBAMENTO (EXCLUINDO LUMINÁRIA E LÂMPADA). </t>
  </si>
  <si>
    <t>90456</t>
  </si>
  <si>
    <t>90466</t>
  </si>
  <si>
    <t>91842</t>
  </si>
  <si>
    <t>91852</t>
  </si>
  <si>
    <t>91924</t>
  </si>
  <si>
    <t>91937</t>
  </si>
  <si>
    <t>91940</t>
  </si>
  <si>
    <t>91959</t>
  </si>
  <si>
    <t xml:space="preserve">RASGO EM ALVENARIA PARA ELETRODUTOS COM DIAMETROS MENORES OU IGUAIS A 40 MM. </t>
  </si>
  <si>
    <t xml:space="preserve">QUEBRA EM ALVENARIA PARA INSTALAÇÃO DE CAIXA DE TOMADA (4X4 OU 4X2). </t>
  </si>
  <si>
    <t xml:space="preserve">CHUMBAMENTO LINEAR EM ALVENARIA PARA RAMAIS/DISTRIBUIÇÃO COM DIÂMETROS MENORES OU IGUAIS A 40 MM. </t>
  </si>
  <si>
    <t>Código:   90447 SINAPI MT</t>
  </si>
  <si>
    <t>RASGO EM ALVENARIA PARA ELETRODUTOS COM DIAMETROS MENORES OU IGUAIS A 40 MM.</t>
  </si>
  <si>
    <t>AUXILIAR DE ELETRICISTA COM ENCARGOS COMPLEMENTARES</t>
  </si>
  <si>
    <t>ELETRICISTA COM ENCARGOS COMPLEMENTARES</t>
  </si>
  <si>
    <t xml:space="preserve">ELETRICISTA </t>
  </si>
  <si>
    <t>CURSO DE CAPACITAÇÃO PARA ELETRICISTA (ENCARGOS COMPLEMENTARES) - HORISTA</t>
  </si>
  <si>
    <t xml:space="preserve">AJUDANTE DE ELETRICISTA </t>
  </si>
  <si>
    <t>CURSO DE CAPACITAÇÃO PARA AUXILIAR DE ELETRICISTA (ENCARGOS COMPLEMENTARES) - HORISTA</t>
  </si>
  <si>
    <t>95316 SINAPI MT 05/2018</t>
  </si>
  <si>
    <t>AJUDANTE DE ELETRICISTA</t>
  </si>
  <si>
    <t>95332 SINAPI MT 05/2018</t>
  </si>
  <si>
    <t>ELETRICISTA</t>
  </si>
  <si>
    <t>Código:   90456 SINAPI MT</t>
  </si>
  <si>
    <t>QUEBRA EM ALVENARIA PARA INSTALAÇÃO DE CAIXA DE TOMADA (4X4 OU 4X2).</t>
  </si>
  <si>
    <t>AUXILIAR DE ENCANADOR OU BOMBEIRO HIDRÁULICO COM ENCARGOS COMPLEMENTARES</t>
  </si>
  <si>
    <t>ENCANADOR OU BOMBEIRO HIDRÁULICO COM ENCARGOS COMPLEMENTARES</t>
  </si>
  <si>
    <t>88248 SINAPI MT  05/2018</t>
  </si>
  <si>
    <t>CURSO DE CAPACITAÇÃO PARA AUXILIAR DE ENCANADOR OU BOMBEIRO HIDRÁULICO (ENCARGOS COMPLEMENTARES) - HORISTA</t>
  </si>
  <si>
    <t>88267 SINAPI MT  05/2018</t>
  </si>
  <si>
    <t>ENCANADOR OU BOMBEIRO HIDRÁULICO</t>
  </si>
  <si>
    <t>CURSO DE CAPACITAÇÃO PARA ENCANADOR OU BOMBEIRO HIDRÁULICO (ENCARGOS COMPLEMENTARES) - HORISTA</t>
  </si>
  <si>
    <t>AUXILIAR DE ENCANADOR OU BOMBEIRO HIDRÁULICO</t>
  </si>
  <si>
    <t>95335 SINAPI MT 05/2018</t>
  </si>
  <si>
    <t>95317 SINAPI MT 05/2018</t>
  </si>
  <si>
    <t>Código:   90466 SINAPI MT</t>
  </si>
  <si>
    <t>ARGAMASSA TRAÇO 1:3 (CIMENTO E AREIA MÉDIA), PREPARO MANUAL. AF_08/2014</t>
  </si>
  <si>
    <t>Código:   88629 SINAPI MT</t>
  </si>
  <si>
    <t>ARGAMASSA TRAÇO 1:3 (CIMENTO E AREIA MÉDIA), PREPARO MANUAL.</t>
  </si>
  <si>
    <t>Código:   91842 SINAPI MT</t>
  </si>
  <si>
    <t xml:space="preserve">ELETRODUTO FLEXÍVEL CORRUGADO, PVC, DN 20 MM (1/2"), PARA CIRCUITOS TERMINAIS, INSTALADO EM LAJE - FORNECIMENTO E INSTALAÇÃO. </t>
  </si>
  <si>
    <t>2689</t>
  </si>
  <si>
    <t>ELETRODUTO PVC FLEXIVEL CORRUGADO, COR AMARELA, DE 20 MM</t>
  </si>
  <si>
    <t>34562</t>
  </si>
  <si>
    <t>ARAME RECOZIDO 16 BWG, 1,60 MM (0,016 KG/M)</t>
  </si>
  <si>
    <t>ELETRODUTO FLEXÍVEL CORRUGADO, PVC, DN 20 MM (1/2"), PARA CIRCUITOS TERMINAIS, INSTALADO EM LAJE - FORNECIMENTO E INSTALAÇÃO.</t>
  </si>
  <si>
    <t>Código:   91852 SINAPI MT</t>
  </si>
  <si>
    <t xml:space="preserve">ELETRODUTO FLEXÍVEL CORRUGADO, PVC, DN 20 MM (1/2"), PARA CIRCUITOS TERMINAIS, INSTALADO EM PAREDE - FORNECIMENTO E INSTALAÇÃO. </t>
  </si>
  <si>
    <t>Código:   91924 SINAPI MT</t>
  </si>
  <si>
    <t xml:space="preserve">CABO DE COBRE FLEXÍVEL ISOLADO, 1,5 MM², ANTI-CHAMA 450/750 V, PARA CIRCUITOS TERMINAIS - FORNECIMENTO E INSTALAÇÃO. </t>
  </si>
  <si>
    <t>983</t>
  </si>
  <si>
    <t>CABO DE COBRE, RIGIDO, CLASSE 2, ISOLACAO EM PVC/A, ANTICHAMA BWF-B, 1 CONDUTOR, 450/750 V, SECAO NOMINAL 1,5 MM2</t>
  </si>
  <si>
    <t>21127</t>
  </si>
  <si>
    <t>FITA ISOLANTE ADESIVA ANTICHAMA, USO ATE 750 V, EM ROLO DE 19 MM X 5 M</t>
  </si>
  <si>
    <t>Código:   91937 SINAPI MT</t>
  </si>
  <si>
    <t xml:space="preserve">CAIXA OCTOGONAL 3" X 3", PVC, INSTALADA EM LAJE - FORNECIMENTO E INSTALAÇÃO. </t>
  </si>
  <si>
    <t>1871</t>
  </si>
  <si>
    <t>CAIXA OCTOGONAL DE FUNDO MOVEL, EM PVC, DE 3" X 3", PARA ELETRODUTO FLEXIVEL CORRUGADO</t>
  </si>
  <si>
    <t>Código:   91940 SINAPI MT</t>
  </si>
  <si>
    <t xml:space="preserve">CAIXA RETANGULAR 4" X 2" MÉDIA (1,30 M DO PISO), PVC, INSTALADA EM PAREDE - FORNECIMENTO E INSTALAÇÃO. </t>
  </si>
  <si>
    <t>1872</t>
  </si>
  <si>
    <t>CAIXA DE PASSAGEM, EM PVC, DE 4" X 2", PARA ELETRODUTO FLEXIVEL CORRUGADO</t>
  </si>
  <si>
    <t xml:space="preserve">INTERRUPTOR SIMPLES (2 MÓDULOS), 10A/250V, INCLUINDO SUPORTE E PLACA - FORNECIMENTO E INSTALAÇÃO. </t>
  </si>
  <si>
    <t>Código:   91959 SINAPI MT</t>
  </si>
  <si>
    <t>SUPORTE PARAFUSADO COM PLACA DE ENCAIXE 4" X 2" MÉDIO (1,30 M DO PISO) PARA PONTO ELÉTRICO - FORNECIMENTO E INSTALAÇÃO.</t>
  </si>
  <si>
    <t xml:space="preserve">INTERRUPTOR SIMPLES (2 MÓDULOS), 10A/250V, SEM SUPORTE E SEM PLACA - FORNECIMENTO E INSTALAÇÃO. </t>
  </si>
  <si>
    <t>Código:   91946 SINAPI MT</t>
  </si>
  <si>
    <t xml:space="preserve">SUPORTE PARAFUSADO COM PLACA DE ENCAIXE 4" X 2" MÉDIO (1,30 M DO PISO) PARA PONTO ELÉTRICO - FORNECIMENTO E INSTALAÇÃO. </t>
  </si>
  <si>
    <t>38094</t>
  </si>
  <si>
    <t>ESPELHO / PLACA DE 3 POSTOS 4" X 2", PARA INSTALACAO DE TOMADAS E INTERRUPTORES</t>
  </si>
  <si>
    <t>38099</t>
  </si>
  <si>
    <t>SUPORTE DE FIXACAO PARA ESPELHO / PLACA 4" X 2", PARA 3 MODULOS, PARA INSTALACAO DE TOMADAS E INTERRUPTORES (SOMENTE SUPORTE)</t>
  </si>
  <si>
    <t>38112</t>
  </si>
  <si>
    <t>INTERRUPTOR SIMPLES 10A, 250V (APENAS MODULO)</t>
  </si>
  <si>
    <t>Código:   91958 SINAPI MT</t>
  </si>
  <si>
    <t xml:space="preserve">ARGAMASSA TRAÇO 1:3 (CIMENTO E AREIA MÉDIA), PREPARO MANUAL. </t>
  </si>
  <si>
    <t>Código:   93141 SINAPI MT</t>
  </si>
  <si>
    <t xml:space="preserve">CABO DE COBRE FLEXÍVEL ISOLADO, 2,5 MM², ANTI-CHAMA 450/750 V, PARA CIRCUITOS TERMINAIS - FORNECIMENTO E INSTALAÇÃO. </t>
  </si>
  <si>
    <t>Código:   91926 SINAPI MT</t>
  </si>
  <si>
    <t>1014</t>
  </si>
  <si>
    <t>CABO DE COBRE, FLEXIVEL, CLASSE 4 OU 5, ISOLACAO EM PVC/A, ANTICHAMA BWF-B, 1 CONDUTOR, 450/750 V, SECAO NOMINAL 2,5 MM2</t>
  </si>
  <si>
    <t>Código:   91996 SINAPI MT</t>
  </si>
  <si>
    <t xml:space="preserve">TOMADA MÉDIA DE EMBUTIR (1 MÓDULO), 2P+T 10 A, INCLUINDO SUPORTE E PLACA - FORNECIMENTO E INSTALAÇÃO. </t>
  </si>
  <si>
    <t>TOMADA MÉDIA DE EMBUTIR (1 MÓDULO), 2P+T 10 A, INCLUINDO SUPORTE E PLACA - FORNECIMENTO E INSTALAÇÃO.</t>
  </si>
  <si>
    <t xml:space="preserve">TOMADA MÉDIA DE EMBUTIR (1 MÓDULO), 2P+T 10 A, SEM SUPORTE E SEM PLACA - FORNECIMENTO E INSTALAÇÃO. </t>
  </si>
  <si>
    <t>Código:   91994 SINAPI MT</t>
  </si>
  <si>
    <t>38101</t>
  </si>
  <si>
    <t>TOMADA 2P+T 10A, 250V  (APENAS MODULO)</t>
  </si>
  <si>
    <t>Código:   97607 SINAPI MT</t>
  </si>
  <si>
    <t>38193</t>
  </si>
  <si>
    <t>LAMPADA LED 6 W BIVOLT BRANCA, FORMATO TRADICIONAL (BASE E27)</t>
  </si>
  <si>
    <t>LUMINARIA TIPO TARTARUGA PARA AREA EXTERNA EM ALUMINIO, COM GRADE, PARA 1 LAMPADA, BASE E27, POTENCIA MAXIMA 40/60 W (NAO INCLUI LAMPADA)</t>
  </si>
  <si>
    <t>Código:   97592 SINAPI MT</t>
  </si>
  <si>
    <t>LUMINARIA LED PLAFON REDONDO DE SOBREPOR BIVOLT 12/13 W,  D = *17* CM</t>
  </si>
  <si>
    <t>Código:   73743/001 SINAPI MT</t>
  </si>
  <si>
    <t>PISO EM PEDRA SÃO TOME ASSENTADO SOBRE ARGAMASSA 1:3 (CIMENTO E AREIA) REJUNTADO COM CIMENTO BRANCO</t>
  </si>
  <si>
    <t>1380</t>
  </si>
  <si>
    <t>CIMENTO BRANCO</t>
  </si>
  <si>
    <t>4710</t>
  </si>
  <si>
    <t>PEDRA QUARTZITO OU CALCARIO LAMINADO, SERRADA, TIPO CARIRI, ITACOLOMI, LAGOA SANTA, LUMINARIA, PIRENOPOLIS, SAO TOME OU OUTRAS SIMILARES DA REGIAO, *20 X *40 CM, E=  *1,5 A *2,5 CM</t>
  </si>
  <si>
    <t>Código:   9537 SINAPI MT</t>
  </si>
  <si>
    <t>3</t>
  </si>
  <si>
    <t>ACIDO MURIATICO, DILUICAO 10% A 12% PARA USO EM LIMPEZA</t>
  </si>
  <si>
    <t>LIMPEZA MANUAL DO TERRENO (C/ RASPAGEM SUPERFICIAL)</t>
  </si>
  <si>
    <t>Código:   73948/016 SINAPI MT</t>
  </si>
  <si>
    <t xml:space="preserve">Descrição:  </t>
  </si>
  <si>
    <t>Limpeza</t>
  </si>
  <si>
    <t>terreno</t>
  </si>
  <si>
    <t>final</t>
  </si>
  <si>
    <t>idem área de piso</t>
  </si>
  <si>
    <t>área de locação menos área de piso</t>
  </si>
  <si>
    <t>35272    sinapi</t>
  </si>
  <si>
    <t>9616.3558 PATRICIA</t>
  </si>
  <si>
    <t xml:space="preserve">ARMADOR </t>
  </si>
  <si>
    <t xml:space="preserve">AJUDANTE DE ARMADOR </t>
  </si>
  <si>
    <t xml:space="preserve">OPERADOR DE MÁQUINAS E EQUIPAMENTOS </t>
  </si>
  <si>
    <t>LOCACAO DE CONTAINER 2,30  X  6,00 M, ALT. 2,50 M, COM 1 SANITARIO, PARA ESCRITORIO, COMPLETO, SEM DIVISORIAS INTERNAS</t>
  </si>
  <si>
    <t xml:space="preserve">ART&amp;LUZ </t>
  </si>
  <si>
    <t>LUZ&amp;CIA</t>
  </si>
  <si>
    <t>FERNANDO 3624.1777</t>
  </si>
  <si>
    <t>ADRIANA 3025.6848</t>
  </si>
  <si>
    <t>LAURA 3322.2160</t>
  </si>
  <si>
    <t>DIMEL</t>
  </si>
  <si>
    <t>SINAPI 39385</t>
  </si>
  <si>
    <t>LUMINÁRIA TIPO RETRÔ INDUSTRIAL COM LÂMPADA (PENDENTE)</t>
  </si>
  <si>
    <t>38775 SINAPI</t>
  </si>
  <si>
    <t xml:space="preserve">TELHAMENTO COM TELHA DE CONCRETO DE ENCAIXE, COM ATÉ 2 ÁGUAS, INCLUSO TRANSPORTE VERTICAL. </t>
  </si>
  <si>
    <t>Código:   94189 SINAPI MT</t>
  </si>
  <si>
    <t>TELHA DE CONCRETO TIPO CLASSICA, COR CINZA, COMPRIMENTO DE *42* CM, RENDIMENTO DE *10* TELHAS/M2 (COLETADO CAIXA)</t>
  </si>
  <si>
    <t>SINAPI  94189</t>
  </si>
  <si>
    <t>5.1.3</t>
  </si>
  <si>
    <t>5.1.4</t>
  </si>
  <si>
    <t>6.2</t>
  </si>
  <si>
    <t>6.3</t>
  </si>
  <si>
    <t>Total item:  6</t>
  </si>
  <si>
    <t>Orçamento Sintético</t>
  </si>
  <si>
    <t>SINAPI       73847/001</t>
  </si>
  <si>
    <t>SINAPI          74077/003</t>
  </si>
  <si>
    <t>email 26/06</t>
  </si>
  <si>
    <t>email 27/06</t>
  </si>
  <si>
    <t>AGUARDANDO</t>
  </si>
  <si>
    <t>VALOR TOTAL DA OBRA     ( BDI = 24,57 % )</t>
  </si>
  <si>
    <t>aterro</t>
  </si>
  <si>
    <t xml:space="preserve">Descrição:  ATERRO MANUAL DE VALAS COM SOLO ARGILO-ARENOSO E COMPACTAÇÃO MECANIZADA. </t>
  </si>
  <si>
    <t>SINAPI  94342</t>
  </si>
  <si>
    <t>Código:   94342 SINAPI 05/2018</t>
  </si>
  <si>
    <t>368</t>
  </si>
  <si>
    <t>AREIA PARA ATERRO - POSTO JAZIDA/FORNECEDOR (RETIRADO NA JAZIDA, SEM TRANSPORTE)</t>
  </si>
  <si>
    <t>solo coeso, considerado escavação contra-barranco</t>
  </si>
  <si>
    <t>80kg/m3</t>
  </si>
  <si>
    <t>Considerado 1,50 m de folga para cada lado</t>
  </si>
  <si>
    <t>Fundação direta</t>
  </si>
  <si>
    <t>SINAPI  96526</t>
  </si>
  <si>
    <t>Código:   96526 SINAPI 05/2018</t>
  </si>
  <si>
    <t xml:space="preserve">Descrição:  ESCAVAÇÃO MANUAL DE VALA PARA VIGA BALDRAME, SEM PREVISÃO DE FORMA </t>
  </si>
  <si>
    <t>ESCAVAÇÃO MANUAL DE VALA PARA VIGA BALDRAME, SEM PREVISÃO DE FÔRMA.</t>
  </si>
  <si>
    <t>concreto 25MPa</t>
  </si>
  <si>
    <t>viga baldrame 20x60</t>
  </si>
  <si>
    <t>comprimento</t>
  </si>
  <si>
    <t>larg</t>
  </si>
  <si>
    <t>alt</t>
  </si>
  <si>
    <t>lastro</t>
  </si>
  <si>
    <t>brita</t>
  </si>
  <si>
    <t>laje 10cm</t>
  </si>
  <si>
    <t>aterro 5cm</t>
  </si>
  <si>
    <t>lastro de brita</t>
  </si>
  <si>
    <t>laje de piso</t>
  </si>
  <si>
    <t>solo existente</t>
  </si>
  <si>
    <t>viga</t>
  </si>
  <si>
    <t>baldrame</t>
  </si>
  <si>
    <t>20 cm</t>
  </si>
  <si>
    <t>45cm</t>
  </si>
  <si>
    <t>SINAPI  74157/004</t>
  </si>
  <si>
    <t>LANCAMENTO/APLICACAO MANUAL DE CONCRETO EM FUNDACOES</t>
  </si>
  <si>
    <t>Código:   74157/004 SINAPI MT</t>
  </si>
  <si>
    <t>90586</t>
  </si>
  <si>
    <t xml:space="preserve">VIBRADOR DE IMERSÃO, DIÂMETRO DE PONTEIRA 45MM, MOTOR ELÉTRICO TRIFÁSICO POTÊNCIA DE 2 CV - CHP DIURNO. </t>
  </si>
  <si>
    <t>90586 SINAPI MT 2018</t>
  </si>
  <si>
    <t>90582</t>
  </si>
  <si>
    <t>90583</t>
  </si>
  <si>
    <t>90584</t>
  </si>
  <si>
    <t>90585</t>
  </si>
  <si>
    <t xml:space="preserve">VIBRADOR DE IMERSÃO, DIÂMETRO DE PONTEIRA 45MM, MOTOR ELÉTRICO TRIFÁSICO POTÊNCIA DE 2 CV - DEPRECIAÇÃO. </t>
  </si>
  <si>
    <t xml:space="preserve">VIBRADOR DE IMERSÃO, DIÂMETRO DE PONTEIRA 45MM, MOTOR ELÉTRICO TRIFÁSICO POTÊNCIA DE 2 CV - JUROS. </t>
  </si>
  <si>
    <t xml:space="preserve">VIBRADOR DE IMERSÃO, DIÂMETRO DE PONTEIRA 45MM, MOTOR ELÉTRICO TRIFÁSICO POTÊNCIA DE 2 CV - MANUTENÇÃO. </t>
  </si>
  <si>
    <t xml:space="preserve">VIBRADOR DE IMERSÃO, DIÂMETRO DE PONTEIRA 45MM, MOTOR ELÉTRICO TRIFÁSICO POTÊNCIA DE 2 CV - MATERIAIS NA OPERAÇÃO. </t>
  </si>
  <si>
    <t>90582 SINAPI MT 2018</t>
  </si>
  <si>
    <t>13896</t>
  </si>
  <si>
    <t>VIBRADOR DE IMERSAO, DIAMETRO DA PONTEIRA DE *45* MM, COM MOTOR ELETRICO TRIFASICO DE 2 HP (2 CV)</t>
  </si>
  <si>
    <t>90583 SINAPI MT 2018</t>
  </si>
  <si>
    <t>VIBRADOR DE IMERSÃO, DIÂMETRO DE PONTEIRA 45MM, MOTOR ELÉTRICO TRIFÁSICO POTÊNCIA DE 2 CV - JUROS</t>
  </si>
  <si>
    <t>90584 SINAPI MT 2018</t>
  </si>
  <si>
    <t>90585 SINAPI MT 2018</t>
  </si>
  <si>
    <t>SINAPI  96547</t>
  </si>
  <si>
    <t>Código:   96547 SINAPI 05/2018</t>
  </si>
  <si>
    <t>ARMAÇÃO DE BLOCO, VIGA BALDRAME OU SAPATA UTILIZANDO AÇO CA-50 DE 12,5MM - MONTAGEM.</t>
  </si>
  <si>
    <t xml:space="preserve">CORTE E DOBRA DE AÇO CA-50, DIÂMETRO DE 12,5 MM, UTILIZADO EM ESTRUTURAS DIVERSAS, EXCETO LAJES. </t>
  </si>
  <si>
    <t>LANCAMENTO/APLICACAO MANUAL DE CONCRETO (viga baldrame e piso)</t>
  </si>
  <si>
    <t>92795 SINAPI MT 05/2018</t>
  </si>
  <si>
    <t>ACO CA-50, 12,5 MM, VERGALHAO</t>
  </si>
  <si>
    <t>Código:   C3522  SEINFRA FORTALEZA</t>
  </si>
  <si>
    <t xml:space="preserve">Descrição:   </t>
  </si>
  <si>
    <t>LASTRO DE BRITA, LANÇAMENTO MANUAL. (piso)</t>
  </si>
  <si>
    <t>CONCRETO FCK = 25MPA (viga baldrame e piso)</t>
  </si>
  <si>
    <t>LOCACAO CONVENCIONAL DE OBRA</t>
  </si>
  <si>
    <t>ATERRO MANUAL E COMPACTAÇÃO MECANIZADA. (piso)</t>
  </si>
  <si>
    <t xml:space="preserve">VIBRADOR DE IMERSÃO, DIÂMETRO DE PONTEIRA 45MM, MOTOR ELÉTRICO TRIFÁSICO POTÊNCIA DE 2CV - CHP DIURNO. </t>
  </si>
  <si>
    <t xml:space="preserve">ARMAÇÃO DE VIGA BALDRAME UTILIZANDO AÇO CA-50 DE 12,5MM - MONTAGEM. </t>
  </si>
  <si>
    <t>TRAMA DE MADEIRA COMPOSTA POR RIPAS, CAIBROS E TERÇAS PARA TELHA DE ENCAIXE DE CONCRETO</t>
  </si>
  <si>
    <t>TELHAMENTO COM TELHA DE CONCRETO DE ENCAIXE</t>
  </si>
  <si>
    <t>PONTO DE ILUMINAÇÃO INCLUINDO INTERRUPTOR SIMPLES (2 MÓDULOS), CAIXA ELÉTRICA, ELETRODUTO, CABO, RASGO, QUEBRA E CHUMBAMENTO</t>
  </si>
  <si>
    <t xml:space="preserve">PONTO DE TOMADA INCLUINDO TOMADA 10A/250V, CAIXA ELÉTRICA, ELETRODUTO, CABO, RASGO, QUEBRA E CHUMBAMENTO. </t>
  </si>
  <si>
    <t>RODAPÉ EM PEDRA SÃO TOME   H = 7CM</t>
  </si>
  <si>
    <t>PISO EM PEDRA SÃO TOME  15 X 30CM</t>
  </si>
  <si>
    <t>PISO EM PEDRA SÃO TOME   57 X 57CM</t>
  </si>
  <si>
    <t>Alvarás entre outros - Ex.: CREA, INSS, Prefeitura Municipal, etc. fornecendo todos os comprovantes para o SESC</t>
  </si>
  <si>
    <t>ALIMENTAÇÃO DA EQUIPE</t>
  </si>
  <si>
    <t>ARMACAO EM TELA DE ACO SOLDADA NERVURADA Q-138  (piso)</t>
  </si>
  <si>
    <t xml:space="preserve">LASTRO DE CONCRETO MAGRO PARA VIGA BALDRAME, </t>
  </si>
  <si>
    <t xml:space="preserve">VIGA DE MADEIRA DE LEI APARELHADA   10X25CM </t>
  </si>
  <si>
    <t>VIGA DE PEROBA 10X25CM APARELHADA</t>
  </si>
  <si>
    <t>3625.5161 FÁBIO</t>
  </si>
  <si>
    <t>viga 10x25</t>
  </si>
  <si>
    <t>pilares 20x20</t>
  </si>
  <si>
    <t>PILAR DE MADEIRA APARELHADO *20 X 20* CM, MACARANDUBA, ANGELIM OU EQUIVALENTE DA REGIAO</t>
  </si>
  <si>
    <t>PILAR DE MADEIRA DE LEI APARELHADO   20 X 20CM</t>
  </si>
  <si>
    <t>Código:   COMP. 01</t>
  </si>
  <si>
    <t>COMP. 01</t>
  </si>
  <si>
    <t>PILAR EM MADEIRA DE LEI APARELHADO   20 X 20 CM</t>
  </si>
  <si>
    <t>Código:   COMP. 02</t>
  </si>
  <si>
    <t xml:space="preserve">Descrição:   VIGA DE MADEIRA DE LEI APARELHADA 10X25CM </t>
  </si>
  <si>
    <t>COMP. 02</t>
  </si>
  <si>
    <t>SINAPI  73994/001</t>
  </si>
  <si>
    <t>OK</t>
  </si>
  <si>
    <t>Código:   COMP. 03</t>
  </si>
  <si>
    <t>COMP. 03</t>
  </si>
  <si>
    <t xml:space="preserve">LUMINÁRIA ARANDELA TIPO RETRÔ PARA 1 LÂMPADA LED - FORNECIMENTO E INSTALAÇÃO. </t>
  </si>
  <si>
    <t xml:space="preserve">ARANDELA TIPO RETRÔ </t>
  </si>
  <si>
    <t>Código:   COMP. 04</t>
  </si>
  <si>
    <t>COMP. 04</t>
  </si>
  <si>
    <t xml:space="preserve">LUMINÁRIA PENDENTE TIPO RETRÔ COM 1 LÂMPADA - FORNECIMENTO E INSTALAÇÃO. </t>
  </si>
  <si>
    <t xml:space="preserve">LUMINÁRIA PENDENTE TIPO RETRÔ, COM 1 LÂMPADA LED - FORNECIMENTO E INSTALAÇÃO. </t>
  </si>
  <si>
    <t>Várzea Grande, julho de 2018</t>
  </si>
  <si>
    <t>Patricia Mendes 23/07/2018</t>
  </si>
  <si>
    <r>
      <t xml:space="preserve">Importa o valor total do presente orçamento em R$ 94.951,59 </t>
    </r>
    <r>
      <rPr>
        <b/>
        <sz val="11"/>
        <color theme="1"/>
        <rFont val="Arial"/>
        <family val="2"/>
      </rPr>
      <t xml:space="preserve"> (noventa e quatro mil, novecentos e cinquenta e um reais e cinquenta e nove centavos)</t>
    </r>
  </si>
  <si>
    <t>área seção de pilar</t>
  </si>
  <si>
    <t>Construção de Varanda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</si>
</sst>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[$€]#,##0.00_);[Red]\([$€]#,##0.00\)"/>
    <numFmt numFmtId="166" formatCode="_([$€]\ * #,##0.00_);_([$€]\ * \(#,##0.00\);_([$€]\ * &quot;-&quot;??_);_(@_)"/>
    <numFmt numFmtId="167" formatCode="_(&quot;R$&quot;* #,##0.00_);_(&quot;R$&quot;* \(#,##0.00\);_(&quot;R$&quot;* &quot;-&quot;??_);_(@_)"/>
    <numFmt numFmtId="168" formatCode="_(&quot;R$ &quot;* #,##0.00_);_(&quot;R$ &quot;* \(#,##0.00\);_(&quot;R$ &quot;* &quot;-&quot;??_);_(@_)"/>
    <numFmt numFmtId="169" formatCode="&quot;R$&quot;#,##0_);[Red]\(&quot;R$&quot;#,##0\)"/>
    <numFmt numFmtId="170" formatCode="&quot;R$&quot;#,##0_);\(&quot;R$&quot;#,##0\)"/>
    <numFmt numFmtId="171" formatCode="00"/>
    <numFmt numFmtId="172" formatCode="#,##0.000"/>
    <numFmt numFmtId="173" formatCode="#,##0.0000"/>
    <numFmt numFmtId="174" formatCode="&quot;R$&quot;#,##0.00_);\(&quot;R$&quot;#,##0.00\)"/>
    <numFmt numFmtId="175" formatCode="mmmm\ d\,\ yyyy"/>
    <numFmt numFmtId="176" formatCode="\$#,##0\ ;\(\$#,##0\)"/>
    <numFmt numFmtId="177" formatCode="_(&quot;Cr$&quot;* #,##0_);_(&quot;Cr$&quot;* \(#,##0\);_(&quot;Cr$&quot;* &quot;-&quot;_);_(@_)"/>
    <numFmt numFmtId="178" formatCode="_(&quot;Cr$&quot;* #,##0.00_);_(&quot;Cr$&quot;* \(#,##0.00\);_(&quot;Cr$&quot;* &quot;-&quot;??_);_(@_)"/>
    <numFmt numFmtId="179" formatCode="#,##0.000_);\(#,##0.000\)"/>
    <numFmt numFmtId="180" formatCode="#."/>
    <numFmt numFmtId="181" formatCode="_(&quot;$&quot;* #,##0.00_);_(&quot;$&quot;* \(#,##0.00\);_(&quot;$&quot;* &quot;-&quot;??_);_(@_)"/>
    <numFmt numFmtId="182" formatCode="0.000%"/>
    <numFmt numFmtId="183" formatCode="0.000"/>
    <numFmt numFmtId="184" formatCode="#,##0.00;[Red]#,##0.00"/>
    <numFmt numFmtId="185" formatCode="0.0000"/>
    <numFmt numFmtId="186" formatCode="#,##0.0000;[Red]#,##0.0000"/>
    <numFmt numFmtId="187" formatCode="#,##0.00000"/>
    <numFmt numFmtId="188" formatCode="#,##0.000000"/>
    <numFmt numFmtId="189" formatCode="#,##0.0000000"/>
    <numFmt numFmtId="190" formatCode="#,##0.000;[Red]#,##0.000"/>
    <numFmt numFmtId="191" formatCode="0.000000"/>
    <numFmt numFmtId="192" formatCode="0.0000000"/>
    <numFmt numFmtId="193" formatCode="&quot;R$&quot;\ #,##0.00;[Red]&quot;R$&quot;\ #,##0.00"/>
  </numFmts>
  <fonts count="8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ekton"/>
    </font>
    <font>
      <sz val="10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name val="Courier"/>
      <family val="3"/>
    </font>
    <font>
      <sz val="9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5"/>
      <color indexed="56"/>
      <name val="Calibri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Courier"/>
      <family val="3"/>
    </font>
    <font>
      <sz val="10"/>
      <name val="Times New Roman"/>
      <family val="1"/>
    </font>
    <font>
      <sz val="10"/>
      <name val="MS Sans Serif"/>
      <family val="2"/>
    </font>
    <font>
      <sz val="1"/>
      <color indexed="16"/>
      <name val="Courier"/>
      <family val="3"/>
    </font>
    <font>
      <sz val="1"/>
      <color indexed="18"/>
      <name val="Courier"/>
      <family val="3"/>
    </font>
    <font>
      <b/>
      <sz val="7"/>
      <color indexed="10"/>
      <name val="Arial"/>
      <family val="2"/>
    </font>
    <font>
      <b/>
      <sz val="1"/>
      <color indexed="16"/>
      <name val="Courier"/>
      <family val="3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2"/>
      <color indexed="5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thick">
        <color auto="1"/>
      </right>
      <top style="mediumDashDotDot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9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4" fontId="24" fillId="0" borderId="0"/>
    <xf numFmtId="164" fontId="24" fillId="0" borderId="0"/>
    <xf numFmtId="0" fontId="25" fillId="0" borderId="0"/>
    <xf numFmtId="165" fontId="26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6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/>
    <xf numFmtId="49" fontId="23" fillId="34" borderId="21" applyNumberFormat="0" applyFont="0" applyFill="0" applyBorder="0" applyAlignment="0">
      <alignment horizontal="center" vertical="center" wrapText="1"/>
    </xf>
    <xf numFmtId="0" fontId="2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3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64" fontId="23" fillId="0" borderId="0" applyFont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0" fontId="29" fillId="0" borderId="0"/>
    <xf numFmtId="0" fontId="30" fillId="0" borderId="22" applyNumberFormat="0" applyFill="0" applyAlignment="0" applyProtection="0"/>
    <xf numFmtId="0" fontId="31" fillId="35" borderId="0"/>
    <xf numFmtId="0" fontId="31" fillId="35" borderId="0">
      <alignment horizontal="left" indent="1"/>
    </xf>
    <xf numFmtId="0" fontId="31" fillId="0" borderId="0">
      <alignment horizontal="left" indent="1"/>
    </xf>
    <xf numFmtId="0" fontId="32" fillId="34" borderId="14" applyNumberFormat="0" applyBorder="0" applyAlignment="0">
      <alignment horizontal="left" vertical="center" indent="1"/>
    </xf>
    <xf numFmtId="0" fontId="33" fillId="33" borderId="11">
      <alignment horizontal="center"/>
    </xf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/>
    <xf numFmtId="170" fontId="28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23" fillId="0" borderId="0"/>
    <xf numFmtId="164" fontId="3" fillId="0" borderId="0" applyFont="0" applyFill="0" applyBorder="0" applyAlignment="0" applyProtection="0"/>
    <xf numFmtId="0" fontId="45" fillId="38" borderId="42" applyNumberFormat="0" applyFont="0" applyBorder="0" applyAlignment="0">
      <alignment horizontal="left"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3" fontId="23" fillId="0" borderId="0" applyFill="0" applyBorder="0" applyAlignment="0" applyProtection="0"/>
    <xf numFmtId="174" fontId="23" fillId="0" borderId="0" applyFill="0" applyBorder="0" applyAlignment="0" applyProtection="0"/>
    <xf numFmtId="170" fontId="23" fillId="0" borderId="0" applyFill="0" applyBorder="0" applyAlignment="0" applyProtection="0"/>
    <xf numFmtId="0" fontId="48" fillId="0" borderId="0" applyFont="0" applyFill="0" applyBorder="0" applyAlignment="0" applyProtection="0"/>
    <xf numFmtId="175" fontId="23" fillId="0" borderId="0" applyFill="0" applyBorder="0" applyAlignment="0" applyProtection="0"/>
    <xf numFmtId="2" fontId="23" fillId="0" borderId="0" applyFill="0" applyBorder="0" applyAlignment="0" applyProtection="0"/>
    <xf numFmtId="2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76" fontId="48" fillId="0" borderId="0" applyFont="0" applyFill="0" applyBorder="0" applyAlignment="0" applyProtection="0"/>
    <xf numFmtId="177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3" fillId="0" borderId="0"/>
    <xf numFmtId="0" fontId="27" fillId="0" borderId="0"/>
    <xf numFmtId="0" fontId="53" fillId="0" borderId="0"/>
    <xf numFmtId="179" fontId="26" fillId="0" borderId="0"/>
    <xf numFmtId="0" fontId="23" fillId="0" borderId="0" applyNumberFormat="0" applyFont="0" applyFill="0" applyBorder="0" applyAlignment="0" applyProtection="0">
      <alignment vertical="top"/>
    </xf>
    <xf numFmtId="10" fontId="23" fillId="0" borderId="0" applyFill="0" applyBorder="0" applyAlignment="0" applyProtection="0"/>
    <xf numFmtId="180" fontId="54" fillId="0" borderId="0">
      <protection locked="0"/>
    </xf>
    <xf numFmtId="180" fontId="54" fillId="0" borderId="0">
      <protection locked="0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0" applyFont="0" applyFill="0" applyBorder="0" applyAlignment="0" applyProtection="0"/>
    <xf numFmtId="38" fontId="53" fillId="0" borderId="0" applyFont="0" applyFill="0" applyBorder="0" applyAlignment="0" applyProtection="0"/>
    <xf numFmtId="180" fontId="55" fillId="0" borderId="0">
      <protection locked="0"/>
    </xf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0" fontId="5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56" fillId="0" borderId="29" applyNumberFormat="0" applyBorder="0" applyAlignment="0">
      <alignment horizontal="center" vertical="center"/>
    </xf>
    <xf numFmtId="180" fontId="57" fillId="0" borderId="0">
      <protection locked="0"/>
    </xf>
    <xf numFmtId="3" fontId="48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68" fillId="0" borderId="0"/>
    <xf numFmtId="0" fontId="70" fillId="0" borderId="0"/>
    <xf numFmtId="0" fontId="71" fillId="0" borderId="0"/>
  </cellStyleXfs>
  <cellXfs count="706">
    <xf numFmtId="0" fontId="0" fillId="0" borderId="0" xfId="0"/>
    <xf numFmtId="4" fontId="1" fillId="0" borderId="0" xfId="0" applyNumberFormat="1" applyFont="1" applyAlignment="1">
      <alignment vertical="center"/>
    </xf>
    <xf numFmtId="4" fontId="36" fillId="0" borderId="42" xfId="0" applyNumberFormat="1" applyFont="1" applyFill="1" applyBorder="1" applyAlignment="1">
      <alignment horizontal="left" vertical="center" indent="30"/>
    </xf>
    <xf numFmtId="4" fontId="2" fillId="0" borderId="19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38" fillId="0" borderId="0" xfId="151" applyFont="1" applyFill="1" applyAlignment="1">
      <alignment horizontal="center" vertical="center"/>
    </xf>
    <xf numFmtId="173" fontId="38" fillId="0" borderId="0" xfId="151" applyNumberFormat="1" applyFont="1" applyFill="1" applyAlignment="1">
      <alignment horizontal="center" vertical="center"/>
    </xf>
    <xf numFmtId="172" fontId="38" fillId="0" borderId="0" xfId="151" applyNumberFormat="1" applyFont="1" applyFill="1" applyAlignment="1">
      <alignment horizontal="center" vertical="center"/>
    </xf>
    <xf numFmtId="49" fontId="37" fillId="0" borderId="51" xfId="151" applyNumberFormat="1" applyFont="1" applyFill="1" applyBorder="1" applyAlignment="1">
      <alignment horizontal="center" vertical="center"/>
    </xf>
    <xf numFmtId="164" fontId="38" fillId="0" borderId="42" xfId="152" applyFont="1" applyFill="1" applyBorder="1" applyAlignment="1">
      <alignment vertical="center"/>
    </xf>
    <xf numFmtId="164" fontId="38" fillId="0" borderId="11" xfId="152" applyFont="1" applyFill="1" applyBorder="1" applyAlignment="1">
      <alignment vertical="center"/>
    </xf>
    <xf numFmtId="0" fontId="38" fillId="0" borderId="0" xfId="151" applyFont="1" applyFill="1" applyBorder="1" applyAlignment="1">
      <alignment horizontal="center" vertical="center"/>
    </xf>
    <xf numFmtId="49" fontId="38" fillId="0" borderId="0" xfId="151" applyNumberFormat="1" applyFont="1" applyFill="1" applyBorder="1" applyAlignment="1">
      <alignment vertical="center"/>
    </xf>
    <xf numFmtId="0" fontId="37" fillId="0" borderId="0" xfId="151" applyFont="1" applyFill="1" applyAlignment="1">
      <alignment horizontal="center" vertical="center"/>
    </xf>
    <xf numFmtId="173" fontId="37" fillId="0" borderId="0" xfId="151" applyNumberFormat="1" applyFont="1" applyFill="1" applyAlignment="1">
      <alignment vertical="center"/>
    </xf>
    <xf numFmtId="172" fontId="37" fillId="0" borderId="0" xfId="151" applyNumberFormat="1" applyFont="1" applyFill="1" applyAlignment="1">
      <alignment vertical="center"/>
    </xf>
    <xf numFmtId="0" fontId="37" fillId="0" borderId="0" xfId="151" applyFont="1" applyFill="1" applyAlignment="1">
      <alignment vertical="center"/>
    </xf>
    <xf numFmtId="164" fontId="38" fillId="0" borderId="47" xfId="152" applyFont="1" applyFill="1" applyBorder="1" applyAlignment="1">
      <alignment vertical="center"/>
    </xf>
    <xf numFmtId="49" fontId="58" fillId="0" borderId="0" xfId="170" applyNumberFormat="1" applyFont="1" applyFill="1" applyBorder="1" applyAlignment="1">
      <alignment horizontal="left" vertical="center"/>
    </xf>
    <xf numFmtId="0" fontId="20" fillId="0" borderId="0" xfId="170" applyFont="1" applyFill="1" applyBorder="1" applyAlignment="1">
      <alignment vertical="center"/>
    </xf>
    <xf numFmtId="0" fontId="59" fillId="0" borderId="0" xfId="170" applyFont="1" applyFill="1" applyBorder="1" applyAlignment="1">
      <alignment horizontal="left" vertical="center"/>
    </xf>
    <xf numFmtId="14" fontId="20" fillId="0" borderId="0" xfId="170" applyNumberFormat="1" applyFont="1" applyFill="1" applyBorder="1" applyAlignment="1">
      <alignment horizontal="center" vertical="center"/>
    </xf>
    <xf numFmtId="0" fontId="60" fillId="0" borderId="0" xfId="151" applyFont="1" applyFill="1" applyBorder="1" applyAlignment="1">
      <alignment vertical="center"/>
    </xf>
    <xf numFmtId="0" fontId="37" fillId="0" borderId="0" xfId="151" applyFont="1" applyFill="1" applyBorder="1" applyAlignment="1">
      <alignment horizontal="center" vertical="center"/>
    </xf>
    <xf numFmtId="173" fontId="37" fillId="0" borderId="0" xfId="151" applyNumberFormat="1" applyFont="1" applyFill="1" applyBorder="1" applyAlignment="1">
      <alignment vertical="center"/>
    </xf>
    <xf numFmtId="172" fontId="37" fillId="0" borderId="0" xfId="151" applyNumberFormat="1" applyFont="1" applyFill="1" applyBorder="1" applyAlignment="1">
      <alignment vertical="center"/>
    </xf>
    <xf numFmtId="0" fontId="37" fillId="0" borderId="0" xfId="151" applyFont="1" applyFill="1" applyBorder="1" applyAlignment="1">
      <alignment vertical="center"/>
    </xf>
    <xf numFmtId="0" fontId="61" fillId="0" borderId="19" xfId="151" applyFont="1" applyFill="1" applyBorder="1" applyAlignment="1">
      <alignment vertical="center"/>
    </xf>
    <xf numFmtId="168" fontId="62" fillId="0" borderId="43" xfId="193" applyNumberFormat="1" applyFont="1" applyFill="1" applyBorder="1" applyAlignment="1">
      <alignment vertical="center"/>
    </xf>
    <xf numFmtId="164" fontId="38" fillId="0" borderId="18" xfId="152" applyFont="1" applyFill="1" applyBorder="1" applyAlignment="1">
      <alignment vertical="center"/>
    </xf>
    <xf numFmtId="0" fontId="61" fillId="0" borderId="18" xfId="151" applyFont="1" applyFill="1" applyBorder="1" applyAlignment="1">
      <alignment vertical="center"/>
    </xf>
    <xf numFmtId="168" fontId="62" fillId="0" borderId="56" xfId="193" applyNumberFormat="1" applyFont="1" applyFill="1" applyBorder="1" applyAlignment="1">
      <alignment vertical="center"/>
    </xf>
    <xf numFmtId="49" fontId="44" fillId="0" borderId="45" xfId="151" applyNumberFormat="1" applyFont="1" applyFill="1" applyBorder="1" applyAlignment="1">
      <alignment horizontal="center" vertical="center"/>
    </xf>
    <xf numFmtId="0" fontId="44" fillId="0" borderId="45" xfId="151" applyFont="1" applyFill="1" applyBorder="1" applyAlignment="1">
      <alignment horizontal="center" vertical="center"/>
    </xf>
    <xf numFmtId="0" fontId="44" fillId="0" borderId="17" xfId="151" applyFont="1" applyFill="1" applyBorder="1" applyAlignment="1">
      <alignment horizontal="centerContinuous" vertical="center"/>
    </xf>
    <xf numFmtId="0" fontId="44" fillId="0" borderId="56" xfId="151" applyFont="1" applyFill="1" applyBorder="1" applyAlignment="1">
      <alignment horizontal="centerContinuous" vertical="center"/>
    </xf>
    <xf numFmtId="172" fontId="44" fillId="0" borderId="17" xfId="151" applyNumberFormat="1" applyFont="1" applyFill="1" applyBorder="1" applyAlignment="1">
      <alignment horizontal="centerContinuous" vertical="center"/>
    </xf>
    <xf numFmtId="172" fontId="44" fillId="0" borderId="18" xfId="151" applyNumberFormat="1" applyFont="1" applyFill="1" applyBorder="1" applyAlignment="1">
      <alignment horizontal="centerContinuous" vertical="center"/>
    </xf>
    <xf numFmtId="172" fontId="44" fillId="0" borderId="56" xfId="151" applyNumberFormat="1" applyFont="1" applyFill="1" applyBorder="1" applyAlignment="1">
      <alignment horizontal="centerContinuous" vertical="center"/>
    </xf>
    <xf numFmtId="0" fontId="44" fillId="0" borderId="42" xfId="151" applyFont="1" applyFill="1" applyBorder="1" applyAlignment="1">
      <alignment horizontal="centerContinuous" vertical="center"/>
    </xf>
    <xf numFmtId="0" fontId="44" fillId="0" borderId="43" xfId="151" applyFont="1" applyFill="1" applyBorder="1" applyAlignment="1">
      <alignment horizontal="centerContinuous" vertical="center"/>
    </xf>
    <xf numFmtId="172" fontId="44" fillId="0" borderId="42" xfId="151" applyNumberFormat="1" applyFont="1" applyFill="1" applyBorder="1" applyAlignment="1">
      <alignment horizontal="centerContinuous" vertical="center"/>
    </xf>
    <xf numFmtId="172" fontId="44" fillId="0" borderId="43" xfId="151" applyNumberFormat="1" applyFont="1" applyFill="1" applyBorder="1" applyAlignment="1">
      <alignment horizontal="centerContinuous" vertical="center"/>
    </xf>
    <xf numFmtId="49" fontId="44" fillId="0" borderId="47" xfId="151" applyNumberFormat="1" applyFont="1" applyFill="1" applyBorder="1" applyAlignment="1">
      <alignment horizontal="center" vertical="center"/>
    </xf>
    <xf numFmtId="0" fontId="44" fillId="0" borderId="47" xfId="151" applyFont="1" applyFill="1" applyBorder="1" applyAlignment="1">
      <alignment horizontal="center" vertical="center"/>
    </xf>
    <xf numFmtId="172" fontId="41" fillId="0" borderId="11" xfId="151" applyNumberFormat="1" applyFont="1" applyFill="1" applyBorder="1" applyAlignment="1">
      <alignment horizontal="center" vertical="center"/>
    </xf>
    <xf numFmtId="172" fontId="41" fillId="0" borderId="17" xfId="151" applyNumberFormat="1" applyFont="1" applyFill="1" applyBorder="1" applyAlignment="1">
      <alignment horizontal="center" vertical="center"/>
    </xf>
    <xf numFmtId="172" fontId="41" fillId="0" borderId="47" xfId="151" applyNumberFormat="1" applyFont="1" applyFill="1" applyBorder="1" applyAlignment="1">
      <alignment horizontal="center" vertical="center"/>
    </xf>
    <xf numFmtId="49" fontId="43" fillId="0" borderId="57" xfId="151" applyNumberFormat="1" applyFont="1" applyFill="1" applyBorder="1" applyAlignment="1">
      <alignment horizontal="center" vertical="center"/>
    </xf>
    <xf numFmtId="49" fontId="63" fillId="0" borderId="58" xfId="151" applyNumberFormat="1" applyFont="1" applyFill="1" applyBorder="1" applyAlignment="1">
      <alignment horizontal="center" vertical="center"/>
    </xf>
    <xf numFmtId="164" fontId="43" fillId="0" borderId="58" xfId="152" applyFont="1" applyFill="1" applyBorder="1" applyAlignment="1">
      <alignment horizontal="left" vertical="center"/>
    </xf>
    <xf numFmtId="172" fontId="58" fillId="0" borderId="58" xfId="151" applyNumberFormat="1" applyFont="1" applyFill="1" applyBorder="1" applyAlignment="1">
      <alignment horizontal="right" vertical="center"/>
    </xf>
    <xf numFmtId="4" fontId="58" fillId="0" borderId="58" xfId="151" applyNumberFormat="1" applyFont="1" applyFill="1" applyBorder="1" applyAlignment="1">
      <alignment horizontal="right" vertical="center"/>
    </xf>
    <xf numFmtId="4" fontId="58" fillId="0" borderId="58" xfId="151" applyNumberFormat="1" applyFont="1" applyFill="1" applyBorder="1" applyAlignment="1">
      <alignment vertical="center"/>
    </xf>
    <xf numFmtId="4" fontId="44" fillId="0" borderId="59" xfId="151" applyNumberFormat="1" applyFont="1" applyFill="1" applyBorder="1" applyAlignment="1">
      <alignment vertical="center"/>
    </xf>
    <xf numFmtId="164" fontId="38" fillId="0" borderId="51" xfId="152" applyFont="1" applyFill="1" applyBorder="1" applyAlignment="1">
      <alignment horizontal="left" vertical="center"/>
    </xf>
    <xf numFmtId="172" fontId="37" fillId="0" borderId="51" xfId="151" applyNumberFormat="1" applyFont="1" applyFill="1" applyBorder="1" applyAlignment="1">
      <alignment horizontal="right" vertical="center"/>
    </xf>
    <xf numFmtId="172" fontId="37" fillId="0" borderId="51" xfId="151" applyNumberFormat="1" applyFont="1" applyFill="1" applyBorder="1" applyAlignment="1">
      <alignment horizontal="center" vertical="center"/>
    </xf>
    <xf numFmtId="3" fontId="37" fillId="0" borderId="51" xfId="151" applyNumberFormat="1" applyFont="1" applyFill="1" applyBorder="1" applyAlignment="1">
      <alignment horizontal="center" vertical="center"/>
    </xf>
    <xf numFmtId="3" fontId="37" fillId="0" borderId="51" xfId="151" applyNumberFormat="1" applyFont="1" applyFill="1" applyBorder="1" applyAlignment="1">
      <alignment vertical="center"/>
    </xf>
    <xf numFmtId="4" fontId="37" fillId="0" borderId="51" xfId="151" applyNumberFormat="1" applyFont="1" applyFill="1" applyBorder="1" applyAlignment="1">
      <alignment vertical="center"/>
    </xf>
    <xf numFmtId="0" fontId="37" fillId="0" borderId="51" xfId="151" applyFont="1" applyFill="1" applyBorder="1" applyAlignment="1">
      <alignment horizontal="center" vertical="center"/>
    </xf>
    <xf numFmtId="164" fontId="37" fillId="0" borderId="51" xfId="152" applyFont="1" applyFill="1" applyBorder="1" applyAlignment="1">
      <alignment vertical="center"/>
    </xf>
    <xf numFmtId="1" fontId="37" fillId="0" borderId="51" xfId="151" applyNumberFormat="1" applyFont="1" applyFill="1" applyBorder="1" applyAlignment="1">
      <alignment horizontal="center" vertical="center"/>
    </xf>
    <xf numFmtId="37" fontId="37" fillId="0" borderId="51" xfId="151" applyNumberFormat="1" applyFont="1" applyFill="1" applyBorder="1" applyAlignment="1">
      <alignment horizontal="center" vertical="center"/>
    </xf>
    <xf numFmtId="4" fontId="37" fillId="0" borderId="51" xfId="151" applyNumberFormat="1" applyFont="1" applyFill="1" applyBorder="1" applyAlignment="1">
      <alignment horizontal="center" vertical="center"/>
    </xf>
    <xf numFmtId="39" fontId="37" fillId="0" borderId="51" xfId="151" applyNumberFormat="1" applyFont="1" applyFill="1" applyBorder="1" applyAlignment="1">
      <alignment horizontal="center" vertical="center"/>
    </xf>
    <xf numFmtId="3" fontId="37" fillId="0" borderId="60" xfId="151" applyNumberFormat="1" applyFont="1" applyFill="1" applyBorder="1" applyAlignment="1">
      <alignment horizontal="center" vertical="center"/>
    </xf>
    <xf numFmtId="4" fontId="37" fillId="0" borderId="60" xfId="151" applyNumberFormat="1" applyFont="1" applyFill="1" applyBorder="1" applyAlignment="1">
      <alignment horizontal="center" vertical="center"/>
    </xf>
    <xf numFmtId="49" fontId="37" fillId="0" borderId="52" xfId="151" applyNumberFormat="1" applyFont="1" applyFill="1" applyBorder="1" applyAlignment="1">
      <alignment horizontal="center" vertical="center"/>
    </xf>
    <xf numFmtId="0" fontId="38" fillId="0" borderId="52" xfId="151" applyFont="1" applyFill="1" applyBorder="1" applyAlignment="1">
      <alignment horizontal="center" vertical="center"/>
    </xf>
    <xf numFmtId="0" fontId="37" fillId="0" borderId="52" xfId="151" applyFont="1" applyFill="1" applyBorder="1" applyAlignment="1">
      <alignment horizontal="center" vertical="center"/>
    </xf>
    <xf numFmtId="3" fontId="37" fillId="0" borderId="52" xfId="151" applyNumberFormat="1" applyFont="1" applyFill="1" applyBorder="1" applyAlignment="1">
      <alignment horizontal="center" vertical="center"/>
    </xf>
    <xf numFmtId="4" fontId="37" fillId="0" borderId="52" xfId="151" applyNumberFormat="1" applyFont="1" applyFill="1" applyBorder="1" applyAlignment="1">
      <alignment horizontal="center" vertical="center"/>
    </xf>
    <xf numFmtId="49" fontId="38" fillId="0" borderId="42" xfId="151" applyNumberFormat="1" applyFont="1" applyFill="1" applyBorder="1" applyAlignment="1">
      <alignment horizontal="left" vertical="center" indent="1"/>
    </xf>
    <xf numFmtId="49" fontId="38" fillId="0" borderId="19" xfId="151" applyNumberFormat="1" applyFont="1" applyFill="1" applyBorder="1" applyAlignment="1">
      <alignment horizontal="right" vertical="center"/>
    </xf>
    <xf numFmtId="49" fontId="38" fillId="0" borderId="43" xfId="151" applyNumberFormat="1" applyFont="1" applyFill="1" applyBorder="1" applyAlignment="1">
      <alignment horizontal="right" vertical="center"/>
    </xf>
    <xf numFmtId="0" fontId="62" fillId="0" borderId="11" xfId="151" applyFont="1" applyFill="1" applyBorder="1" applyAlignment="1">
      <alignment horizontal="center" vertical="center"/>
    </xf>
    <xf numFmtId="3" fontId="62" fillId="0" borderId="11" xfId="151" applyNumberFormat="1" applyFont="1" applyFill="1" applyBorder="1" applyAlignment="1">
      <alignment horizontal="center" vertical="center"/>
    </xf>
    <xf numFmtId="4" fontId="62" fillId="0" borderId="11" xfId="151" applyNumberFormat="1" applyFont="1" applyFill="1" applyBorder="1" applyAlignment="1">
      <alignment horizontal="center" vertical="center"/>
    </xf>
    <xf numFmtId="39" fontId="62" fillId="0" borderId="11" xfId="151" applyNumberFormat="1" applyFont="1" applyFill="1" applyBorder="1" applyAlignment="1">
      <alignment horizontal="center" vertical="center"/>
    </xf>
    <xf numFmtId="0" fontId="38" fillId="0" borderId="11" xfId="151" applyFont="1" applyFill="1" applyBorder="1" applyAlignment="1">
      <alignment horizontal="center" vertical="center"/>
    </xf>
    <xf numFmtId="4" fontId="38" fillId="0" borderId="11" xfId="151" applyNumberFormat="1" applyFont="1" applyFill="1" applyBorder="1" applyAlignment="1">
      <alignment horizontal="center" vertical="center"/>
    </xf>
    <xf numFmtId="49" fontId="38" fillId="0" borderId="17" xfId="151" applyNumberFormat="1" applyFont="1" applyFill="1" applyBorder="1" applyAlignment="1">
      <alignment horizontal="left" vertical="center" indent="1"/>
    </xf>
    <xf numFmtId="49" fontId="38" fillId="0" borderId="18" xfId="151" applyNumberFormat="1" applyFont="1" applyFill="1" applyBorder="1" applyAlignment="1">
      <alignment vertical="center"/>
    </xf>
    <xf numFmtId="0" fontId="38" fillId="0" borderId="19" xfId="151" applyFont="1" applyFill="1" applyBorder="1" applyAlignment="1">
      <alignment horizontal="center" vertical="center"/>
    </xf>
    <xf numFmtId="168" fontId="38" fillId="0" borderId="0" xfId="151" applyNumberFormat="1" applyFont="1" applyFill="1" applyAlignment="1">
      <alignment vertical="center"/>
    </xf>
    <xf numFmtId="49" fontId="37" fillId="0" borderId="42" xfId="151" applyNumberFormat="1" applyFont="1" applyFill="1" applyBorder="1" applyAlignment="1">
      <alignment horizontal="left" vertical="center" indent="1"/>
    </xf>
    <xf numFmtId="49" fontId="37" fillId="0" borderId="19" xfId="151" applyNumberFormat="1" applyFont="1" applyFill="1" applyBorder="1" applyAlignment="1">
      <alignment vertical="center"/>
    </xf>
    <xf numFmtId="49" fontId="38" fillId="0" borderId="19" xfId="151" applyNumberFormat="1" applyFont="1" applyFill="1" applyBorder="1" applyAlignment="1">
      <alignment vertical="center"/>
    </xf>
    <xf numFmtId="10" fontId="62" fillId="0" borderId="11" xfId="151" applyNumberFormat="1" applyFont="1" applyFill="1" applyBorder="1" applyAlignment="1">
      <alignment horizontal="center" vertical="center"/>
    </xf>
    <xf numFmtId="0" fontId="38" fillId="0" borderId="42" xfId="151" applyFont="1" applyFill="1" applyBorder="1" applyAlignment="1">
      <alignment horizontal="left" vertical="center" indent="1"/>
    </xf>
    <xf numFmtId="0" fontId="38" fillId="0" borderId="19" xfId="151" applyFont="1" applyFill="1" applyBorder="1" applyAlignment="1">
      <alignment horizontal="right" vertical="center"/>
    </xf>
    <xf numFmtId="1" fontId="62" fillId="0" borderId="19" xfId="151" applyNumberFormat="1" applyFont="1" applyFill="1" applyBorder="1" applyAlignment="1">
      <alignment horizontal="center" vertical="center"/>
    </xf>
    <xf numFmtId="164" fontId="38" fillId="0" borderId="42" xfId="152" applyFont="1" applyFill="1" applyBorder="1" applyAlignment="1">
      <alignment horizontal="left" vertical="center"/>
    </xf>
    <xf numFmtId="49" fontId="38" fillId="0" borderId="11" xfId="151" applyNumberFormat="1" applyFont="1" applyFill="1" applyBorder="1" applyAlignment="1">
      <alignment vertical="center"/>
    </xf>
    <xf numFmtId="49" fontId="38" fillId="0" borderId="18" xfId="151" applyNumberFormat="1" applyFont="1" applyFill="1" applyBorder="1" applyAlignment="1">
      <alignment horizontal="right" vertical="center"/>
    </xf>
    <xf numFmtId="49" fontId="38" fillId="0" borderId="56" xfId="151" applyNumberFormat="1" applyFont="1" applyFill="1" applyBorder="1" applyAlignment="1">
      <alignment horizontal="right" vertical="center"/>
    </xf>
    <xf numFmtId="3" fontId="38" fillId="0" borderId="11" xfId="151" applyNumberFormat="1" applyFont="1" applyFill="1" applyBorder="1" applyAlignment="1">
      <alignment horizontal="center" vertical="center"/>
    </xf>
    <xf numFmtId="49" fontId="37" fillId="0" borderId="0" xfId="151" applyNumberFormat="1" applyFont="1" applyFill="1" applyAlignment="1">
      <alignment vertical="center"/>
    </xf>
    <xf numFmtId="4" fontId="37" fillId="0" borderId="0" xfId="151" applyNumberFormat="1" applyFont="1" applyFill="1" applyAlignment="1">
      <alignment vertical="center"/>
    </xf>
    <xf numFmtId="4" fontId="35" fillId="0" borderId="48" xfId="0" applyNumberFormat="1" applyFont="1" applyBorder="1" applyAlignment="1">
      <alignment horizontal="centerContinuous" vertical="center"/>
    </xf>
    <xf numFmtId="4" fontId="2" fillId="0" borderId="54" xfId="0" applyNumberFormat="1" applyFont="1" applyBorder="1" applyAlignment="1">
      <alignment horizontal="centerContinuous" vertical="center"/>
    </xf>
    <xf numFmtId="4" fontId="2" fillId="0" borderId="19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0" fillId="36" borderId="47" xfId="0" applyFont="1" applyFill="1" applyBorder="1" applyAlignment="1">
      <alignment horizontal="center" vertical="center"/>
    </xf>
    <xf numFmtId="43" fontId="20" fillId="36" borderId="62" xfId="43" applyFont="1" applyFill="1" applyBorder="1" applyAlignment="1">
      <alignment horizontal="center" vertical="center" wrapText="1"/>
    </xf>
    <xf numFmtId="4" fontId="20" fillId="36" borderId="13" xfId="0" applyNumberFormat="1" applyFont="1" applyFill="1" applyBorder="1" applyAlignment="1">
      <alignment horizontal="center" vertical="center"/>
    </xf>
    <xf numFmtId="182" fontId="20" fillId="36" borderId="63" xfId="147" applyNumberFormat="1" applyFont="1" applyFill="1" applyBorder="1" applyAlignment="1">
      <alignment horizontal="center" vertical="center"/>
    </xf>
    <xf numFmtId="4" fontId="2" fillId="0" borderId="64" xfId="0" applyNumberFormat="1" applyFont="1" applyBorder="1" applyAlignment="1">
      <alignment horizontal="center" vertical="center"/>
    </xf>
    <xf numFmtId="43" fontId="2" fillId="0" borderId="13" xfId="43" applyFont="1" applyBorder="1" applyAlignment="1">
      <alignment vertical="center"/>
    </xf>
    <xf numFmtId="4" fontId="2" fillId="37" borderId="13" xfId="0" applyNumberFormat="1" applyFont="1" applyFill="1" applyBorder="1" applyAlignment="1">
      <alignment horizontal="center" vertical="center"/>
    </xf>
    <xf numFmtId="182" fontId="2" fillId="0" borderId="63" xfId="147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3" fontId="2" fillId="0" borderId="10" xfId="43" applyFont="1" applyBorder="1" applyAlignment="1">
      <alignment vertical="center"/>
    </xf>
    <xf numFmtId="4" fontId="2" fillId="37" borderId="10" xfId="0" applyNumberFormat="1" applyFont="1" applyFill="1" applyBorder="1" applyAlignment="1">
      <alignment horizontal="center" vertical="center"/>
    </xf>
    <xf numFmtId="182" fontId="2" fillId="0" borderId="65" xfId="147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182" fontId="2" fillId="0" borderId="65" xfId="0" applyNumberFormat="1" applyFont="1" applyBorder="1" applyAlignment="1">
      <alignment horizontal="center" vertical="center"/>
    </xf>
    <xf numFmtId="4" fontId="2" fillId="0" borderId="66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vertical="center"/>
    </xf>
    <xf numFmtId="182" fontId="2" fillId="0" borderId="67" xfId="0" applyNumberFormat="1" applyFont="1" applyBorder="1" applyAlignment="1">
      <alignment horizontal="center" vertical="center"/>
    </xf>
    <xf numFmtId="4" fontId="2" fillId="36" borderId="11" xfId="0" applyNumberFormat="1" applyFont="1" applyFill="1" applyBorder="1" applyAlignment="1">
      <alignment vertical="center"/>
    </xf>
    <xf numFmtId="43" fontId="2" fillId="36" borderId="11" xfId="43" applyFont="1" applyFill="1" applyBorder="1" applyAlignment="1">
      <alignment vertical="center"/>
    </xf>
    <xf numFmtId="4" fontId="2" fillId="36" borderId="11" xfId="0" applyNumberFormat="1" applyFont="1" applyFill="1" applyBorder="1" applyAlignment="1">
      <alignment horizontal="center" vertical="center"/>
    </xf>
    <xf numFmtId="182" fontId="2" fillId="36" borderId="11" xfId="147" applyNumberFormat="1" applyFont="1" applyFill="1" applyBorder="1" applyAlignment="1">
      <alignment horizontal="center" vertical="center"/>
    </xf>
    <xf numFmtId="43" fontId="1" fillId="0" borderId="46" xfId="43" applyFont="1" applyBorder="1" applyAlignment="1">
      <alignment horizontal="left" vertical="top"/>
    </xf>
    <xf numFmtId="4" fontId="1" fillId="0" borderId="16" xfId="0" applyNumberFormat="1" applyFont="1" applyBorder="1" applyAlignment="1">
      <alignment vertical="center"/>
    </xf>
    <xf numFmtId="4" fontId="1" fillId="0" borderId="54" xfId="0" applyNumberFormat="1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61" xfId="0" applyNumberFormat="1" applyFont="1" applyBorder="1" applyAlignment="1">
      <alignment vertical="center"/>
    </xf>
    <xf numFmtId="4" fontId="65" fillId="0" borderId="46" xfId="0" applyNumberFormat="1" applyFont="1" applyBorder="1" applyAlignment="1">
      <alignment horizontal="center" vertical="center"/>
    </xf>
    <xf numFmtId="4" fontId="65" fillId="0" borderId="0" xfId="0" applyNumberFormat="1" applyFont="1" applyBorder="1" applyAlignment="1">
      <alignment horizontal="center" vertical="center"/>
    </xf>
    <xf numFmtId="4" fontId="65" fillId="0" borderId="61" xfId="0" applyNumberFormat="1" applyFont="1" applyBorder="1" applyAlignment="1">
      <alignment horizontal="center" vertical="center"/>
    </xf>
    <xf numFmtId="4" fontId="65" fillId="0" borderId="0" xfId="0" applyNumberFormat="1" applyFont="1" applyBorder="1" applyAlignment="1">
      <alignment vertical="center" wrapText="1"/>
    </xf>
    <xf numFmtId="4" fontId="59" fillId="0" borderId="0" xfId="0" applyNumberFormat="1" applyFont="1" applyAlignment="1">
      <alignment vertical="center"/>
    </xf>
    <xf numFmtId="4" fontId="59" fillId="0" borderId="46" xfId="0" applyNumberFormat="1" applyFont="1" applyBorder="1" applyAlignment="1">
      <alignment horizontal="center" vertical="center"/>
    </xf>
    <xf numFmtId="4" fontId="59" fillId="0" borderId="0" xfId="0" applyNumberFormat="1" applyFont="1" applyBorder="1" applyAlignment="1">
      <alignment horizontal="center" vertical="center"/>
    </xf>
    <xf numFmtId="4" fontId="59" fillId="0" borderId="61" xfId="0" applyNumberFormat="1" applyFont="1" applyBorder="1" applyAlignment="1">
      <alignment horizontal="center" vertical="center"/>
    </xf>
    <xf numFmtId="4" fontId="59" fillId="0" borderId="0" xfId="0" applyNumberFormat="1" applyFont="1" applyBorder="1" applyAlignment="1">
      <alignment vertical="center" wrapText="1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1" fillId="0" borderId="56" xfId="0" applyNumberFormat="1" applyFont="1" applyBorder="1" applyAlignment="1">
      <alignment vertical="center"/>
    </xf>
    <xf numFmtId="0" fontId="42" fillId="0" borderId="0" xfId="65" applyFont="1" applyAlignment="1">
      <alignment vertical="center"/>
    </xf>
    <xf numFmtId="4" fontId="42" fillId="0" borderId="0" xfId="65" applyNumberFormat="1" applyFont="1" applyAlignment="1">
      <alignment horizontal="center" vertical="center"/>
    </xf>
    <xf numFmtId="0" fontId="42" fillId="0" borderId="0" xfId="65" applyFont="1" applyAlignment="1">
      <alignment horizontal="left" vertical="center"/>
    </xf>
    <xf numFmtId="49" fontId="2" fillId="0" borderId="10" xfId="43" applyNumberFormat="1" applyFont="1" applyBorder="1" applyAlignment="1">
      <alignment vertical="center"/>
    </xf>
    <xf numFmtId="0" fontId="37" fillId="0" borderId="51" xfId="151" applyFont="1" applyFill="1" applyBorder="1" applyAlignment="1">
      <alignment horizontal="center" vertical="center" wrapText="1"/>
    </xf>
    <xf numFmtId="164" fontId="37" fillId="0" borderId="51" xfId="152" applyFont="1" applyFill="1" applyBorder="1" applyAlignment="1">
      <alignment vertical="center" wrapText="1"/>
    </xf>
    <xf numFmtId="0" fontId="41" fillId="0" borderId="0" xfId="65" applyFont="1" applyAlignment="1">
      <alignment vertical="center"/>
    </xf>
    <xf numFmtId="4" fontId="34" fillId="0" borderId="42" xfId="0" applyNumberFormat="1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4" fontId="73" fillId="0" borderId="0" xfId="0" applyNumberFormat="1" applyFont="1" applyAlignment="1">
      <alignment vertical="center"/>
    </xf>
    <xf numFmtId="0" fontId="72" fillId="0" borderId="0" xfId="0" applyFont="1" applyFill="1" applyBorder="1" applyAlignment="1">
      <alignment vertical="center"/>
    </xf>
    <xf numFmtId="0" fontId="72" fillId="36" borderId="31" xfId="0" applyFont="1" applyFill="1" applyBorder="1" applyAlignment="1">
      <alignment horizontal="center" vertical="center"/>
    </xf>
    <xf numFmtId="0" fontId="72" fillId="36" borderId="68" xfId="0" applyFont="1" applyFill="1" applyBorder="1" applyAlignment="1">
      <alignment horizontal="center" vertical="center"/>
    </xf>
    <xf numFmtId="43" fontId="72" fillId="36" borderId="15" xfId="43" applyFont="1" applyFill="1" applyBorder="1" applyAlignment="1">
      <alignment vertical="center" wrapText="1"/>
    </xf>
    <xf numFmtId="0" fontId="72" fillId="36" borderId="15" xfId="0" applyFont="1" applyFill="1" applyBorder="1" applyAlignment="1">
      <alignment vertical="center"/>
    </xf>
    <xf numFmtId="4" fontId="72" fillId="36" borderId="15" xfId="0" applyNumberFormat="1" applyFont="1" applyFill="1" applyBorder="1" applyAlignment="1">
      <alignment horizontal="right" vertical="center"/>
    </xf>
    <xf numFmtId="4" fontId="72" fillId="36" borderId="32" xfId="0" applyNumberFormat="1" applyFont="1" applyFill="1" applyBorder="1" applyAlignment="1">
      <alignment horizontal="right" vertical="center"/>
    </xf>
    <xf numFmtId="0" fontId="72" fillId="0" borderId="0" xfId="0" applyFont="1" applyAlignment="1">
      <alignment vertical="top"/>
    </xf>
    <xf numFmtId="0" fontId="73" fillId="0" borderId="33" xfId="0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 wrapText="1"/>
    </xf>
    <xf numFmtId="171" fontId="33" fillId="0" borderId="10" xfId="0" applyNumberFormat="1" applyFont="1" applyFill="1" applyBorder="1" applyAlignment="1">
      <alignment vertical="center" wrapText="1"/>
    </xf>
    <xf numFmtId="0" fontId="73" fillId="0" borderId="13" xfId="0" applyFont="1" applyBorder="1" applyAlignment="1">
      <alignment horizontal="center" vertical="center"/>
    </xf>
    <xf numFmtId="4" fontId="73" fillId="0" borderId="10" xfId="43" applyNumberFormat="1" applyFont="1" applyBorder="1" applyAlignment="1">
      <alignment horizontal="right" vertical="center"/>
    </xf>
    <xf numFmtId="43" fontId="73" fillId="0" borderId="10" xfId="43" applyFont="1" applyBorder="1" applyAlignment="1">
      <alignment horizontal="right" vertical="center"/>
    </xf>
    <xf numFmtId="43" fontId="73" fillId="0" borderId="34" xfId="43" applyFont="1" applyBorder="1" applyAlignment="1">
      <alignment horizontal="right" vertical="center"/>
    </xf>
    <xf numFmtId="0" fontId="73" fillId="0" borderId="0" xfId="0" applyFont="1" applyAlignment="1">
      <alignment vertical="center"/>
    </xf>
    <xf numFmtId="0" fontId="73" fillId="0" borderId="20" xfId="0" applyFont="1" applyBorder="1" applyAlignment="1">
      <alignment horizontal="center" vertical="center"/>
    </xf>
    <xf numFmtId="0" fontId="73" fillId="0" borderId="10" xfId="0" applyFont="1" applyBorder="1" applyAlignment="1">
      <alignment horizontal="center" vertical="center"/>
    </xf>
    <xf numFmtId="0" fontId="73" fillId="0" borderId="69" xfId="0" applyFont="1" applyBorder="1" applyAlignment="1">
      <alignment horizontal="center" vertical="center"/>
    </xf>
    <xf numFmtId="171" fontId="33" fillId="0" borderId="12" xfId="0" applyNumberFormat="1" applyFont="1" applyFill="1" applyBorder="1" applyAlignment="1">
      <alignment vertical="center" wrapText="1"/>
    </xf>
    <xf numFmtId="0" fontId="72" fillId="36" borderId="15" xfId="0" applyFont="1" applyFill="1" applyBorder="1" applyAlignment="1">
      <alignment horizontal="center" vertical="center"/>
    </xf>
    <xf numFmtId="4" fontId="72" fillId="36" borderId="15" xfId="43" applyNumberFormat="1" applyFont="1" applyFill="1" applyBorder="1" applyAlignment="1">
      <alignment horizontal="right" vertical="center"/>
    </xf>
    <xf numFmtId="43" fontId="72" fillId="36" borderId="15" xfId="43" applyFont="1" applyFill="1" applyBorder="1" applyAlignment="1">
      <alignment horizontal="right" vertical="center"/>
    </xf>
    <xf numFmtId="43" fontId="72" fillId="36" borderId="32" xfId="43" applyFont="1" applyFill="1" applyBorder="1" applyAlignment="1">
      <alignment horizontal="right" vertical="center"/>
    </xf>
    <xf numFmtId="0" fontId="72" fillId="0" borderId="0" xfId="0" applyFont="1" applyAlignment="1">
      <alignment vertical="center"/>
    </xf>
    <xf numFmtId="0" fontId="73" fillId="0" borderId="35" xfId="0" applyFont="1" applyBorder="1" applyAlignment="1">
      <alignment horizontal="center" vertical="center"/>
    </xf>
    <xf numFmtId="0" fontId="73" fillId="0" borderId="70" xfId="0" applyFont="1" applyBorder="1" applyAlignment="1">
      <alignment horizontal="center" vertical="center" wrapText="1"/>
    </xf>
    <xf numFmtId="4" fontId="73" fillId="0" borderId="13" xfId="43" applyNumberFormat="1" applyFont="1" applyBorder="1" applyAlignment="1">
      <alignment horizontal="right" vertical="center"/>
    </xf>
    <xf numFmtId="43" fontId="73" fillId="0" borderId="13" xfId="43" applyFont="1" applyBorder="1" applyAlignment="1">
      <alignment horizontal="right" vertical="center"/>
    </xf>
    <xf numFmtId="43" fontId="73" fillId="0" borderId="36" xfId="43" applyFont="1" applyBorder="1" applyAlignment="1">
      <alignment horizontal="right" vertical="center"/>
    </xf>
    <xf numFmtId="43" fontId="73" fillId="0" borderId="10" xfId="43" applyFont="1" applyBorder="1" applyAlignment="1">
      <alignment vertical="center" wrapText="1"/>
    </xf>
    <xf numFmtId="43" fontId="72" fillId="0" borderId="0" xfId="0" applyNumberFormat="1" applyFont="1" applyFill="1" applyBorder="1" applyAlignment="1">
      <alignment vertical="center"/>
    </xf>
    <xf numFmtId="43" fontId="72" fillId="0" borderId="0" xfId="0" applyNumberFormat="1" applyFont="1" applyAlignment="1">
      <alignment vertical="center"/>
    </xf>
    <xf numFmtId="43" fontId="73" fillId="0" borderId="0" xfId="43" applyFont="1" applyAlignment="1">
      <alignment vertical="center"/>
    </xf>
    <xf numFmtId="0" fontId="73" fillId="0" borderId="12" xfId="0" applyFont="1" applyBorder="1" applyAlignment="1">
      <alignment horizontal="center" vertical="center"/>
    </xf>
    <xf numFmtId="4" fontId="73" fillId="0" borderId="12" xfId="43" applyNumberFormat="1" applyFont="1" applyBorder="1" applyAlignment="1">
      <alignment horizontal="right" vertical="center"/>
    </xf>
    <xf numFmtId="0" fontId="72" fillId="36" borderId="23" xfId="0" applyFont="1" applyFill="1" applyBorder="1" applyAlignment="1">
      <alignment horizontal="center" vertical="center"/>
    </xf>
    <xf numFmtId="4" fontId="72" fillId="36" borderId="23" xfId="43" applyNumberFormat="1" applyFont="1" applyFill="1" applyBorder="1" applyAlignment="1">
      <alignment horizontal="right" vertical="center"/>
    </xf>
    <xf numFmtId="43" fontId="72" fillId="36" borderId="23" xfId="43" applyFont="1" applyFill="1" applyBorder="1" applyAlignment="1">
      <alignment horizontal="right" vertical="center"/>
    </xf>
    <xf numFmtId="43" fontId="72" fillId="36" borderId="72" xfId="43" applyFont="1" applyFill="1" applyBorder="1" applyAlignment="1">
      <alignment horizontal="right" vertical="center"/>
    </xf>
    <xf numFmtId="0" fontId="73" fillId="37" borderId="33" xfId="0" applyFont="1" applyFill="1" applyBorder="1" applyAlignment="1">
      <alignment horizontal="center" vertical="center"/>
    </xf>
    <xf numFmtId="0" fontId="73" fillId="37" borderId="10" xfId="0" applyFont="1" applyFill="1" applyBorder="1" applyAlignment="1">
      <alignment horizontal="center" vertical="center"/>
    </xf>
    <xf numFmtId="0" fontId="73" fillId="0" borderId="20" xfId="0" applyFont="1" applyBorder="1" applyAlignment="1">
      <alignment vertical="center" wrapText="1"/>
    </xf>
    <xf numFmtId="4" fontId="73" fillId="37" borderId="10" xfId="43" applyNumberFormat="1" applyFont="1" applyFill="1" applyBorder="1" applyAlignment="1">
      <alignment horizontal="right" vertical="center"/>
    </xf>
    <xf numFmtId="43" fontId="73" fillId="37" borderId="10" xfId="43" applyFont="1" applyFill="1" applyBorder="1" applyAlignment="1">
      <alignment horizontal="right" vertical="center"/>
    </xf>
    <xf numFmtId="43" fontId="73" fillId="37" borderId="34" xfId="43" applyFont="1" applyFill="1" applyBorder="1" applyAlignment="1">
      <alignment horizontal="right" vertical="center"/>
    </xf>
    <xf numFmtId="0" fontId="73" fillId="0" borderId="0" xfId="0" applyFont="1" applyAlignment="1">
      <alignment vertical="top"/>
    </xf>
    <xf numFmtId="43" fontId="73" fillId="0" borderId="38" xfId="43" applyFont="1" applyBorder="1" applyAlignment="1">
      <alignment vertical="top"/>
    </xf>
    <xf numFmtId="43" fontId="73" fillId="0" borderId="38" xfId="43" applyFont="1" applyBorder="1" applyAlignment="1">
      <alignment vertical="center" wrapText="1"/>
    </xf>
    <xf numFmtId="0" fontId="73" fillId="0" borderId="38" xfId="0" applyFont="1" applyBorder="1" applyAlignment="1">
      <alignment horizontal="center" vertical="top"/>
    </xf>
    <xf numFmtId="4" fontId="73" fillId="0" borderId="38" xfId="0" applyNumberFormat="1" applyFont="1" applyBorder="1" applyAlignment="1">
      <alignment horizontal="right" vertical="top"/>
    </xf>
    <xf numFmtId="4" fontId="73" fillId="0" borderId="39" xfId="0" applyNumberFormat="1" applyFont="1" applyBorder="1" applyAlignment="1">
      <alignment horizontal="right" vertical="top"/>
    </xf>
    <xf numFmtId="4" fontId="73" fillId="0" borderId="25" xfId="0" applyNumberFormat="1" applyFont="1" applyBorder="1" applyAlignment="1">
      <alignment horizontal="centerContinuous" vertical="top"/>
    </xf>
    <xf numFmtId="43" fontId="73" fillId="0" borderId="25" xfId="43" applyFont="1" applyBorder="1" applyAlignment="1">
      <alignment vertical="center"/>
    </xf>
    <xf numFmtId="4" fontId="73" fillId="0" borderId="25" xfId="0" applyNumberFormat="1" applyFont="1" applyBorder="1" applyAlignment="1">
      <alignment horizontal="right" vertical="top"/>
    </xf>
    <xf numFmtId="0" fontId="73" fillId="0" borderId="0" xfId="0" applyFont="1" applyBorder="1" applyAlignment="1">
      <alignment horizontal="center" vertical="top"/>
    </xf>
    <xf numFmtId="43" fontId="73" fillId="0" borderId="0" xfId="43" applyFont="1" applyBorder="1" applyAlignment="1">
      <alignment vertical="center" wrapText="1"/>
    </xf>
    <xf numFmtId="4" fontId="73" fillId="0" borderId="0" xfId="0" applyNumberFormat="1" applyFont="1" applyBorder="1" applyAlignment="1">
      <alignment horizontal="right" vertical="top"/>
    </xf>
    <xf numFmtId="0" fontId="73" fillId="0" borderId="0" xfId="0" applyFont="1" applyAlignment="1">
      <alignment horizontal="center" vertical="top"/>
    </xf>
    <xf numFmtId="43" fontId="73" fillId="0" borderId="0" xfId="43" applyFont="1" applyAlignment="1">
      <alignment vertical="center" wrapText="1"/>
    </xf>
    <xf numFmtId="4" fontId="73" fillId="0" borderId="0" xfId="0" applyNumberFormat="1" applyFont="1" applyAlignment="1">
      <alignment horizontal="right" vertical="top"/>
    </xf>
    <xf numFmtId="0" fontId="72" fillId="0" borderId="16" xfId="0" applyFont="1" applyFill="1" applyBorder="1" applyAlignment="1">
      <alignment horizontal="center" vertical="center"/>
    </xf>
    <xf numFmtId="43" fontId="72" fillId="0" borderId="16" xfId="43" applyFont="1" applyFill="1" applyBorder="1" applyAlignment="1">
      <alignment vertical="center" wrapText="1"/>
    </xf>
    <xf numFmtId="4" fontId="72" fillId="0" borderId="16" xfId="0" applyNumberFormat="1" applyFont="1" applyFill="1" applyBorder="1" applyAlignment="1">
      <alignment horizontal="right" vertical="center"/>
    </xf>
    <xf numFmtId="0" fontId="72" fillId="0" borderId="16" xfId="0" applyFont="1" applyFill="1" applyBorder="1" applyAlignment="1">
      <alignment horizontal="right" vertical="center"/>
    </xf>
    <xf numFmtId="0" fontId="72" fillId="0" borderId="41" xfId="0" applyFont="1" applyFill="1" applyBorder="1" applyAlignment="1">
      <alignment horizontal="right" vertical="center"/>
    </xf>
    <xf numFmtId="0" fontId="72" fillId="36" borderId="73" xfId="0" applyFont="1" applyFill="1" applyBorder="1" applyAlignment="1">
      <alignment horizontal="center" vertical="center"/>
    </xf>
    <xf numFmtId="0" fontId="72" fillId="36" borderId="74" xfId="0" applyFont="1" applyFill="1" applyBorder="1" applyAlignment="1">
      <alignment horizontal="center" vertical="top"/>
    </xf>
    <xf numFmtId="43" fontId="72" fillId="36" borderId="74" xfId="43" applyFont="1" applyFill="1" applyBorder="1" applyAlignment="1">
      <alignment vertical="center" wrapText="1"/>
    </xf>
    <xf numFmtId="4" fontId="72" fillId="36" borderId="74" xfId="43" applyNumberFormat="1" applyFont="1" applyFill="1" applyBorder="1" applyAlignment="1">
      <alignment horizontal="right" vertical="top"/>
    </xf>
    <xf numFmtId="43" fontId="72" fillId="36" borderId="74" xfId="43" applyFont="1" applyFill="1" applyBorder="1" applyAlignment="1">
      <alignment horizontal="right" vertical="top"/>
    </xf>
    <xf numFmtId="43" fontId="72" fillId="36" borderId="75" xfId="43" applyFont="1" applyFill="1" applyBorder="1" applyAlignment="1">
      <alignment horizontal="right" vertical="top"/>
    </xf>
    <xf numFmtId="43" fontId="72" fillId="0" borderId="18" xfId="43" applyFont="1" applyFill="1" applyBorder="1" applyAlignment="1">
      <alignment vertical="center" wrapText="1"/>
    </xf>
    <xf numFmtId="0" fontId="72" fillId="0" borderId="18" xfId="0" applyFont="1" applyFill="1" applyBorder="1" applyAlignment="1">
      <alignment horizontal="center" vertical="center"/>
    </xf>
    <xf numFmtId="4" fontId="72" fillId="0" borderId="24" xfId="0" applyNumberFormat="1" applyFont="1" applyBorder="1" applyAlignment="1">
      <alignment vertical="center" wrapText="1"/>
    </xf>
    <xf numFmtId="4" fontId="72" fillId="0" borderId="38" xfId="0" applyNumberFormat="1" applyFont="1" applyBorder="1" applyAlignment="1">
      <alignment horizontal="centerContinuous" vertical="center"/>
    </xf>
    <xf numFmtId="4" fontId="72" fillId="0" borderId="18" xfId="0" applyNumberFormat="1" applyFont="1" applyFill="1" applyBorder="1" applyAlignment="1">
      <alignment horizontal="right" vertical="center"/>
    </xf>
    <xf numFmtId="0" fontId="72" fillId="0" borderId="18" xfId="0" applyFont="1" applyFill="1" applyBorder="1" applyAlignment="1">
      <alignment horizontal="right" vertical="center"/>
    </xf>
    <xf numFmtId="0" fontId="72" fillId="0" borderId="28" xfId="0" applyFont="1" applyFill="1" applyBorder="1" applyAlignment="1">
      <alignment horizontal="right" vertical="center"/>
    </xf>
    <xf numFmtId="4" fontId="75" fillId="0" borderId="24" xfId="0" applyNumberFormat="1" applyFont="1" applyBorder="1" applyAlignment="1">
      <alignment vertical="center"/>
    </xf>
    <xf numFmtId="4" fontId="75" fillId="0" borderId="38" xfId="0" applyNumberFormat="1" applyFont="1" applyBorder="1" applyAlignment="1">
      <alignment vertical="center"/>
    </xf>
    <xf numFmtId="0" fontId="72" fillId="0" borderId="27" xfId="0" applyFont="1" applyFill="1" applyBorder="1" applyAlignment="1">
      <alignment horizontal="center" vertical="center"/>
    </xf>
    <xf numFmtId="0" fontId="72" fillId="0" borderId="40" xfId="0" applyFont="1" applyFill="1" applyBorder="1" applyAlignment="1">
      <alignment horizontal="center" vertical="center"/>
    </xf>
    <xf numFmtId="43" fontId="73" fillId="0" borderId="37" xfId="43" applyFont="1" applyBorder="1" applyAlignment="1">
      <alignment horizontal="center" vertical="center"/>
    </xf>
    <xf numFmtId="4" fontId="73" fillId="0" borderId="25" xfId="0" applyNumberFormat="1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2" fillId="0" borderId="73" xfId="0" applyFont="1" applyBorder="1" applyAlignment="1">
      <alignment horizontal="center" vertical="center"/>
    </xf>
    <xf numFmtId="0" fontId="72" fillId="0" borderId="74" xfId="0" applyFont="1" applyBorder="1" applyAlignment="1">
      <alignment horizontal="center" vertical="center"/>
    </xf>
    <xf numFmtId="171" fontId="74" fillId="0" borderId="74" xfId="0" applyNumberFormat="1" applyFont="1" applyFill="1" applyBorder="1" applyAlignment="1">
      <alignment vertical="center" wrapText="1"/>
    </xf>
    <xf numFmtId="0" fontId="73" fillId="0" borderId="74" xfId="0" applyFont="1" applyBorder="1" applyAlignment="1">
      <alignment horizontal="center" vertical="center"/>
    </xf>
    <xf numFmtId="4" fontId="73" fillId="0" borderId="74" xfId="43" applyNumberFormat="1" applyFont="1" applyBorder="1" applyAlignment="1">
      <alignment horizontal="right" vertical="center"/>
    </xf>
    <xf numFmtId="43" fontId="73" fillId="0" borderId="74" xfId="43" applyFont="1" applyBorder="1" applyAlignment="1">
      <alignment horizontal="right" vertical="center"/>
    </xf>
    <xf numFmtId="43" fontId="73" fillId="0" borderId="75" xfId="43" applyFont="1" applyBorder="1" applyAlignment="1">
      <alignment horizontal="right" vertical="center"/>
    </xf>
    <xf numFmtId="43" fontId="73" fillId="0" borderId="77" xfId="43" applyFont="1" applyBorder="1" applyAlignment="1">
      <alignment horizontal="right" vertical="center"/>
    </xf>
    <xf numFmtId="0" fontId="72" fillId="36" borderId="74" xfId="0" applyFont="1" applyFill="1" applyBorder="1" applyAlignment="1">
      <alignment horizontal="center" vertical="center"/>
    </xf>
    <xf numFmtId="4" fontId="72" fillId="36" borderId="74" xfId="43" applyNumberFormat="1" applyFont="1" applyFill="1" applyBorder="1" applyAlignment="1">
      <alignment horizontal="right" vertical="center"/>
    </xf>
    <xf numFmtId="43" fontId="72" fillId="36" borderId="74" xfId="43" applyFont="1" applyFill="1" applyBorder="1" applyAlignment="1">
      <alignment horizontal="right" vertical="center"/>
    </xf>
    <xf numFmtId="43" fontId="72" fillId="36" borderId="75" xfId="43" applyFont="1" applyFill="1" applyBorder="1" applyAlignment="1">
      <alignment horizontal="right" vertical="center"/>
    </xf>
    <xf numFmtId="0" fontId="72" fillId="0" borderId="78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43" fontId="72" fillId="0" borderId="0" xfId="43" applyFont="1" applyFill="1" applyBorder="1" applyAlignment="1">
      <alignment vertical="center" wrapText="1"/>
    </xf>
    <xf numFmtId="4" fontId="72" fillId="0" borderId="0" xfId="0" applyNumberFormat="1" applyFont="1" applyFill="1" applyBorder="1" applyAlignment="1">
      <alignment horizontal="right" vertical="center"/>
    </xf>
    <xf numFmtId="0" fontId="72" fillId="0" borderId="0" xfId="0" applyFont="1" applyFill="1" applyBorder="1" applyAlignment="1">
      <alignment horizontal="right" vertical="center"/>
    </xf>
    <xf numFmtId="43" fontId="72" fillId="0" borderId="79" xfId="43" applyFont="1" applyFill="1" applyBorder="1" applyAlignment="1">
      <alignment horizontal="right" vertical="center"/>
    </xf>
    <xf numFmtId="49" fontId="72" fillId="36" borderId="74" xfId="43" applyNumberFormat="1" applyFont="1" applyFill="1" applyBorder="1" applyAlignment="1">
      <alignment vertical="center" wrapText="1"/>
    </xf>
    <xf numFmtId="43" fontId="72" fillId="0" borderId="28" xfId="43" applyFont="1" applyFill="1" applyBorder="1" applyAlignment="1">
      <alignment horizontal="right" vertical="center"/>
    </xf>
    <xf numFmtId="43" fontId="73" fillId="0" borderId="13" xfId="43" applyFont="1" applyBorder="1" applyAlignment="1">
      <alignment vertical="center" wrapText="1"/>
    </xf>
    <xf numFmtId="4" fontId="72" fillId="0" borderId="0" xfId="43" applyNumberFormat="1" applyFont="1" applyFill="1" applyBorder="1" applyAlignment="1">
      <alignment horizontal="right" vertical="center"/>
    </xf>
    <xf numFmtId="43" fontId="72" fillId="0" borderId="0" xfId="43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18" fillId="0" borderId="0" xfId="0" applyFont="1"/>
    <xf numFmtId="2" fontId="18" fillId="0" borderId="0" xfId="0" applyNumberFormat="1" applyFont="1"/>
    <xf numFmtId="2" fontId="0" fillId="0" borderId="0" xfId="0" applyNumberFormat="1" applyAlignment="1">
      <alignment horizontal="right"/>
    </xf>
    <xf numFmtId="0" fontId="7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77" fillId="0" borderId="0" xfId="0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72" fillId="0" borderId="80" xfId="0" applyFont="1" applyFill="1" applyBorder="1" applyAlignment="1">
      <alignment horizontal="center" vertical="center"/>
    </xf>
    <xf numFmtId="0" fontId="72" fillId="0" borderId="81" xfId="0" applyFont="1" applyFill="1" applyBorder="1" applyAlignment="1">
      <alignment horizontal="center" vertical="center"/>
    </xf>
    <xf numFmtId="43" fontId="72" fillId="0" borderId="81" xfId="43" applyFont="1" applyFill="1" applyBorder="1" applyAlignment="1">
      <alignment vertical="center" wrapText="1"/>
    </xf>
    <xf numFmtId="4" fontId="72" fillId="0" borderId="81" xfId="43" applyNumberFormat="1" applyFont="1" applyFill="1" applyBorder="1" applyAlignment="1">
      <alignment horizontal="right" vertical="center"/>
    </xf>
    <xf numFmtId="43" fontId="72" fillId="0" borderId="81" xfId="43" applyFont="1" applyFill="1" applyBorder="1" applyAlignment="1">
      <alignment horizontal="right" vertical="center"/>
    </xf>
    <xf numFmtId="43" fontId="72" fillId="0" borderId="82" xfId="43" applyFont="1" applyFill="1" applyBorder="1" applyAlignment="1">
      <alignment horizontal="right" vertical="center"/>
    </xf>
    <xf numFmtId="43" fontId="73" fillId="0" borderId="10" xfId="43" applyFont="1" applyFill="1" applyBorder="1" applyAlignment="1">
      <alignment vertical="center" wrapText="1"/>
    </xf>
    <xf numFmtId="0" fontId="73" fillId="0" borderId="10" xfId="0" applyFont="1" applyFill="1" applyBorder="1" applyAlignment="1">
      <alignment horizontal="center" vertical="center"/>
    </xf>
    <xf numFmtId="4" fontId="73" fillId="0" borderId="10" xfId="43" applyNumberFormat="1" applyFont="1" applyFill="1" applyBorder="1" applyAlignment="1">
      <alignment horizontal="right" vertical="center"/>
    </xf>
    <xf numFmtId="43" fontId="73" fillId="0" borderId="10" xfId="43" applyFont="1" applyFill="1" applyBorder="1" applyAlignment="1">
      <alignment horizontal="right" vertical="center"/>
    </xf>
    <xf numFmtId="43" fontId="73" fillId="0" borderId="34" xfId="43" applyFont="1" applyFill="1" applyBorder="1" applyAlignment="1">
      <alignment horizontal="right" vertical="center"/>
    </xf>
    <xf numFmtId="0" fontId="72" fillId="0" borderId="80" xfId="0" applyFont="1" applyBorder="1" applyAlignment="1">
      <alignment horizontal="center" vertical="center"/>
    </xf>
    <xf numFmtId="0" fontId="72" fillId="0" borderId="81" xfId="0" applyFont="1" applyBorder="1" applyAlignment="1">
      <alignment horizontal="center" vertical="center"/>
    </xf>
    <xf numFmtId="171" fontId="74" fillId="0" borderId="81" xfId="0" applyNumberFormat="1" applyFont="1" applyFill="1" applyBorder="1" applyAlignment="1">
      <alignment vertical="center" wrapText="1"/>
    </xf>
    <xf numFmtId="0" fontId="73" fillId="0" borderId="10" xfId="0" applyFont="1" applyBorder="1" applyAlignment="1">
      <alignment horizontal="center" vertical="center" wrapText="1"/>
    </xf>
    <xf numFmtId="49" fontId="73" fillId="0" borderId="10" xfId="43" applyNumberFormat="1" applyFont="1" applyFill="1" applyBorder="1" applyAlignment="1">
      <alignment vertical="center" wrapText="1"/>
    </xf>
    <xf numFmtId="0" fontId="73" fillId="0" borderId="33" xfId="0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top"/>
    </xf>
    <xf numFmtId="2" fontId="78" fillId="0" borderId="0" xfId="0" applyNumberFormat="1" applyFont="1" applyAlignment="1">
      <alignment horizontal="center" vertical="top"/>
    </xf>
    <xf numFmtId="0" fontId="72" fillId="0" borderId="78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171" fontId="74" fillId="0" borderId="0" xfId="0" applyNumberFormat="1" applyFont="1" applyFill="1" applyBorder="1" applyAlignment="1">
      <alignment vertical="center" wrapText="1"/>
    </xf>
    <xf numFmtId="0" fontId="73" fillId="0" borderId="81" xfId="0" applyFont="1" applyFill="1" applyBorder="1" applyAlignment="1">
      <alignment horizontal="center" vertical="center"/>
    </xf>
    <xf numFmtId="4" fontId="73" fillId="0" borderId="81" xfId="43" applyNumberFormat="1" applyFont="1" applyFill="1" applyBorder="1" applyAlignment="1">
      <alignment horizontal="right" vertical="center"/>
    </xf>
    <xf numFmtId="43" fontId="73" fillId="0" borderId="81" xfId="43" applyFont="1" applyFill="1" applyBorder="1" applyAlignment="1">
      <alignment horizontal="right" vertical="center"/>
    </xf>
    <xf numFmtId="43" fontId="73" fillId="0" borderId="82" xfId="43" applyFont="1" applyFill="1" applyBorder="1" applyAlignment="1">
      <alignment horizontal="right" vertical="center"/>
    </xf>
    <xf numFmtId="4" fontId="73" fillId="0" borderId="13" xfId="43" applyNumberFormat="1" applyFont="1" applyFill="1" applyBorder="1" applyAlignment="1">
      <alignment horizontal="right" vertical="center"/>
    </xf>
    <xf numFmtId="0" fontId="72" fillId="36" borderId="29" xfId="0" applyFont="1" applyFill="1" applyBorder="1" applyAlignment="1">
      <alignment horizontal="center" vertical="center"/>
    </xf>
    <xf numFmtId="43" fontId="72" fillId="36" borderId="68" xfId="43" applyFont="1" applyFill="1" applyBorder="1" applyAlignment="1">
      <alignment vertical="center" wrapText="1"/>
    </xf>
    <xf numFmtId="0" fontId="72" fillId="36" borderId="19" xfId="0" applyFont="1" applyFill="1" applyBorder="1" applyAlignment="1">
      <alignment horizontal="center" vertical="center"/>
    </xf>
    <xf numFmtId="0" fontId="72" fillId="36" borderId="40" xfId="0" applyFont="1" applyFill="1" applyBorder="1" applyAlignment="1">
      <alignment horizontal="center" vertical="center"/>
    </xf>
    <xf numFmtId="0" fontId="72" fillId="37" borderId="40" xfId="0" applyFont="1" applyFill="1" applyBorder="1" applyAlignment="1">
      <alignment horizontal="center" vertical="center"/>
    </xf>
    <xf numFmtId="49" fontId="72" fillId="36" borderId="71" xfId="43" applyNumberFormat="1" applyFont="1" applyFill="1" applyBorder="1" applyAlignment="1">
      <alignment vertical="center" wrapText="1"/>
    </xf>
    <xf numFmtId="0" fontId="72" fillId="36" borderId="16" xfId="0" applyFont="1" applyFill="1" applyBorder="1" applyAlignment="1">
      <alignment horizontal="center" vertical="center"/>
    </xf>
    <xf numFmtId="0" fontId="72" fillId="37" borderId="16" xfId="0" applyFont="1" applyFill="1" applyBorder="1" applyAlignment="1">
      <alignment horizontal="center" vertical="center"/>
    </xf>
    <xf numFmtId="49" fontId="72" fillId="37" borderId="16" xfId="43" applyNumberFormat="1" applyFont="1" applyFill="1" applyBorder="1" applyAlignment="1">
      <alignment vertical="center" wrapText="1"/>
    </xf>
    <xf numFmtId="43" fontId="72" fillId="37" borderId="41" xfId="43" applyFont="1" applyFill="1" applyBorder="1" applyAlignment="1">
      <alignment horizontal="right" vertical="center"/>
    </xf>
    <xf numFmtId="0" fontId="72" fillId="37" borderId="19" xfId="0" applyFont="1" applyFill="1" applyBorder="1" applyAlignment="1">
      <alignment horizontal="center" vertical="center"/>
    </xf>
    <xf numFmtId="4" fontId="72" fillId="37" borderId="19" xfId="43" applyNumberFormat="1" applyFont="1" applyFill="1" applyBorder="1" applyAlignment="1">
      <alignment horizontal="right" vertical="center"/>
    </xf>
    <xf numFmtId="43" fontId="72" fillId="37" borderId="19" xfId="43" applyFont="1" applyFill="1" applyBorder="1" applyAlignment="1">
      <alignment horizontal="right" vertical="center"/>
    </xf>
    <xf numFmtId="49" fontId="72" fillId="36" borderId="19" xfId="43" applyNumberFormat="1" applyFont="1" applyFill="1" applyBorder="1" applyAlignment="1">
      <alignment vertical="center" wrapText="1"/>
    </xf>
    <xf numFmtId="43" fontId="72" fillId="36" borderId="30" xfId="43" applyFont="1" applyFill="1" applyBorder="1" applyAlignment="1">
      <alignment horizontal="right" vertical="center"/>
    </xf>
    <xf numFmtId="4" fontId="72" fillId="36" borderId="19" xfId="43" applyNumberFormat="1" applyFont="1" applyFill="1" applyBorder="1" applyAlignment="1">
      <alignment horizontal="right" vertical="center"/>
    </xf>
    <xf numFmtId="43" fontId="72" fillId="36" borderId="19" xfId="43" applyFont="1" applyFill="1" applyBorder="1" applyAlignment="1">
      <alignment horizontal="right" vertical="center"/>
    </xf>
    <xf numFmtId="0" fontId="72" fillId="0" borderId="29" xfId="0" applyFont="1" applyFill="1" applyBorder="1" applyAlignment="1">
      <alignment horizontal="center" vertical="center"/>
    </xf>
    <xf numFmtId="0" fontId="72" fillId="0" borderId="19" xfId="0" applyFont="1" applyFill="1" applyBorder="1" applyAlignment="1">
      <alignment horizontal="center" vertical="center"/>
    </xf>
    <xf numFmtId="49" fontId="72" fillId="0" borderId="19" xfId="43" applyNumberFormat="1" applyFont="1" applyFill="1" applyBorder="1" applyAlignment="1">
      <alignment vertical="center" wrapText="1"/>
    </xf>
    <xf numFmtId="4" fontId="72" fillId="0" borderId="19" xfId="43" applyNumberFormat="1" applyFont="1" applyFill="1" applyBorder="1" applyAlignment="1">
      <alignment horizontal="right" vertical="center"/>
    </xf>
    <xf numFmtId="0" fontId="72" fillId="36" borderId="27" xfId="0" applyFont="1" applyFill="1" applyBorder="1" applyAlignment="1">
      <alignment horizontal="center" vertical="center"/>
    </xf>
    <xf numFmtId="0" fontId="72" fillId="36" borderId="18" xfId="0" applyFont="1" applyFill="1" applyBorder="1" applyAlignment="1">
      <alignment horizontal="center" vertical="center"/>
    </xf>
    <xf numFmtId="49" fontId="72" fillId="36" borderId="18" xfId="43" applyNumberFormat="1" applyFont="1" applyFill="1" applyBorder="1" applyAlignment="1">
      <alignment vertical="center" wrapText="1"/>
    </xf>
    <xf numFmtId="4" fontId="72" fillId="36" borderId="18" xfId="43" applyNumberFormat="1" applyFont="1" applyFill="1" applyBorder="1" applyAlignment="1">
      <alignment horizontal="right" vertical="center"/>
    </xf>
    <xf numFmtId="43" fontId="72" fillId="36" borderId="28" xfId="43" applyFont="1" applyFill="1" applyBorder="1" applyAlignment="1">
      <alignment horizontal="right" vertical="center"/>
    </xf>
    <xf numFmtId="43" fontId="72" fillId="0" borderId="19" xfId="43" applyFont="1" applyFill="1" applyBorder="1" applyAlignment="1">
      <alignment horizontal="right" vertical="center"/>
    </xf>
    <xf numFmtId="43" fontId="72" fillId="36" borderId="18" xfId="43" applyFont="1" applyFill="1" applyBorder="1" applyAlignment="1">
      <alignment horizontal="right" vertical="center"/>
    </xf>
    <xf numFmtId="164" fontId="38" fillId="0" borderId="47" xfId="152" applyFont="1" applyFill="1" applyBorder="1" applyAlignment="1">
      <alignment horizontal="center" vertical="center"/>
    </xf>
    <xf numFmtId="184" fontId="37" fillId="0" borderId="51" xfId="151" applyNumberFormat="1" applyFont="1" applyFill="1" applyBorder="1" applyAlignment="1">
      <alignment horizontal="center" vertical="center"/>
    </xf>
    <xf numFmtId="4" fontId="34" fillId="0" borderId="43" xfId="0" applyNumberFormat="1" applyFont="1" applyFill="1" applyBorder="1" applyAlignment="1">
      <alignment vertical="center"/>
    </xf>
    <xf numFmtId="43" fontId="73" fillId="0" borderId="12" xfId="43" applyFont="1" applyFill="1" applyBorder="1" applyAlignment="1">
      <alignment horizontal="right" vertical="center"/>
    </xf>
    <xf numFmtId="0" fontId="42" fillId="0" borderId="0" xfId="65" applyFont="1" applyAlignment="1">
      <alignment horizontal="center" vertical="center" wrapText="1"/>
    </xf>
    <xf numFmtId="0" fontId="42" fillId="0" borderId="0" xfId="65" applyFont="1" applyAlignment="1">
      <alignment horizontal="center" vertical="center"/>
    </xf>
    <xf numFmtId="0" fontId="42" fillId="0" borderId="10" xfId="65" applyFont="1" applyBorder="1" applyAlignment="1">
      <alignment horizontal="left" vertical="center" wrapText="1"/>
    </xf>
    <xf numFmtId="4" fontId="42" fillId="0" borderId="10" xfId="65" applyNumberFormat="1" applyFont="1" applyBorder="1" applyAlignment="1">
      <alignment horizontal="center" vertical="center"/>
    </xf>
    <xf numFmtId="0" fontId="42" fillId="0" borderId="10" xfId="65" applyFont="1" applyBorder="1" applyAlignment="1">
      <alignment horizontal="center" vertical="center"/>
    </xf>
    <xf numFmtId="0" fontId="42" fillId="0" borderId="84" xfId="65" applyFont="1" applyBorder="1" applyAlignment="1">
      <alignment horizontal="center" vertical="center"/>
    </xf>
    <xf numFmtId="2" fontId="42" fillId="0" borderId="84" xfId="65" applyNumberFormat="1" applyFont="1" applyBorder="1" applyAlignment="1">
      <alignment horizontal="center" vertical="center"/>
    </xf>
    <xf numFmtId="2" fontId="42" fillId="0" borderId="10" xfId="65" applyNumberFormat="1" applyFont="1" applyBorder="1" applyAlignment="1">
      <alignment horizontal="center" vertical="center"/>
    </xf>
    <xf numFmtId="183" fontId="42" fillId="0" borderId="10" xfId="65" applyNumberFormat="1" applyFont="1" applyBorder="1" applyAlignment="1">
      <alignment horizontal="center" vertical="center"/>
    </xf>
    <xf numFmtId="0" fontId="42" fillId="0" borderId="20" xfId="65" applyFont="1" applyBorder="1" applyAlignment="1">
      <alignment horizontal="right" vertical="center"/>
    </xf>
    <xf numFmtId="2" fontId="41" fillId="0" borderId="84" xfId="65" applyNumberFormat="1" applyFont="1" applyBorder="1" applyAlignment="1">
      <alignment horizontal="center" vertical="center"/>
    </xf>
    <xf numFmtId="2" fontId="42" fillId="0" borderId="0" xfId="65" applyNumberFormat="1" applyFont="1" applyAlignment="1">
      <alignment horizontal="left" vertical="center"/>
    </xf>
    <xf numFmtId="0" fontId="42" fillId="0" borderId="74" xfId="65" applyFont="1" applyBorder="1" applyAlignment="1">
      <alignment vertical="center"/>
    </xf>
    <xf numFmtId="2" fontId="41" fillId="0" borderId="0" xfId="65" applyNumberFormat="1" applyFont="1" applyAlignment="1">
      <alignment horizontal="left" vertical="center"/>
    </xf>
    <xf numFmtId="49" fontId="73" fillId="0" borderId="10" xfId="0" applyNumberFormat="1" applyFont="1" applyFill="1" applyBorder="1" applyAlignment="1">
      <alignment horizontal="center" vertical="center" wrapText="1"/>
    </xf>
    <xf numFmtId="0" fontId="42" fillId="36" borderId="0" xfId="65" applyFont="1" applyFill="1" applyAlignment="1">
      <alignment vertical="center"/>
    </xf>
    <xf numFmtId="0" fontId="42" fillId="36" borderId="0" xfId="65" applyFont="1" applyFill="1" applyAlignment="1">
      <alignment horizontal="left" vertical="center"/>
    </xf>
    <xf numFmtId="4" fontId="42" fillId="36" borderId="0" xfId="65" applyNumberFormat="1" applyFont="1" applyFill="1" applyAlignment="1">
      <alignment horizontal="center" vertical="center"/>
    </xf>
    <xf numFmtId="2" fontId="42" fillId="0" borderId="10" xfId="65" applyNumberFormat="1" applyFont="1" applyFill="1" applyBorder="1" applyAlignment="1">
      <alignment horizontal="center" vertical="center"/>
    </xf>
    <xf numFmtId="0" fontId="41" fillId="0" borderId="0" xfId="65" applyFont="1" applyAlignment="1">
      <alignment horizontal="left" vertical="center" wrapText="1"/>
    </xf>
    <xf numFmtId="0" fontId="0" fillId="40" borderId="0" xfId="0" applyFill="1"/>
    <xf numFmtId="0" fontId="0" fillId="40" borderId="0" xfId="0" applyFill="1" applyAlignment="1">
      <alignment horizontal="center" vertical="center"/>
    </xf>
    <xf numFmtId="2" fontId="0" fillId="40" borderId="0" xfId="0" applyNumberFormat="1" applyFill="1" applyAlignment="1">
      <alignment horizontal="center" vertical="center"/>
    </xf>
    <xf numFmtId="0" fontId="0" fillId="40" borderId="0" xfId="0" applyFill="1" applyAlignment="1">
      <alignment horizontal="left"/>
    </xf>
    <xf numFmtId="0" fontId="42" fillId="0" borderId="0" xfId="65" applyFont="1" applyFill="1" applyAlignment="1">
      <alignment vertical="center"/>
    </xf>
    <xf numFmtId="0" fontId="42" fillId="0" borderId="0" xfId="65" applyFont="1" applyFill="1" applyAlignment="1">
      <alignment horizontal="left" vertical="center"/>
    </xf>
    <xf numFmtId="4" fontId="42" fillId="0" borderId="0" xfId="65" applyNumberFormat="1" applyFont="1" applyFill="1" applyAlignment="1">
      <alignment horizontal="center" vertical="center"/>
    </xf>
    <xf numFmtId="0" fontId="41" fillId="0" borderId="0" xfId="65" applyFont="1" applyFill="1" applyAlignment="1">
      <alignment vertical="center"/>
    </xf>
    <xf numFmtId="0" fontId="41" fillId="0" borderId="0" xfId="65" applyFont="1" applyAlignment="1">
      <alignment horizontal="left" vertical="center" wrapText="1"/>
    </xf>
    <xf numFmtId="4" fontId="41" fillId="0" borderId="0" xfId="65" applyNumberFormat="1" applyFont="1" applyAlignment="1">
      <alignment horizontal="center" vertical="center"/>
    </xf>
    <xf numFmtId="0" fontId="42" fillId="0" borderId="20" xfId="65" applyFont="1" applyBorder="1" applyAlignment="1">
      <alignment vertical="center"/>
    </xf>
    <xf numFmtId="0" fontId="42" fillId="0" borderId="10" xfId="65" applyFont="1" applyBorder="1" applyAlignment="1">
      <alignment horizontal="left" vertical="center"/>
    </xf>
    <xf numFmtId="4" fontId="42" fillId="0" borderId="74" xfId="65" applyNumberFormat="1" applyFont="1" applyBorder="1" applyAlignment="1">
      <alignment horizontal="center" vertical="center"/>
    </xf>
    <xf numFmtId="184" fontId="42" fillId="0" borderId="84" xfId="65" applyNumberFormat="1" applyFont="1" applyBorder="1" applyAlignment="1">
      <alignment horizontal="center" vertical="center"/>
    </xf>
    <xf numFmtId="185" fontId="42" fillId="0" borderId="10" xfId="65" applyNumberFormat="1" applyFont="1" applyBorder="1" applyAlignment="1">
      <alignment horizontal="center" vertical="center"/>
    </xf>
    <xf numFmtId="186" fontId="42" fillId="0" borderId="10" xfId="65" applyNumberFormat="1" applyFont="1" applyBorder="1" applyAlignment="1">
      <alignment horizontal="center" vertical="center"/>
    </xf>
    <xf numFmtId="0" fontId="41" fillId="0" borderId="0" xfId="65" applyFont="1" applyAlignment="1">
      <alignment horizontal="left" vertical="center"/>
    </xf>
    <xf numFmtId="0" fontId="42" fillId="41" borderId="0" xfId="65" applyFont="1" applyFill="1" applyAlignment="1">
      <alignment vertical="center"/>
    </xf>
    <xf numFmtId="0" fontId="42" fillId="41" borderId="0" xfId="65" applyFont="1" applyFill="1" applyAlignment="1">
      <alignment horizontal="left" vertical="center"/>
    </xf>
    <xf numFmtId="4" fontId="42" fillId="41" borderId="0" xfId="65" applyNumberFormat="1" applyFont="1" applyFill="1" applyAlignment="1">
      <alignment horizontal="center" vertical="center"/>
    </xf>
    <xf numFmtId="0" fontId="41" fillId="0" borderId="84" xfId="65" applyFont="1" applyBorder="1" applyAlignment="1">
      <alignment horizontal="center" vertical="center"/>
    </xf>
    <xf numFmtId="0" fontId="41" fillId="0" borderId="10" xfId="65" applyFont="1" applyBorder="1" applyAlignment="1">
      <alignment horizontal="left" vertical="center" wrapText="1"/>
    </xf>
    <xf numFmtId="0" fontId="42" fillId="0" borderId="10" xfId="65" applyFont="1" applyBorder="1" applyAlignment="1">
      <alignment horizontal="center" vertical="center" wrapText="1"/>
    </xf>
    <xf numFmtId="0" fontId="42" fillId="0" borderId="84" xfId="65" applyFont="1" applyBorder="1" applyAlignment="1">
      <alignment horizontal="center" vertical="center" wrapText="1"/>
    </xf>
    <xf numFmtId="0" fontId="42" fillId="0" borderId="0" xfId="65" applyFont="1" applyBorder="1" applyAlignment="1">
      <alignment horizontal="center" vertical="center" wrapText="1"/>
    </xf>
    <xf numFmtId="0" fontId="42" fillId="0" borderId="0" xfId="65" applyFont="1" applyBorder="1" applyAlignment="1">
      <alignment horizontal="left" vertical="center"/>
    </xf>
    <xf numFmtId="0" fontId="42" fillId="0" borderId="0" xfId="65" applyFont="1" applyBorder="1" applyAlignment="1">
      <alignment vertical="center"/>
    </xf>
    <xf numFmtId="2" fontId="42" fillId="0" borderId="0" xfId="65" applyNumberFormat="1" applyFont="1" applyBorder="1" applyAlignment="1">
      <alignment horizontal="left" vertical="center"/>
    </xf>
    <xf numFmtId="0" fontId="42" fillId="0" borderId="10" xfId="65" applyFont="1" applyBorder="1" applyAlignment="1">
      <alignment horizontal="center" vertical="center"/>
    </xf>
    <xf numFmtId="2" fontId="42" fillId="0" borderId="85" xfId="65" applyNumberFormat="1" applyFont="1" applyBorder="1" applyAlignment="1">
      <alignment horizontal="center" vertical="center"/>
    </xf>
    <xf numFmtId="0" fontId="42" fillId="41" borderId="0" xfId="65" applyFont="1" applyFill="1" applyBorder="1" applyAlignment="1">
      <alignment vertical="center"/>
    </xf>
    <xf numFmtId="2" fontId="42" fillId="41" borderId="0" xfId="65" applyNumberFormat="1" applyFont="1" applyFill="1" applyBorder="1" applyAlignment="1">
      <alignment horizontal="left" vertical="center"/>
    </xf>
    <xf numFmtId="0" fontId="42" fillId="42" borderId="0" xfId="65" applyFont="1" applyFill="1" applyAlignment="1">
      <alignment horizontal="left" vertical="center"/>
    </xf>
    <xf numFmtId="0" fontId="42" fillId="42" borderId="0" xfId="65" applyFont="1" applyFill="1" applyAlignment="1">
      <alignment vertical="center"/>
    </xf>
    <xf numFmtId="0" fontId="42" fillId="0" borderId="10" xfId="65" applyFont="1" applyBorder="1" applyAlignment="1">
      <alignment horizontal="left" vertical="center" wrapText="1"/>
    </xf>
    <xf numFmtId="0" fontId="41" fillId="0" borderId="0" xfId="65" applyFont="1" applyAlignment="1">
      <alignment vertical="center" wrapText="1"/>
    </xf>
    <xf numFmtId="0" fontId="41" fillId="0" borderId="0" xfId="65" applyFont="1" applyAlignment="1">
      <alignment horizontal="left" vertical="center" wrapText="1"/>
    </xf>
    <xf numFmtId="0" fontId="42" fillId="0" borderId="10" xfId="65" applyFont="1" applyBorder="1" applyAlignment="1">
      <alignment horizontal="left" vertical="center" wrapText="1"/>
    </xf>
    <xf numFmtId="0" fontId="42" fillId="0" borderId="10" xfId="65" applyFont="1" applyBorder="1" applyAlignment="1">
      <alignment horizontal="center" vertical="center"/>
    </xf>
    <xf numFmtId="0" fontId="1" fillId="37" borderId="0" xfId="0" applyNumberFormat="1" applyFont="1" applyFill="1"/>
    <xf numFmtId="0" fontId="42" fillId="0" borderId="74" xfId="65" applyFont="1" applyBorder="1" applyAlignment="1">
      <alignment horizontal="center" vertical="center" wrapText="1"/>
    </xf>
    <xf numFmtId="0" fontId="42" fillId="0" borderId="0" xfId="65" applyFont="1" applyFill="1" applyAlignment="1">
      <alignment horizontal="center" vertical="center"/>
    </xf>
    <xf numFmtId="0" fontId="41" fillId="0" borderId="0" xfId="65" applyFont="1" applyAlignment="1">
      <alignment horizontal="center" vertical="center"/>
    </xf>
    <xf numFmtId="0" fontId="41" fillId="0" borderId="10" xfId="65" applyFont="1" applyBorder="1" applyAlignment="1">
      <alignment horizontal="center" vertical="center" wrapText="1"/>
    </xf>
    <xf numFmtId="0" fontId="42" fillId="41" borderId="0" xfId="65" applyFont="1" applyFill="1" applyAlignment="1">
      <alignment horizontal="center" vertical="center"/>
    </xf>
    <xf numFmtId="0" fontId="42" fillId="0" borderId="10" xfId="65" applyFont="1" applyBorder="1" applyAlignment="1">
      <alignment horizontal="left" vertical="center" wrapText="1"/>
    </xf>
    <xf numFmtId="0" fontId="42" fillId="0" borderId="10" xfId="65" applyFont="1" applyBorder="1" applyAlignment="1">
      <alignment horizontal="center" vertical="center"/>
    </xf>
    <xf numFmtId="0" fontId="42" fillId="0" borderId="20" xfId="65" applyFont="1" applyFill="1" applyBorder="1" applyAlignment="1">
      <alignment horizontal="left" vertical="center"/>
    </xf>
    <xf numFmtId="0" fontId="42" fillId="0" borderId="10" xfId="65" applyFont="1" applyFill="1" applyBorder="1" applyAlignment="1">
      <alignment horizontal="left" vertical="center" wrapText="1"/>
    </xf>
    <xf numFmtId="4" fontId="42" fillId="0" borderId="10" xfId="65" applyNumberFormat="1" applyFont="1" applyFill="1" applyBorder="1" applyAlignment="1">
      <alignment horizontal="center" vertical="center"/>
    </xf>
    <xf numFmtId="184" fontId="42" fillId="0" borderId="84" xfId="65" applyNumberFormat="1" applyFont="1" applyFill="1" applyBorder="1" applyAlignment="1">
      <alignment horizontal="center" vertical="center"/>
    </xf>
    <xf numFmtId="185" fontId="42" fillId="0" borderId="10" xfId="65" applyNumberFormat="1" applyFont="1" applyFill="1" applyBorder="1" applyAlignment="1">
      <alignment horizontal="center" vertical="center"/>
    </xf>
    <xf numFmtId="2" fontId="42" fillId="0" borderId="84" xfId="65" applyNumberFormat="1" applyFont="1" applyFill="1" applyBorder="1" applyAlignment="1">
      <alignment horizontal="center" vertical="center"/>
    </xf>
    <xf numFmtId="0" fontId="42" fillId="0" borderId="10" xfId="65" applyFont="1" applyFill="1" applyBorder="1" applyAlignment="1">
      <alignment horizontal="center" vertical="center" wrapText="1"/>
    </xf>
    <xf numFmtId="0" fontId="42" fillId="0" borderId="10" xfId="65" applyFont="1" applyFill="1" applyBorder="1" applyAlignment="1">
      <alignment horizontal="center" vertical="center"/>
    </xf>
    <xf numFmtId="0" fontId="41" fillId="0" borderId="0" xfId="65" applyFont="1" applyFill="1" applyAlignment="1">
      <alignment horizontal="left" vertical="center"/>
    </xf>
    <xf numFmtId="0" fontId="41" fillId="0" borderId="0" xfId="65" applyFont="1" applyFill="1" applyAlignment="1">
      <alignment horizontal="center" vertical="center"/>
    </xf>
    <xf numFmtId="0" fontId="42" fillId="0" borderId="74" xfId="65" applyFont="1" applyBorder="1" applyAlignment="1">
      <alignment horizontal="left" vertical="center"/>
    </xf>
    <xf numFmtId="0" fontId="69" fillId="0" borderId="0" xfId="194" applyNumberFormat="1" applyFont="1" applyFill="1"/>
    <xf numFmtId="0" fontId="67" fillId="0" borderId="0" xfId="194" applyNumberFormat="1" applyFont="1" applyFill="1"/>
    <xf numFmtId="0" fontId="67" fillId="0" borderId="0" xfId="194" applyNumberFormat="1" applyFont="1" applyFill="1" applyAlignment="1"/>
    <xf numFmtId="0" fontId="67" fillId="0" borderId="10" xfId="194" applyNumberFormat="1" applyFont="1" applyFill="1" applyBorder="1" applyAlignment="1">
      <alignment vertical="center" wrapText="1"/>
    </xf>
    <xf numFmtId="0" fontId="67" fillId="0" borderId="10" xfId="194" applyNumberFormat="1" applyFont="1" applyFill="1" applyBorder="1" applyAlignment="1">
      <alignment horizontal="center" vertical="center"/>
    </xf>
    <xf numFmtId="184" fontId="67" fillId="0" borderId="10" xfId="194" applyNumberFormat="1" applyFont="1" applyFill="1" applyBorder="1" applyAlignment="1">
      <alignment horizontal="center" vertical="center"/>
    </xf>
    <xf numFmtId="184" fontId="42" fillId="0" borderId="10" xfId="65" applyNumberFormat="1" applyFont="1" applyFill="1" applyBorder="1" applyAlignment="1">
      <alignment horizontal="center" vertical="center"/>
    </xf>
    <xf numFmtId="184" fontId="67" fillId="0" borderId="84" xfId="194" applyNumberFormat="1" applyFont="1" applyFill="1" applyBorder="1" applyAlignment="1">
      <alignment horizontal="center" vertical="center"/>
    </xf>
    <xf numFmtId="0" fontId="42" fillId="0" borderId="74" xfId="65" applyFont="1" applyBorder="1" applyAlignment="1">
      <alignment horizontal="right" vertical="center"/>
    </xf>
    <xf numFmtId="0" fontId="66" fillId="0" borderId="0" xfId="194" applyNumberFormat="1" applyFont="1" applyFill="1" applyAlignment="1"/>
    <xf numFmtId="0" fontId="67" fillId="0" borderId="74" xfId="194" applyNumberFormat="1" applyFont="1" applyFill="1" applyBorder="1" applyAlignment="1"/>
    <xf numFmtId="0" fontId="67" fillId="0" borderId="74" xfId="194" applyNumberFormat="1" applyFont="1" applyFill="1" applyBorder="1"/>
    <xf numFmtId="0" fontId="67" fillId="0" borderId="74" xfId="194" applyNumberFormat="1" applyFont="1" applyFill="1" applyBorder="1" applyAlignment="1">
      <alignment horizontal="right" vertical="center"/>
    </xf>
    <xf numFmtId="0" fontId="67" fillId="0" borderId="0" xfId="194" applyNumberFormat="1" applyFont="1" applyFill="1" applyAlignment="1">
      <alignment horizontal="left"/>
    </xf>
    <xf numFmtId="0" fontId="67" fillId="0" borderId="74" xfId="194" applyNumberFormat="1" applyFont="1" applyFill="1" applyBorder="1" applyAlignment="1">
      <alignment horizontal="left"/>
    </xf>
    <xf numFmtId="2" fontId="67" fillId="0" borderId="0" xfId="194" applyNumberFormat="1" applyFont="1" applyFill="1" applyAlignment="1">
      <alignment horizontal="left"/>
    </xf>
    <xf numFmtId="2" fontId="66" fillId="0" borderId="0" xfId="194" applyNumberFormat="1" applyFont="1" applyFill="1" applyAlignment="1">
      <alignment horizontal="left"/>
    </xf>
    <xf numFmtId="0" fontId="67" fillId="0" borderId="0" xfId="194" applyNumberFormat="1" applyFont="1" applyFill="1" applyAlignment="1">
      <alignment horizontal="left" vertical="center"/>
    </xf>
    <xf numFmtId="0" fontId="66" fillId="0" borderId="0" xfId="194" applyNumberFormat="1" applyFont="1" applyFill="1" applyAlignment="1">
      <alignment horizontal="left" vertical="center"/>
    </xf>
    <xf numFmtId="4" fontId="42" fillId="0" borderId="93" xfId="65" applyNumberFormat="1" applyFont="1" applyBorder="1" applyAlignment="1">
      <alignment horizontal="center" vertical="center"/>
    </xf>
    <xf numFmtId="4" fontId="42" fillId="0" borderId="81" xfId="65" applyNumberFormat="1" applyFont="1" applyBorder="1" applyAlignment="1">
      <alignment horizontal="center" vertical="center"/>
    </xf>
    <xf numFmtId="4" fontId="42" fillId="0" borderId="0" xfId="65" applyNumberFormat="1" applyFont="1" applyBorder="1" applyAlignment="1">
      <alignment horizontal="center" vertical="center"/>
    </xf>
    <xf numFmtId="0" fontId="67" fillId="0" borderId="74" xfId="194" applyNumberFormat="1" applyFont="1" applyFill="1" applyBorder="1" applyAlignment="1">
      <alignment horizontal="left" vertical="center"/>
    </xf>
    <xf numFmtId="2" fontId="67" fillId="0" borderId="0" xfId="194" applyNumberFormat="1" applyFont="1" applyFill="1" applyAlignment="1">
      <alignment horizontal="left" vertical="center"/>
    </xf>
    <xf numFmtId="2" fontId="66" fillId="0" borderId="0" xfId="194" applyNumberFormat="1" applyFont="1" applyFill="1" applyAlignment="1">
      <alignment horizontal="left" vertical="center"/>
    </xf>
    <xf numFmtId="0" fontId="66" fillId="0" borderId="81" xfId="194" applyNumberFormat="1" applyFont="1" applyFill="1" applyBorder="1" applyAlignment="1">
      <alignment vertical="center" wrapText="1"/>
    </xf>
    <xf numFmtId="0" fontId="41" fillId="0" borderId="0" xfId="65" applyFont="1" applyFill="1" applyAlignment="1">
      <alignment horizontal="left" vertical="center" wrapText="1"/>
    </xf>
    <xf numFmtId="187" fontId="42" fillId="0" borderId="10" xfId="65" applyNumberFormat="1" applyFont="1" applyBorder="1" applyAlignment="1">
      <alignment horizontal="center" vertical="center"/>
    </xf>
    <xf numFmtId="184" fontId="42" fillId="0" borderId="10" xfId="65" applyNumberFormat="1" applyFont="1" applyBorder="1" applyAlignment="1">
      <alignment horizontal="center" vertical="center"/>
    </xf>
    <xf numFmtId="188" fontId="42" fillId="0" borderId="10" xfId="65" applyNumberFormat="1" applyFont="1" applyBorder="1" applyAlignment="1">
      <alignment horizontal="center" vertical="center"/>
    </xf>
    <xf numFmtId="189" fontId="42" fillId="0" borderId="10" xfId="65" applyNumberFormat="1" applyFont="1" applyBorder="1" applyAlignment="1">
      <alignment horizontal="center" vertical="center"/>
    </xf>
    <xf numFmtId="0" fontId="80" fillId="37" borderId="0" xfId="0" applyNumberFormat="1" applyFont="1" applyFill="1" applyAlignment="1">
      <alignment horizontal="left" vertical="center"/>
    </xf>
    <xf numFmtId="0" fontId="21" fillId="37" borderId="0" xfId="0" applyNumberFormat="1" applyFont="1" applyFill="1" applyAlignment="1"/>
    <xf numFmtId="0" fontId="21" fillId="37" borderId="0" xfId="0" applyNumberFormat="1" applyFont="1" applyFill="1"/>
    <xf numFmtId="0" fontId="42" fillId="0" borderId="15" xfId="65" applyFont="1" applyBorder="1" applyAlignment="1">
      <alignment horizontal="left" vertical="center"/>
    </xf>
    <xf numFmtId="4" fontId="42" fillId="0" borderId="15" xfId="65" applyNumberFormat="1" applyFont="1" applyBorder="1" applyAlignment="1">
      <alignment horizontal="center" vertical="center"/>
    </xf>
    <xf numFmtId="0" fontId="42" fillId="0" borderId="15" xfId="65" applyFont="1" applyBorder="1" applyAlignment="1">
      <alignment horizontal="center" vertical="center"/>
    </xf>
    <xf numFmtId="0" fontId="42" fillId="0" borderId="15" xfId="65" applyFont="1" applyBorder="1" applyAlignment="1">
      <alignment horizontal="center" vertical="center" wrapText="1"/>
    </xf>
    <xf numFmtId="0" fontId="42" fillId="0" borderId="92" xfId="65" applyFont="1" applyBorder="1" applyAlignment="1">
      <alignment horizontal="center" vertical="center" wrapText="1"/>
    </xf>
    <xf numFmtId="0" fontId="42" fillId="0" borderId="15" xfId="65" applyFont="1" applyBorder="1" applyAlignment="1">
      <alignment horizontal="left" vertical="center" wrapText="1"/>
    </xf>
    <xf numFmtId="0" fontId="42" fillId="0" borderId="58" xfId="65" applyFont="1" applyBorder="1" applyAlignment="1">
      <alignment horizontal="left" vertical="center"/>
    </xf>
    <xf numFmtId="0" fontId="42" fillId="0" borderId="58" xfId="65" applyFont="1" applyBorder="1" applyAlignment="1">
      <alignment horizontal="right" vertical="center"/>
    </xf>
    <xf numFmtId="183" fontId="42" fillId="0" borderId="15" xfId="65" applyNumberFormat="1" applyFont="1" applyBorder="1" applyAlignment="1">
      <alignment horizontal="center" vertical="center"/>
    </xf>
    <xf numFmtId="0" fontId="42" fillId="0" borderId="89" xfId="65" applyFont="1" applyBorder="1" applyAlignment="1">
      <alignment horizontal="center" vertical="center"/>
    </xf>
    <xf numFmtId="0" fontId="41" fillId="0" borderId="0" xfId="65" applyFont="1" applyAlignment="1">
      <alignment horizontal="left" vertical="center" wrapText="1"/>
    </xf>
    <xf numFmtId="0" fontId="42" fillId="0" borderId="13" xfId="65" applyFont="1" applyBorder="1" applyAlignment="1">
      <alignment horizontal="left" vertical="center" wrapText="1"/>
    </xf>
    <xf numFmtId="0" fontId="42" fillId="0" borderId="10" xfId="65" applyFont="1" applyBorder="1" applyAlignment="1">
      <alignment horizontal="left" vertical="center" wrapText="1"/>
    </xf>
    <xf numFmtId="0" fontId="42" fillId="0" borderId="10" xfId="65" applyFont="1" applyBorder="1" applyAlignment="1">
      <alignment horizontal="center" vertical="center"/>
    </xf>
    <xf numFmtId="0" fontId="42" fillId="0" borderId="70" xfId="65" applyFont="1" applyBorder="1" applyAlignment="1">
      <alignment horizontal="left" vertical="center" wrapText="1"/>
    </xf>
    <xf numFmtId="4" fontId="42" fillId="0" borderId="12" xfId="65" applyNumberFormat="1" applyFont="1" applyBorder="1" applyAlignment="1">
      <alignment horizontal="center" vertical="center"/>
    </xf>
    <xf numFmtId="4" fontId="42" fillId="0" borderId="13" xfId="65" applyNumberFormat="1" applyFont="1" applyBorder="1" applyAlignment="1">
      <alignment horizontal="center" vertical="center"/>
    </xf>
    <xf numFmtId="183" fontId="42" fillId="0" borderId="12" xfId="65" applyNumberFormat="1" applyFont="1" applyBorder="1" applyAlignment="1">
      <alignment horizontal="center" vertical="center" wrapText="1"/>
    </xf>
    <xf numFmtId="183" fontId="42" fillId="0" borderId="13" xfId="65" applyNumberFormat="1" applyFont="1" applyBorder="1" applyAlignment="1">
      <alignment horizontal="center" vertical="center" wrapText="1"/>
    </xf>
    <xf numFmtId="0" fontId="42" fillId="0" borderId="88" xfId="65" applyFont="1" applyBorder="1" applyAlignment="1">
      <alignment horizontal="left" vertical="center" wrapText="1"/>
    </xf>
    <xf numFmtId="4" fontId="42" fillId="0" borderId="88" xfId="65" applyNumberFormat="1" applyFont="1" applyBorder="1" applyAlignment="1">
      <alignment horizontal="center" vertical="center"/>
    </xf>
    <xf numFmtId="0" fontId="42" fillId="0" borderId="83" xfId="65" applyFont="1" applyBorder="1" applyAlignment="1">
      <alignment horizontal="left" vertical="center" wrapText="1"/>
    </xf>
    <xf numFmtId="4" fontId="42" fillId="0" borderId="83" xfId="65" applyNumberFormat="1" applyFont="1" applyBorder="1" applyAlignment="1">
      <alignment horizontal="center" vertical="center"/>
    </xf>
    <xf numFmtId="0" fontId="42" fillId="0" borderId="88" xfId="65" applyFont="1" applyBorder="1" applyAlignment="1">
      <alignment horizontal="center" vertical="center"/>
    </xf>
    <xf numFmtId="0" fontId="42" fillId="0" borderId="83" xfId="65" applyFont="1" applyBorder="1" applyAlignment="1">
      <alignment horizontal="center" vertical="center"/>
    </xf>
    <xf numFmtId="0" fontId="42" fillId="0" borderId="74" xfId="65" applyFont="1" applyBorder="1" applyAlignment="1">
      <alignment horizontal="center" vertical="center"/>
    </xf>
    <xf numFmtId="2" fontId="42" fillId="0" borderId="89" xfId="65" applyNumberFormat="1" applyFont="1" applyBorder="1" applyAlignment="1">
      <alignment horizontal="center" vertical="center"/>
    </xf>
    <xf numFmtId="2" fontId="42" fillId="0" borderId="91" xfId="65" applyNumberFormat="1" applyFont="1" applyBorder="1" applyAlignment="1">
      <alignment horizontal="center" vertical="center"/>
    </xf>
    <xf numFmtId="2" fontId="42" fillId="0" borderId="88" xfId="65" applyNumberFormat="1" applyFont="1" applyBorder="1" applyAlignment="1">
      <alignment horizontal="center" vertical="center"/>
    </xf>
    <xf numFmtId="2" fontId="42" fillId="0" borderId="83" xfId="65" applyNumberFormat="1" applyFont="1" applyBorder="1" applyAlignment="1">
      <alignment horizontal="center" vertical="center"/>
    </xf>
    <xf numFmtId="4" fontId="41" fillId="0" borderId="0" xfId="65" applyNumberFormat="1" applyFont="1" applyAlignment="1">
      <alignment horizontal="left" vertical="center"/>
    </xf>
    <xf numFmtId="0" fontId="42" fillId="0" borderId="81" xfId="65" applyFont="1" applyBorder="1" applyAlignment="1">
      <alignment vertical="center"/>
    </xf>
    <xf numFmtId="0" fontId="42" fillId="0" borderId="70" xfId="65" applyFont="1" applyBorder="1" applyAlignment="1">
      <alignment horizontal="right" vertical="center"/>
    </xf>
    <xf numFmtId="0" fontId="41" fillId="0" borderId="0" xfId="65" applyFont="1" applyAlignment="1">
      <alignment horizontal="left" vertical="center" wrapText="1"/>
    </xf>
    <xf numFmtId="0" fontId="42" fillId="0" borderId="10" xfId="65" applyFont="1" applyBorder="1" applyAlignment="1">
      <alignment horizontal="left" vertical="center" wrapText="1"/>
    </xf>
    <xf numFmtId="0" fontId="42" fillId="0" borderId="10" xfId="65" applyFont="1" applyBorder="1" applyAlignment="1">
      <alignment horizontal="center" vertical="center"/>
    </xf>
    <xf numFmtId="183" fontId="42" fillId="0" borderId="12" xfId="65" applyNumberFormat="1" applyFont="1" applyBorder="1" applyAlignment="1">
      <alignment horizontal="center" vertical="center" wrapText="1"/>
    </xf>
    <xf numFmtId="4" fontId="42" fillId="0" borderId="12" xfId="65" applyNumberFormat="1" applyFont="1" applyBorder="1" applyAlignment="1">
      <alignment horizontal="center" vertical="center"/>
    </xf>
    <xf numFmtId="184" fontId="41" fillId="0" borderId="84" xfId="65" applyNumberFormat="1" applyFont="1" applyBorder="1" applyAlignment="1">
      <alignment horizontal="center" vertical="center"/>
    </xf>
    <xf numFmtId="2" fontId="42" fillId="0" borderId="12" xfId="65" applyNumberFormat="1" applyFont="1" applyBorder="1" applyAlignment="1">
      <alignment horizontal="center" vertical="center"/>
    </xf>
    <xf numFmtId="2" fontId="42" fillId="0" borderId="94" xfId="65" applyNumberFormat="1" applyFont="1" applyBorder="1" applyAlignment="1">
      <alignment horizontal="center" vertical="center"/>
    </xf>
    <xf numFmtId="0" fontId="66" fillId="0" borderId="0" xfId="194" applyNumberFormat="1" applyFont="1" applyFill="1" applyAlignment="1">
      <alignment horizontal="center" vertical="center"/>
    </xf>
    <xf numFmtId="190" fontId="42" fillId="0" borderId="13" xfId="65" applyNumberFormat="1" applyFont="1" applyBorder="1" applyAlignment="1">
      <alignment horizontal="center" vertical="center" wrapText="1"/>
    </xf>
    <xf numFmtId="0" fontId="42" fillId="0" borderId="69" xfId="65" applyFont="1" applyBorder="1" applyAlignment="1">
      <alignment vertical="center" wrapText="1"/>
    </xf>
    <xf numFmtId="0" fontId="42" fillId="0" borderId="12" xfId="65" applyFont="1" applyBorder="1" applyAlignment="1">
      <alignment vertical="center" wrapText="1"/>
    </xf>
    <xf numFmtId="0" fontId="42" fillId="0" borderId="94" xfId="65" applyFont="1" applyBorder="1" applyAlignment="1">
      <alignment horizontal="center" vertical="center"/>
    </xf>
    <xf numFmtId="0" fontId="42" fillId="0" borderId="20" xfId="65" applyFont="1" applyBorder="1" applyAlignment="1">
      <alignment horizontal="left" vertical="center" wrapText="1"/>
    </xf>
    <xf numFmtId="183" fontId="42" fillId="0" borderId="10" xfId="65" applyNumberFormat="1" applyFont="1" applyBorder="1" applyAlignment="1">
      <alignment horizontal="center" vertical="center" wrapText="1"/>
    </xf>
    <xf numFmtId="0" fontId="42" fillId="0" borderId="10" xfId="65" applyFont="1" applyBorder="1" applyAlignment="1">
      <alignment vertical="center" wrapText="1"/>
    </xf>
    <xf numFmtId="191" fontId="42" fillId="0" borderId="10" xfId="65" applyNumberFormat="1" applyFont="1" applyBorder="1" applyAlignment="1">
      <alignment horizontal="center" vertical="center" wrapText="1"/>
    </xf>
    <xf numFmtId="186" fontId="42" fillId="0" borderId="10" xfId="65" applyNumberFormat="1" applyFont="1" applyFill="1" applyBorder="1" applyAlignment="1">
      <alignment horizontal="center" vertical="center"/>
    </xf>
    <xf numFmtId="0" fontId="41" fillId="0" borderId="10" xfId="65" applyFont="1" applyFill="1" applyBorder="1" applyAlignment="1">
      <alignment horizontal="left" vertical="center" wrapText="1"/>
    </xf>
    <xf numFmtId="0" fontId="42" fillId="0" borderId="12" xfId="65" applyFont="1" applyBorder="1" applyAlignment="1">
      <alignment horizontal="center" vertical="center"/>
    </xf>
    <xf numFmtId="0" fontId="41" fillId="0" borderId="0" xfId="65" applyFont="1" applyAlignment="1">
      <alignment horizontal="left" vertical="center" wrapText="1"/>
    </xf>
    <xf numFmtId="0" fontId="42" fillId="0" borderId="10" xfId="65" applyFont="1" applyBorder="1" applyAlignment="1">
      <alignment horizontal="center" vertical="center"/>
    </xf>
    <xf numFmtId="0" fontId="42" fillId="0" borderId="20" xfId="65" applyFont="1" applyBorder="1" applyAlignment="1">
      <alignment horizontal="center" vertical="center"/>
    </xf>
    <xf numFmtId="0" fontId="42" fillId="0" borderId="10" xfId="65" applyFont="1" applyBorder="1" applyAlignment="1">
      <alignment horizontal="left" vertical="center" wrapText="1"/>
    </xf>
    <xf numFmtId="4" fontId="42" fillId="0" borderId="12" xfId="65" applyNumberFormat="1" applyFont="1" applyBorder="1" applyAlignment="1">
      <alignment horizontal="center" vertical="center"/>
    </xf>
    <xf numFmtId="0" fontId="42" fillId="0" borderId="69" xfId="65" applyFont="1" applyBorder="1" applyAlignment="1">
      <alignment horizontal="left" vertical="center" wrapText="1"/>
    </xf>
    <xf numFmtId="183" fontId="42" fillId="0" borderId="12" xfId="65" applyNumberFormat="1" applyFont="1" applyBorder="1" applyAlignment="1">
      <alignment horizontal="center" vertical="center" wrapText="1"/>
    </xf>
    <xf numFmtId="0" fontId="42" fillId="0" borderId="20" xfId="65" applyFont="1" applyFill="1" applyBorder="1" applyAlignment="1">
      <alignment horizontal="center" vertical="center"/>
    </xf>
    <xf numFmtId="2" fontId="42" fillId="0" borderId="10" xfId="65" applyNumberFormat="1" applyFont="1" applyBorder="1" applyAlignment="1">
      <alignment horizontal="center" vertical="center" wrapText="1"/>
    </xf>
    <xf numFmtId="2" fontId="42" fillId="0" borderId="12" xfId="65" applyNumberFormat="1" applyFont="1" applyBorder="1" applyAlignment="1">
      <alignment horizontal="center" vertical="center"/>
    </xf>
    <xf numFmtId="0" fontId="42" fillId="0" borderId="20" xfId="65" applyFont="1" applyBorder="1" applyAlignment="1">
      <alignment horizontal="left" vertical="center"/>
    </xf>
    <xf numFmtId="0" fontId="41" fillId="0" borderId="0" xfId="65" applyFont="1" applyAlignment="1">
      <alignment vertical="top" wrapText="1"/>
    </xf>
    <xf numFmtId="0" fontId="42" fillId="0" borderId="81" xfId="65" applyFont="1" applyBorder="1" applyAlignment="1">
      <alignment horizontal="left" vertical="center"/>
    </xf>
    <xf numFmtId="0" fontId="42" fillId="0" borderId="81" xfId="65" applyFont="1" applyBorder="1" applyAlignment="1">
      <alignment horizontal="right" vertical="center"/>
    </xf>
    <xf numFmtId="4" fontId="42" fillId="0" borderId="94" xfId="65" applyNumberFormat="1" applyFont="1" applyBorder="1" applyAlignment="1">
      <alignment horizontal="center" vertical="center"/>
    </xf>
    <xf numFmtId="0" fontId="42" fillId="0" borderId="20" xfId="65" applyFont="1" applyBorder="1" applyAlignment="1">
      <alignment vertical="center" wrapText="1"/>
    </xf>
    <xf numFmtId="2" fontId="42" fillId="0" borderId="84" xfId="65" applyNumberFormat="1" applyFont="1" applyBorder="1" applyAlignment="1">
      <alignment horizontal="center" vertical="center" wrapText="1"/>
    </xf>
    <xf numFmtId="0" fontId="42" fillId="0" borderId="12" xfId="65" applyFont="1" applyBorder="1" applyAlignment="1">
      <alignment horizontal="center" vertical="center"/>
    </xf>
    <xf numFmtId="0" fontId="41" fillId="0" borderId="0" xfId="65" applyFont="1" applyAlignment="1">
      <alignment horizontal="left" vertical="center" wrapText="1"/>
    </xf>
    <xf numFmtId="0" fontId="42" fillId="0" borderId="10" xfId="65" applyFont="1" applyBorder="1" applyAlignment="1">
      <alignment horizontal="left" vertical="center" wrapText="1"/>
    </xf>
    <xf numFmtId="0" fontId="42" fillId="0" borderId="10" xfId="65" applyFont="1" applyBorder="1" applyAlignment="1">
      <alignment horizontal="center" vertical="center"/>
    </xf>
    <xf numFmtId="183" fontId="42" fillId="0" borderId="12" xfId="65" applyNumberFormat="1" applyFont="1" applyBorder="1" applyAlignment="1">
      <alignment horizontal="center" vertical="center"/>
    </xf>
    <xf numFmtId="0" fontId="42" fillId="0" borderId="12" xfId="65" applyFont="1" applyBorder="1" applyAlignment="1">
      <alignment horizontal="left" vertical="center" wrapText="1"/>
    </xf>
    <xf numFmtId="2" fontId="42" fillId="0" borderId="12" xfId="65" applyNumberFormat="1" applyFont="1" applyBorder="1" applyAlignment="1">
      <alignment horizontal="center" vertical="center"/>
    </xf>
    <xf numFmtId="0" fontId="41" fillId="0" borderId="81" xfId="65" applyFont="1" applyBorder="1" applyAlignment="1">
      <alignment vertical="center" wrapText="1"/>
    </xf>
    <xf numFmtId="192" fontId="42" fillId="0" borderId="10" xfId="65" applyNumberFormat="1" applyFont="1" applyBorder="1" applyAlignment="1">
      <alignment horizontal="center" vertical="center" wrapText="1"/>
    </xf>
    <xf numFmtId="0" fontId="42" fillId="0" borderId="10" xfId="65" applyFont="1" applyFill="1" applyBorder="1" applyAlignment="1">
      <alignment vertical="center" wrapText="1"/>
    </xf>
    <xf numFmtId="183" fontId="42" fillId="0" borderId="10" xfId="65" applyNumberFormat="1" applyFont="1" applyFill="1" applyBorder="1" applyAlignment="1">
      <alignment horizontal="center" vertical="center"/>
    </xf>
    <xf numFmtId="2" fontId="42" fillId="0" borderId="10" xfId="65" applyNumberFormat="1" applyFont="1" applyBorder="1" applyAlignment="1">
      <alignment horizontal="left" vertical="center" wrapText="1"/>
    </xf>
    <xf numFmtId="2" fontId="42" fillId="0" borderId="10" xfId="65" applyNumberFormat="1" applyFont="1" applyBorder="1" applyAlignment="1">
      <alignment horizontal="left" vertical="center"/>
    </xf>
    <xf numFmtId="0" fontId="42" fillId="0" borderId="12" xfId="65" applyFont="1" applyBorder="1" applyAlignment="1">
      <alignment horizontal="left" vertical="center"/>
    </xf>
    <xf numFmtId="0" fontId="42" fillId="0" borderId="0" xfId="65" applyFont="1" applyBorder="1" applyAlignment="1">
      <alignment horizontal="right" vertical="center"/>
    </xf>
    <xf numFmtId="2" fontId="41" fillId="0" borderId="0" xfId="65" applyNumberFormat="1" applyFont="1" applyBorder="1" applyAlignment="1">
      <alignment horizontal="center" vertical="center"/>
    </xf>
    <xf numFmtId="2" fontId="42" fillId="0" borderId="0" xfId="65" applyNumberFormat="1" applyFont="1" applyAlignment="1">
      <alignment horizontal="center" vertical="center"/>
    </xf>
    <xf numFmtId="0" fontId="42" fillId="0" borderId="20" xfId="65" applyFont="1" applyBorder="1" applyAlignment="1">
      <alignment horizontal="center" vertical="center" wrapText="1"/>
    </xf>
    <xf numFmtId="3" fontId="42" fillId="0" borderId="0" xfId="65" applyNumberFormat="1" applyFont="1" applyAlignment="1">
      <alignment vertical="center"/>
    </xf>
    <xf numFmtId="14" fontId="42" fillId="0" borderId="0" xfId="65" applyNumberFormat="1" applyFont="1" applyAlignment="1">
      <alignment vertical="center"/>
    </xf>
    <xf numFmtId="0" fontId="42" fillId="0" borderId="69" xfId="65" applyFont="1" applyBorder="1" applyAlignment="1">
      <alignment horizontal="left" vertical="center"/>
    </xf>
    <xf numFmtId="0" fontId="42" fillId="0" borderId="69" xfId="65" applyFont="1" applyFill="1" applyBorder="1" applyAlignment="1">
      <alignment horizontal="left" vertical="center"/>
    </xf>
    <xf numFmtId="0" fontId="42" fillId="0" borderId="68" xfId="65" applyFont="1" applyBorder="1" applyAlignment="1">
      <alignment horizontal="left" vertical="center"/>
    </xf>
    <xf numFmtId="0" fontId="42" fillId="0" borderId="87" xfId="65" applyFont="1" applyBorder="1" applyAlignment="1">
      <alignment horizontal="left" vertical="center"/>
    </xf>
    <xf numFmtId="0" fontId="42" fillId="0" borderId="90" xfId="65" applyFont="1" applyBorder="1" applyAlignment="1">
      <alignment horizontal="left" vertical="center"/>
    </xf>
    <xf numFmtId="0" fontId="67" fillId="0" borderId="20" xfId="194" applyNumberFormat="1" applyFont="1" applyFill="1" applyBorder="1" applyAlignment="1">
      <alignment horizontal="left" vertical="center"/>
    </xf>
    <xf numFmtId="190" fontId="42" fillId="0" borderId="13" xfId="65" applyNumberFormat="1" applyFont="1" applyBorder="1" applyAlignment="1">
      <alignment horizontal="center" vertical="center" wrapText="1"/>
    </xf>
    <xf numFmtId="2" fontId="42" fillId="0" borderId="15" xfId="65" applyNumberFormat="1" applyFont="1" applyBorder="1" applyAlignment="1">
      <alignment horizontal="center" vertical="center"/>
    </xf>
    <xf numFmtId="2" fontId="42" fillId="0" borderId="92" xfId="65" applyNumberFormat="1" applyFont="1" applyBorder="1" applyAlignment="1">
      <alignment horizontal="center" vertical="center"/>
    </xf>
    <xf numFmtId="193" fontId="42" fillId="0" borderId="0" xfId="65" applyNumberFormat="1" applyFont="1" applyFill="1" applyAlignment="1">
      <alignment vertical="center"/>
    </xf>
    <xf numFmtId="8" fontId="42" fillId="0" borderId="0" xfId="65" applyNumberFormat="1" applyFont="1" applyFill="1" applyAlignment="1">
      <alignment vertical="center"/>
    </xf>
    <xf numFmtId="0" fontId="42" fillId="0" borderId="12" xfId="65" applyFont="1" applyFill="1" applyBorder="1" applyAlignment="1">
      <alignment horizontal="left" vertical="center" wrapText="1"/>
    </xf>
    <xf numFmtId="183" fontId="42" fillId="0" borderId="12" xfId="65" applyNumberFormat="1" applyFont="1" applyFill="1" applyBorder="1" applyAlignment="1">
      <alignment horizontal="center" vertical="center"/>
    </xf>
    <xf numFmtId="43" fontId="73" fillId="0" borderId="0" xfId="43" applyFont="1" applyFill="1" applyBorder="1" applyAlignment="1">
      <alignment vertical="center" wrapText="1"/>
    </xf>
    <xf numFmtId="4" fontId="81" fillId="0" borderId="0" xfId="0" applyNumberFormat="1" applyFont="1" applyBorder="1" applyAlignment="1">
      <alignment horizontal="right" vertical="top"/>
    </xf>
    <xf numFmtId="4" fontId="72" fillId="36" borderId="15" xfId="0" applyNumberFormat="1" applyFont="1" applyFill="1" applyBorder="1" applyAlignment="1">
      <alignment horizontal="right" vertical="center" wrapText="1"/>
    </xf>
    <xf numFmtId="2" fontId="42" fillId="0" borderId="10" xfId="65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vertical="center"/>
    </xf>
    <xf numFmtId="0" fontId="42" fillId="0" borderId="12" xfId="65" applyFont="1" applyBorder="1" applyAlignment="1">
      <alignment horizontal="left" vertical="center" wrapText="1"/>
    </xf>
    <xf numFmtId="0" fontId="42" fillId="0" borderId="10" xfId="65" applyFont="1" applyBorder="1" applyAlignment="1">
      <alignment horizontal="center" vertical="center"/>
    </xf>
    <xf numFmtId="0" fontId="42" fillId="0" borderId="12" xfId="65" applyFont="1" applyBorder="1" applyAlignment="1">
      <alignment horizontal="center" vertical="center"/>
    </xf>
    <xf numFmtId="0" fontId="42" fillId="0" borderId="69" xfId="65" applyFont="1" applyBorder="1" applyAlignment="1">
      <alignment horizontal="left" vertical="center"/>
    </xf>
    <xf numFmtId="0" fontId="42" fillId="0" borderId="20" xfId="65" applyFont="1" applyBorder="1" applyAlignment="1">
      <alignment horizontal="left" vertical="center"/>
    </xf>
    <xf numFmtId="0" fontId="67" fillId="0" borderId="81" xfId="194" applyNumberFormat="1" applyFont="1" applyFill="1" applyBorder="1" applyAlignment="1"/>
    <xf numFmtId="0" fontId="67" fillId="0" borderId="81" xfId="194" applyNumberFormat="1" applyFont="1" applyFill="1" applyBorder="1" applyAlignment="1">
      <alignment horizontal="right" vertical="center"/>
    </xf>
    <xf numFmtId="184" fontId="67" fillId="0" borderId="85" xfId="194" applyNumberFormat="1" applyFont="1" applyFill="1" applyBorder="1" applyAlignment="1">
      <alignment horizontal="center" vertical="center"/>
    </xf>
    <xf numFmtId="2" fontId="66" fillId="0" borderId="84" xfId="194" applyNumberFormat="1" applyFont="1" applyFill="1" applyBorder="1" applyAlignment="1">
      <alignment horizontal="center" vertical="center"/>
    </xf>
    <xf numFmtId="0" fontId="42" fillId="0" borderId="10" xfId="65" applyFont="1" applyBorder="1" applyAlignment="1">
      <alignment horizontal="center" vertical="center"/>
    </xf>
    <xf numFmtId="0" fontId="42" fillId="0" borderId="20" xfId="65" applyFont="1" applyFill="1" applyBorder="1" applyAlignment="1">
      <alignment horizontal="left" vertical="center"/>
    </xf>
    <xf numFmtId="0" fontId="42" fillId="0" borderId="12" xfId="65" applyFont="1" applyFill="1" applyBorder="1" applyAlignment="1">
      <alignment horizontal="left" vertical="center" wrapText="1"/>
    </xf>
    <xf numFmtId="0" fontId="42" fillId="0" borderId="10" xfId="65" applyFont="1" applyBorder="1" applyAlignment="1">
      <alignment horizontal="left" vertical="center" wrapText="1"/>
    </xf>
    <xf numFmtId="0" fontId="42" fillId="0" borderId="20" xfId="65" applyFont="1" applyBorder="1" applyAlignment="1">
      <alignment horizontal="left" vertical="center"/>
    </xf>
    <xf numFmtId="2" fontId="42" fillId="0" borderId="12" xfId="65" applyNumberFormat="1" applyFont="1" applyBorder="1" applyAlignment="1">
      <alignment horizontal="center" vertical="center"/>
    </xf>
    <xf numFmtId="183" fontId="42" fillId="0" borderId="10" xfId="65" applyNumberFormat="1" applyFont="1" applyBorder="1" applyAlignment="1">
      <alignment horizontal="center" vertical="center"/>
    </xf>
    <xf numFmtId="4" fontId="42" fillId="0" borderId="12" xfId="65" applyNumberFormat="1" applyFont="1" applyBorder="1" applyAlignment="1">
      <alignment horizontal="center" vertical="center"/>
    </xf>
    <xf numFmtId="183" fontId="42" fillId="0" borderId="12" xfId="65" applyNumberFormat="1" applyFont="1" applyBorder="1" applyAlignment="1">
      <alignment horizontal="center" vertical="center" wrapText="1"/>
    </xf>
    <xf numFmtId="0" fontId="66" fillId="0" borderId="84" xfId="194" applyNumberFormat="1" applyFont="1" applyFill="1" applyBorder="1" applyAlignment="1">
      <alignment horizontal="center" vertical="center"/>
    </xf>
    <xf numFmtId="0" fontId="67" fillId="42" borderId="0" xfId="194" applyNumberFormat="1" applyFont="1" applyFill="1"/>
    <xf numFmtId="2" fontId="18" fillId="0" borderId="0" xfId="0" applyNumberFormat="1" applyFont="1" applyAlignment="1">
      <alignment horizontal="left"/>
    </xf>
    <xf numFmtId="2" fontId="0" fillId="0" borderId="0" xfId="0" applyNumberForma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0" fillId="0" borderId="98" xfId="0" applyBorder="1"/>
    <xf numFmtId="0" fontId="0" fillId="0" borderId="97" xfId="0" applyBorder="1"/>
    <xf numFmtId="0" fontId="0" fillId="0" borderId="99" xfId="0" applyBorder="1"/>
    <xf numFmtId="0" fontId="0" fillId="0" borderId="100" xfId="0" applyBorder="1"/>
    <xf numFmtId="0" fontId="0" fillId="0" borderId="101" xfId="0" applyBorder="1"/>
    <xf numFmtId="0" fontId="0" fillId="0" borderId="102" xfId="0" applyBorder="1"/>
    <xf numFmtId="2" fontId="0" fillId="0" borderId="0" xfId="0" applyNumberFormat="1"/>
    <xf numFmtId="0" fontId="0" fillId="43" borderId="0" xfId="0" applyFill="1"/>
    <xf numFmtId="2" fontId="0" fillId="0" borderId="0" xfId="0" applyNumberFormat="1" applyAlignment="1">
      <alignment horizontal="left" vertical="top"/>
    </xf>
    <xf numFmtId="0" fontId="0" fillId="46" borderId="0" xfId="0" applyFill="1"/>
    <xf numFmtId="0" fontId="0" fillId="47" borderId="0" xfId="0" applyFill="1"/>
    <xf numFmtId="0" fontId="0" fillId="44" borderId="0" xfId="0" applyFill="1"/>
    <xf numFmtId="0" fontId="0" fillId="43" borderId="100" xfId="0" applyFill="1" applyBorder="1"/>
    <xf numFmtId="0" fontId="0" fillId="45" borderId="107" xfId="0" applyFill="1" applyBorder="1"/>
    <xf numFmtId="0" fontId="0" fillId="45" borderId="104" xfId="0" applyFill="1" applyBorder="1"/>
    <xf numFmtId="0" fontId="0" fillId="45" borderId="108" xfId="0" applyFill="1" applyBorder="1"/>
    <xf numFmtId="0" fontId="0" fillId="45" borderId="105" xfId="0" applyFill="1" applyBorder="1"/>
    <xf numFmtId="0" fontId="41" fillId="0" borderId="0" xfId="65" applyFont="1" applyAlignment="1">
      <alignment horizontal="center" vertical="top" wrapText="1"/>
    </xf>
    <xf numFmtId="0" fontId="42" fillId="0" borderId="10" xfId="65" applyFont="1" applyBorder="1" applyAlignment="1">
      <alignment vertical="center"/>
    </xf>
    <xf numFmtId="0" fontId="0" fillId="0" borderId="0" xfId="0" applyFont="1"/>
    <xf numFmtId="4" fontId="41" fillId="0" borderId="0" xfId="65" applyNumberFormat="1" applyFont="1" applyAlignment="1">
      <alignment horizontal="left" vertical="top"/>
    </xf>
    <xf numFmtId="183" fontId="42" fillId="0" borderId="12" xfId="65" applyNumberFormat="1" applyFont="1" applyBorder="1" applyAlignment="1">
      <alignment horizontal="center" vertical="center"/>
    </xf>
    <xf numFmtId="4" fontId="64" fillId="0" borderId="48" xfId="0" applyNumberFormat="1" applyFont="1" applyBorder="1" applyAlignment="1">
      <alignment horizontal="center" vertical="center" wrapText="1"/>
    </xf>
    <xf numFmtId="4" fontId="64" fillId="0" borderId="54" xfId="0" applyNumberFormat="1" applyFont="1" applyBorder="1" applyAlignment="1">
      <alignment horizontal="center" vertical="center" wrapText="1"/>
    </xf>
    <xf numFmtId="4" fontId="64" fillId="0" borderId="46" xfId="0" applyNumberFormat="1" applyFont="1" applyBorder="1" applyAlignment="1">
      <alignment horizontal="center" vertical="center" wrapText="1"/>
    </xf>
    <xf numFmtId="4" fontId="64" fillId="0" borderId="61" xfId="0" applyNumberFormat="1" applyFont="1" applyBorder="1" applyAlignment="1">
      <alignment horizontal="center" vertical="center" wrapText="1"/>
    </xf>
    <xf numFmtId="4" fontId="75" fillId="0" borderId="76" xfId="0" applyNumberFormat="1" applyFont="1" applyBorder="1" applyAlignment="1">
      <alignment horizontal="center" vertical="center" wrapText="1"/>
    </xf>
    <xf numFmtId="4" fontId="75" fillId="0" borderId="25" xfId="0" applyNumberFormat="1" applyFont="1" applyBorder="1" applyAlignment="1">
      <alignment horizontal="center" vertical="center" wrapText="1"/>
    </xf>
    <xf numFmtId="4" fontId="75" fillId="0" borderId="26" xfId="0" applyNumberFormat="1" applyFont="1" applyBorder="1" applyAlignment="1">
      <alignment horizontal="center" vertical="center" wrapText="1"/>
    </xf>
    <xf numFmtId="4" fontId="75" fillId="0" borderId="37" xfId="0" applyNumberFormat="1" applyFont="1" applyBorder="1" applyAlignment="1">
      <alignment horizontal="center" vertical="center" wrapText="1"/>
    </xf>
    <xf numFmtId="4" fontId="75" fillId="0" borderId="38" xfId="0" applyNumberFormat="1" applyFont="1" applyBorder="1" applyAlignment="1">
      <alignment horizontal="center" vertical="center" wrapText="1"/>
    </xf>
    <xf numFmtId="4" fontId="75" fillId="0" borderId="39" xfId="0" applyNumberFormat="1" applyFont="1" applyBorder="1" applyAlignment="1">
      <alignment horizontal="center" vertical="center" wrapText="1"/>
    </xf>
    <xf numFmtId="43" fontId="73" fillId="0" borderId="29" xfId="43" applyFont="1" applyBorder="1" applyAlignment="1">
      <alignment horizontal="center" vertical="center" wrapText="1"/>
    </xf>
    <xf numFmtId="43" fontId="73" fillId="0" borderId="19" xfId="43" applyFont="1" applyBorder="1" applyAlignment="1">
      <alignment horizontal="center" vertical="center" wrapText="1"/>
    </xf>
    <xf numFmtId="43" fontId="73" fillId="0" borderId="30" xfId="43" applyFont="1" applyBorder="1" applyAlignment="1">
      <alignment horizontal="center" vertical="center" wrapText="1"/>
    </xf>
    <xf numFmtId="43" fontId="73" fillId="0" borderId="40" xfId="43" applyFont="1" applyBorder="1" applyAlignment="1">
      <alignment horizontal="center" vertical="top"/>
    </xf>
    <xf numFmtId="43" fontId="73" fillId="0" borderId="16" xfId="43" applyFont="1" applyBorder="1" applyAlignment="1">
      <alignment horizontal="center" vertical="top"/>
    </xf>
    <xf numFmtId="43" fontId="73" fillId="0" borderId="41" xfId="43" applyFont="1" applyBorder="1" applyAlignment="1">
      <alignment horizontal="center" vertical="top"/>
    </xf>
    <xf numFmtId="4" fontId="73" fillId="0" borderId="76" xfId="0" applyNumberFormat="1" applyFont="1" applyBorder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9" xfId="0" applyBorder="1" applyAlignment="1">
      <alignment wrapText="1"/>
    </xf>
    <xf numFmtId="0" fontId="42" fillId="0" borderId="69" xfId="65" applyFont="1" applyFill="1" applyBorder="1" applyAlignment="1">
      <alignment horizontal="left" vertical="center"/>
    </xf>
    <xf numFmtId="0" fontId="42" fillId="0" borderId="70" xfId="65" applyFont="1" applyFill="1" applyBorder="1" applyAlignment="1">
      <alignment horizontal="left" vertical="center"/>
    </xf>
    <xf numFmtId="0" fontId="42" fillId="39" borderId="96" xfId="65" applyFont="1" applyFill="1" applyBorder="1" applyAlignment="1">
      <alignment horizontal="left" vertical="center" wrapText="1"/>
    </xf>
    <xf numFmtId="0" fontId="42" fillId="39" borderId="0" xfId="65" applyFont="1" applyFill="1" applyBorder="1" applyAlignment="1">
      <alignment horizontal="left" vertical="center" wrapText="1"/>
    </xf>
    <xf numFmtId="0" fontId="41" fillId="0" borderId="0" xfId="65" applyFont="1" applyAlignment="1">
      <alignment horizontal="left" vertical="center" wrapText="1"/>
    </xf>
    <xf numFmtId="0" fontId="41" fillId="0" borderId="81" xfId="65" applyFont="1" applyBorder="1" applyAlignment="1">
      <alignment horizontal="left" vertical="center" wrapText="1"/>
    </xf>
    <xf numFmtId="185" fontId="42" fillId="0" borderId="12" xfId="65" applyNumberFormat="1" applyFont="1" applyBorder="1" applyAlignment="1">
      <alignment horizontal="center" vertical="center"/>
    </xf>
    <xf numFmtId="185" fontId="42" fillId="0" borderId="13" xfId="65" applyNumberFormat="1" applyFont="1" applyBorder="1" applyAlignment="1">
      <alignment horizontal="center" vertical="center"/>
    </xf>
    <xf numFmtId="0" fontId="42" fillId="0" borderId="12" xfId="65" applyFont="1" applyBorder="1" applyAlignment="1">
      <alignment horizontal="center" vertical="center"/>
    </xf>
    <xf numFmtId="0" fontId="42" fillId="0" borderId="13" xfId="65" applyFont="1" applyBorder="1" applyAlignment="1">
      <alignment horizontal="center" vertical="center"/>
    </xf>
    <xf numFmtId="0" fontId="42" fillId="0" borderId="12" xfId="65" applyFont="1" applyFill="1" applyBorder="1" applyAlignment="1">
      <alignment horizontal="left" vertical="center" wrapText="1"/>
    </xf>
    <xf numFmtId="0" fontId="42" fillId="0" borderId="13" xfId="65" applyFont="1" applyFill="1" applyBorder="1" applyAlignment="1">
      <alignment horizontal="left" vertical="center" wrapText="1"/>
    </xf>
    <xf numFmtId="0" fontId="42" fillId="0" borderId="10" xfId="65" applyFont="1" applyBorder="1" applyAlignment="1">
      <alignment horizontal="center" vertical="center"/>
    </xf>
    <xf numFmtId="0" fontId="42" fillId="0" borderId="12" xfId="65" applyFont="1" applyBorder="1" applyAlignment="1">
      <alignment horizontal="left" vertical="center" wrapText="1"/>
    </xf>
    <xf numFmtId="0" fontId="42" fillId="0" borderId="13" xfId="65" applyFont="1" applyBorder="1" applyAlignment="1">
      <alignment horizontal="left" vertical="center" wrapText="1"/>
    </xf>
    <xf numFmtId="0" fontId="42" fillId="0" borderId="20" xfId="65" applyFont="1" applyFill="1" applyBorder="1" applyAlignment="1">
      <alignment horizontal="left" vertical="center"/>
    </xf>
    <xf numFmtId="183" fontId="42" fillId="0" borderId="12" xfId="65" applyNumberFormat="1" applyFont="1" applyBorder="1" applyAlignment="1">
      <alignment horizontal="center" vertical="center"/>
    </xf>
    <xf numFmtId="183" fontId="42" fillId="0" borderId="13" xfId="65" applyNumberFormat="1" applyFont="1" applyBorder="1" applyAlignment="1">
      <alignment horizontal="center" vertical="center"/>
    </xf>
    <xf numFmtId="0" fontId="42" fillId="0" borderId="20" xfId="65" applyFont="1" applyBorder="1" applyAlignment="1">
      <alignment horizontal="left" vertical="center"/>
    </xf>
    <xf numFmtId="0" fontId="42" fillId="0" borderId="10" xfId="65" applyFont="1" applyBorder="1" applyAlignment="1">
      <alignment horizontal="left" vertical="center" wrapText="1"/>
    </xf>
    <xf numFmtId="0" fontId="41" fillId="0" borderId="0" xfId="65" applyFont="1" applyFill="1" applyAlignment="1">
      <alignment horizontal="left" vertical="center" wrapText="1"/>
    </xf>
    <xf numFmtId="0" fontId="42" fillId="0" borderId="69" xfId="65" applyFont="1" applyBorder="1" applyAlignment="1">
      <alignment horizontal="left" vertical="center"/>
    </xf>
    <xf numFmtId="0" fontId="42" fillId="0" borderId="70" xfId="65" applyFont="1" applyBorder="1" applyAlignment="1">
      <alignment horizontal="left" vertical="center"/>
    </xf>
    <xf numFmtId="0" fontId="42" fillId="0" borderId="86" xfId="65" applyFont="1" applyBorder="1" applyAlignment="1">
      <alignment horizontal="left" vertical="center"/>
    </xf>
    <xf numFmtId="0" fontId="42" fillId="0" borderId="69" xfId="65" applyFont="1" applyBorder="1" applyAlignment="1">
      <alignment horizontal="left" vertical="center" wrapText="1"/>
    </xf>
    <xf numFmtId="0" fontId="42" fillId="0" borderId="70" xfId="65" applyFont="1" applyBorder="1" applyAlignment="1">
      <alignment horizontal="left" vertical="center" wrapText="1"/>
    </xf>
    <xf numFmtId="0" fontId="67" fillId="0" borderId="12" xfId="194" applyNumberFormat="1" applyFont="1" applyFill="1" applyBorder="1" applyAlignment="1">
      <alignment horizontal="center" vertical="center"/>
    </xf>
    <xf numFmtId="0" fontId="67" fillId="0" borderId="13" xfId="194" applyNumberFormat="1" applyFont="1" applyFill="1" applyBorder="1" applyAlignment="1">
      <alignment horizontal="center" vertical="center"/>
    </xf>
    <xf numFmtId="0" fontId="42" fillId="0" borderId="12" xfId="65" applyFont="1" applyFill="1" applyBorder="1" applyAlignment="1">
      <alignment horizontal="center" vertical="center"/>
    </xf>
    <xf numFmtId="0" fontId="42" fillId="0" borderId="13" xfId="65" applyFont="1" applyFill="1" applyBorder="1" applyAlignment="1">
      <alignment horizontal="center" vertical="center"/>
    </xf>
    <xf numFmtId="0" fontId="66" fillId="0" borderId="0" xfId="194" applyNumberFormat="1" applyFont="1" applyFill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42" fillId="0" borderId="12" xfId="65" applyFont="1" applyBorder="1" applyAlignment="1">
      <alignment horizontal="center" vertical="center" wrapText="1"/>
    </xf>
    <xf numFmtId="0" fontId="42" fillId="0" borderId="13" xfId="65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66" fillId="0" borderId="81" xfId="194" applyNumberFormat="1" applyFont="1" applyFill="1" applyBorder="1" applyAlignment="1">
      <alignment horizontal="left" vertical="center" wrapText="1"/>
    </xf>
    <xf numFmtId="0" fontId="42" fillId="0" borderId="95" xfId="65" applyFont="1" applyBorder="1" applyAlignment="1">
      <alignment horizontal="left" vertical="center" wrapText="1"/>
    </xf>
    <xf numFmtId="0" fontId="42" fillId="0" borderId="62" xfId="65" applyFont="1" applyBorder="1" applyAlignment="1">
      <alignment horizontal="left" vertical="center"/>
    </xf>
    <xf numFmtId="0" fontId="42" fillId="0" borderId="95" xfId="65" applyFont="1" applyBorder="1" applyAlignment="1">
      <alignment horizontal="center" vertical="center"/>
    </xf>
    <xf numFmtId="0" fontId="0" fillId="0" borderId="70" xfId="0" applyBorder="1" applyAlignment="1">
      <alignment horizontal="left" vertical="center"/>
    </xf>
    <xf numFmtId="0" fontId="66" fillId="37" borderId="0" xfId="0" applyNumberFormat="1" applyFont="1" applyFill="1"/>
    <xf numFmtId="0" fontId="21" fillId="37" borderId="0" xfId="0" applyNumberFormat="1" applyFont="1" applyFill="1"/>
    <xf numFmtId="0" fontId="66" fillId="37" borderId="0" xfId="0" applyNumberFormat="1" applyFont="1" applyFill="1" applyBorder="1" applyAlignment="1">
      <alignment horizontal="left" vertical="center" wrapText="1"/>
    </xf>
    <xf numFmtId="0" fontId="67" fillId="0" borderId="69" xfId="194" applyNumberFormat="1" applyFont="1" applyFill="1" applyBorder="1" applyAlignment="1">
      <alignment horizontal="left" vertical="center"/>
    </xf>
    <xf numFmtId="0" fontId="67" fillId="0" borderId="70" xfId="194" applyNumberFormat="1" applyFont="1" applyFill="1" applyBorder="1" applyAlignment="1">
      <alignment horizontal="left" vertical="center"/>
    </xf>
    <xf numFmtId="0" fontId="67" fillId="0" borderId="12" xfId="194" applyNumberFormat="1" applyFont="1" applyFill="1" applyBorder="1" applyAlignment="1">
      <alignment horizontal="left" vertical="center" wrapText="1"/>
    </xf>
    <xf numFmtId="0" fontId="67" fillId="0" borderId="13" xfId="194" applyNumberFormat="1" applyFont="1" applyFill="1" applyBorder="1" applyAlignment="1">
      <alignment horizontal="left" vertical="center" wrapText="1"/>
    </xf>
    <xf numFmtId="2" fontId="42" fillId="0" borderId="12" xfId="65" applyNumberFormat="1" applyFont="1" applyBorder="1" applyAlignment="1">
      <alignment horizontal="center" vertical="center"/>
    </xf>
    <xf numFmtId="2" fontId="42" fillId="0" borderId="13" xfId="65" applyNumberFormat="1" applyFont="1" applyBorder="1" applyAlignment="1">
      <alignment horizontal="center" vertical="center"/>
    </xf>
    <xf numFmtId="4" fontId="42" fillId="0" borderId="12" xfId="65" applyNumberFormat="1" applyFont="1" applyBorder="1" applyAlignment="1">
      <alignment horizontal="center" vertical="center"/>
    </xf>
    <xf numFmtId="4" fontId="42" fillId="0" borderId="13" xfId="65" applyNumberFormat="1" applyFont="1" applyBorder="1" applyAlignment="1">
      <alignment horizontal="center" vertical="center"/>
    </xf>
    <xf numFmtId="183" fontId="42" fillId="0" borderId="12" xfId="65" applyNumberFormat="1" applyFont="1" applyBorder="1" applyAlignment="1">
      <alignment horizontal="center" vertical="center" wrapText="1"/>
    </xf>
    <xf numFmtId="183" fontId="42" fillId="0" borderId="13" xfId="65" applyNumberFormat="1" applyFont="1" applyBorder="1" applyAlignment="1">
      <alignment horizontal="center" vertical="center" wrapText="1"/>
    </xf>
    <xf numFmtId="190" fontId="42" fillId="0" borderId="12" xfId="65" applyNumberFormat="1" applyFont="1" applyBorder="1" applyAlignment="1">
      <alignment horizontal="center" vertical="center" wrapText="1"/>
    </xf>
    <xf numFmtId="190" fontId="42" fillId="0" borderId="13" xfId="65" applyNumberFormat="1" applyFont="1" applyBorder="1" applyAlignment="1">
      <alignment horizontal="center" vertical="center" wrapText="1"/>
    </xf>
    <xf numFmtId="0" fontId="43" fillId="0" borderId="48" xfId="151" applyFont="1" applyFill="1" applyBorder="1" applyAlignment="1">
      <alignment horizontal="center" vertical="center" wrapText="1"/>
    </xf>
    <xf numFmtId="0" fontId="43" fillId="0" borderId="16" xfId="151" applyFont="1" applyFill="1" applyBorder="1" applyAlignment="1">
      <alignment horizontal="center" vertical="center" wrapText="1"/>
    </xf>
    <xf numFmtId="0" fontId="43" fillId="0" borderId="49" xfId="151" applyFont="1" applyFill="1" applyBorder="1" applyAlignment="1">
      <alignment horizontal="center" vertical="center" wrapText="1"/>
    </xf>
    <xf numFmtId="0" fontId="44" fillId="0" borderId="53" xfId="151" applyFont="1" applyFill="1" applyBorder="1" applyAlignment="1">
      <alignment horizontal="center" vertical="center" wrapText="1"/>
    </xf>
    <xf numFmtId="0" fontId="44" fillId="0" borderId="54" xfId="151" applyFont="1" applyFill="1" applyBorder="1" applyAlignment="1">
      <alignment horizontal="center" vertical="center" wrapText="1"/>
    </xf>
    <xf numFmtId="0" fontId="44" fillId="0" borderId="55" xfId="151" applyFont="1" applyFill="1" applyBorder="1" applyAlignment="1">
      <alignment horizontal="center" vertical="center" wrapText="1"/>
    </xf>
    <xf numFmtId="0" fontId="44" fillId="0" borderId="56" xfId="151" applyFont="1" applyFill="1" applyBorder="1" applyAlignment="1">
      <alignment horizontal="center" vertical="center" wrapText="1"/>
    </xf>
    <xf numFmtId="0" fontId="43" fillId="0" borderId="17" xfId="151" applyFont="1" applyFill="1" applyBorder="1" applyAlignment="1">
      <alignment horizontal="center" vertical="center"/>
    </xf>
    <xf numFmtId="0" fontId="43" fillId="0" borderId="18" xfId="151" applyFont="1" applyFill="1" applyBorder="1" applyAlignment="1">
      <alignment horizontal="center" vertical="center"/>
    </xf>
    <xf numFmtId="0" fontId="43" fillId="0" borderId="50" xfId="151" applyFont="1" applyFill="1" applyBorder="1" applyAlignment="1">
      <alignment horizontal="center" vertical="center"/>
    </xf>
    <xf numFmtId="4" fontId="79" fillId="0" borderId="19" xfId="0" applyNumberFormat="1" applyFont="1" applyFill="1" applyBorder="1" applyAlignment="1">
      <alignment horizontal="center" vertical="center"/>
    </xf>
    <xf numFmtId="4" fontId="64" fillId="0" borderId="19" xfId="0" applyNumberFormat="1" applyFont="1" applyFill="1" applyBorder="1" applyAlignment="1">
      <alignment horizontal="center" vertical="center" wrapText="1"/>
    </xf>
    <xf numFmtId="4" fontId="41" fillId="0" borderId="45" xfId="151" applyNumberFormat="1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41" fillId="0" borderId="44" xfId="151" applyFont="1" applyFill="1" applyBorder="1" applyAlignment="1">
      <alignment horizontal="center" vertical="center"/>
    </xf>
    <xf numFmtId="0" fontId="41" fillId="0" borderId="47" xfId="151" applyFont="1" applyFill="1" applyBorder="1" applyAlignment="1">
      <alignment horizontal="center" vertical="center"/>
    </xf>
    <xf numFmtId="0" fontId="40" fillId="0" borderId="44" xfId="151" applyFont="1" applyFill="1" applyBorder="1" applyAlignment="1">
      <alignment horizontal="center" vertical="center" wrapText="1"/>
    </xf>
    <xf numFmtId="0" fontId="40" fillId="0" borderId="47" xfId="151" applyFont="1" applyFill="1" applyBorder="1" applyAlignment="1">
      <alignment horizontal="center" vertical="center" wrapText="1"/>
    </xf>
    <xf numFmtId="172" fontId="41" fillId="0" borderId="44" xfId="151" applyNumberFormat="1" applyFont="1" applyFill="1" applyBorder="1" applyAlignment="1">
      <alignment horizontal="center" vertical="center" wrapText="1"/>
    </xf>
    <xf numFmtId="0" fontId="0" fillId="45" borderId="108" xfId="0" applyFill="1" applyBorder="1" applyAlignment="1">
      <alignment horizontal="center"/>
    </xf>
    <xf numFmtId="0" fontId="0" fillId="45" borderId="105" xfId="0" applyFill="1" applyBorder="1" applyAlignment="1">
      <alignment horizontal="center"/>
    </xf>
    <xf numFmtId="0" fontId="21" fillId="36" borderId="103" xfId="0" applyFont="1" applyFill="1" applyBorder="1" applyAlignment="1">
      <alignment horizontal="left"/>
    </xf>
    <xf numFmtId="0" fontId="0" fillId="45" borderId="109" xfId="0" applyFill="1" applyBorder="1" applyAlignment="1">
      <alignment horizontal="center"/>
    </xf>
    <xf numFmtId="0" fontId="0" fillId="45" borderId="106" xfId="0" applyFill="1" applyBorder="1" applyAlignment="1">
      <alignment horizontal="center"/>
    </xf>
  </cellXfs>
  <cellStyles count="197">
    <cellStyle name="12" xfId="49"/>
    <cellStyle name="12 2" xfId="50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ABEÇALHO" xfId="153"/>
    <cellStyle name="Cabeçalho 1" xfId="154"/>
    <cellStyle name="Cabeçalho 2" xfId="155"/>
    <cellStyle name="Cálculo" xfId="11" builtinId="22" customBuiltin="1"/>
    <cellStyle name="Célula de Verificação" xfId="13" builtinId="23" customBuiltin="1"/>
    <cellStyle name="Célula Vinculada" xfId="12" builtinId="24" customBuiltin="1"/>
    <cellStyle name="Comma" xfId="156"/>
    <cellStyle name="Comma0" xfId="157"/>
    <cellStyle name="Currency" xfId="158"/>
    <cellStyle name="Currency0" xfId="159"/>
    <cellStyle name="Data" xfId="160"/>
    <cellStyle name="Date" xfId="16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stilo 1" xfId="51"/>
    <cellStyle name="Euro" xfId="52"/>
    <cellStyle name="Euro 2" xfId="53"/>
    <cellStyle name="Fixed" xfId="162"/>
    <cellStyle name="Fixo" xfId="163"/>
    <cellStyle name="Heading 1" xfId="164"/>
    <cellStyle name="Heading 2" xfId="165"/>
    <cellStyle name="Hyperlink 2" xfId="166"/>
    <cellStyle name="Incorreto" xfId="7" builtinId="27" customBuiltin="1"/>
    <cellStyle name="Indefinido" xfId="54"/>
    <cellStyle name="Moeda 2" xfId="55"/>
    <cellStyle name="Moeda 2 2" xfId="56"/>
    <cellStyle name="Moeda 3" xfId="57"/>
    <cellStyle name="Moeda 3 2" xfId="58"/>
    <cellStyle name="Moeda 4" xfId="59"/>
    <cellStyle name="Moeda 4 2" xfId="60"/>
    <cellStyle name="Moeda 5" xfId="61"/>
    <cellStyle name="Moeda 5 2" xfId="62"/>
    <cellStyle name="Moeda0" xfId="167"/>
    <cellStyle name="Moneda [0]_Caixa_exterior" xfId="168"/>
    <cellStyle name="Moneda_Caixa_exterior" xfId="169"/>
    <cellStyle name="Neutra" xfId="8" builtinId="28" customBuiltin="1"/>
    <cellStyle name="Normal" xfId="0" builtinId="0"/>
    <cellStyle name="Normal 10" xfId="63"/>
    <cellStyle name="Normal 11" xfId="170"/>
    <cellStyle name="Normal 12" xfId="194"/>
    <cellStyle name="Normal 13" xfId="47"/>
    <cellStyle name="Normal 13 2" xfId="64"/>
    <cellStyle name="Normal 14" xfId="195"/>
    <cellStyle name="Normal 15" xfId="196"/>
    <cellStyle name="Normal 2" xfId="44"/>
    <cellStyle name="Normal 2 2" xfId="65"/>
    <cellStyle name="Normal 2 2 2" xfId="66"/>
    <cellStyle name="Normal 2 3" xfId="67"/>
    <cellStyle name="Normal 2 4" xfId="68"/>
    <cellStyle name="Normal 2 5" xfId="151"/>
    <cellStyle name="Normal 3" xfId="69"/>
    <cellStyle name="Normal 3 2" xfId="70"/>
    <cellStyle name="Normal 3 2 2" xfId="171"/>
    <cellStyle name="Normal 3 3" xfId="71"/>
    <cellStyle name="Normal 3 4" xfId="72"/>
    <cellStyle name="Normal 3 5" xfId="172"/>
    <cellStyle name="Normal 4" xfId="73"/>
    <cellStyle name="Normal 4 2" xfId="74"/>
    <cellStyle name="Normal 4 3" xfId="75"/>
    <cellStyle name="Normal 5" xfId="76"/>
    <cellStyle name="Normal 5 2" xfId="77"/>
    <cellStyle name="Normal 6" xfId="46"/>
    <cellStyle name="Normal 6 2" xfId="48"/>
    <cellStyle name="Normal 7" xfId="78"/>
    <cellStyle name="Normal 7 2" xfId="173"/>
    <cellStyle name="Normal 8" xfId="79"/>
    <cellStyle name="Normal 8 2" xfId="174"/>
    <cellStyle name="Normal 9" xfId="148"/>
    <cellStyle name="Nota" xfId="15" builtinId="10" customBuiltin="1"/>
    <cellStyle name="Nota 2" xfId="80"/>
    <cellStyle name="Percent" xfId="175"/>
    <cellStyle name="Percentual" xfId="176"/>
    <cellStyle name="Ponto" xfId="177"/>
    <cellStyle name="Porcentagem" xfId="147" builtinId="5"/>
    <cellStyle name="Porcentagem 2" xfId="81"/>
    <cellStyle name="Porcentagem 2 2" xfId="82"/>
    <cellStyle name="Porcentagem 2 2 2" xfId="178"/>
    <cellStyle name="Porcentagem 2 3" xfId="83"/>
    <cellStyle name="Porcentagem 2 4" xfId="179"/>
    <cellStyle name="Porcentagem 3" xfId="84"/>
    <cellStyle name="Porcentagem 3 2" xfId="180"/>
    <cellStyle name="Porcentagem 3 3" xfId="181"/>
    <cellStyle name="Porcentagem 3 4" xfId="182"/>
    <cellStyle name="Porcentagem 4" xfId="85"/>
    <cellStyle name="Porcentagem 4 2" xfId="86"/>
    <cellStyle name="Porcentagem 5" xfId="87"/>
    <cellStyle name="Saída" xfId="10" builtinId="21" customBuiltin="1"/>
    <cellStyle name="Sep. milhar [0]" xfId="183"/>
    <cellStyle name="Separador de m" xfId="184"/>
    <cellStyle name="Separador de milhares 10" xfId="88"/>
    <cellStyle name="Separador de milhares 11" xfId="89"/>
    <cellStyle name="Separador de milhares 12" xfId="90"/>
    <cellStyle name="Separador de milhares 13" xfId="91"/>
    <cellStyle name="Separador de milhares 14" xfId="92"/>
    <cellStyle name="Separador de milhares 14 2" xfId="93"/>
    <cellStyle name="Separador de milhares 15" xfId="94"/>
    <cellStyle name="Separador de milhares 15 2" xfId="95"/>
    <cellStyle name="Separador de milhares 15 3" xfId="96"/>
    <cellStyle name="Separador de milhares 16" xfId="97"/>
    <cellStyle name="Separador de milhares 17" xfId="98"/>
    <cellStyle name="Separador de milhares 18" xfId="99"/>
    <cellStyle name="Separador de milhares 19" xfId="100"/>
    <cellStyle name="Separador de milhares 2" xfId="101"/>
    <cellStyle name="Separador de milhares 2 2" xfId="102"/>
    <cellStyle name="Separador de milhares 2 2 2" xfId="185"/>
    <cellStyle name="Separador de milhares 2 2 3" xfId="186"/>
    <cellStyle name="Separador de milhares 2 3" xfId="103"/>
    <cellStyle name="Separador de milhares 2 4" xfId="187"/>
    <cellStyle name="Separador de milhares 20" xfId="104"/>
    <cellStyle name="Separador de milhares 21" xfId="105"/>
    <cellStyle name="Separador de milhares 22" xfId="106"/>
    <cellStyle name="Separador de milhares 23" xfId="107"/>
    <cellStyle name="Separador de milhares 23 2" xfId="149"/>
    <cellStyle name="Separador de milhares 24" xfId="150"/>
    <cellStyle name="Separador de milhares 25" xfId="152"/>
    <cellStyle name="Separador de milhares 3" xfId="108"/>
    <cellStyle name="Separador de milhares 3 2" xfId="109"/>
    <cellStyle name="Separador de milhares 3 2 2" xfId="110"/>
    <cellStyle name="Separador de milhares 3 3" xfId="111"/>
    <cellStyle name="Separador de milhares 3 3 2" xfId="112"/>
    <cellStyle name="Separador de milhares 3 4" xfId="113"/>
    <cellStyle name="Separador de milhares 4" xfId="114"/>
    <cellStyle name="Separador de milhares 4 2" xfId="115"/>
    <cellStyle name="Separador de milhares 4 2 2" xfId="188"/>
    <cellStyle name="Separador de milhares 4 3" xfId="116"/>
    <cellStyle name="Separador de milhares 5" xfId="117"/>
    <cellStyle name="Separador de milhares 5 2" xfId="118"/>
    <cellStyle name="Separador de milhares 5 3" xfId="193"/>
    <cellStyle name="Separador de milhares 6" xfId="119"/>
    <cellStyle name="Separador de milhares 6 2" xfId="120"/>
    <cellStyle name="Separador de milhares 6 3" xfId="121"/>
    <cellStyle name="Separador de milhares 7" xfId="122"/>
    <cellStyle name="Separador de milhares 7 2" xfId="123"/>
    <cellStyle name="Separador de milhares 8" xfId="124"/>
    <cellStyle name="Separador de milhares 9" xfId="125"/>
    <cellStyle name="SUMA PARCIAL" xfId="189"/>
    <cellStyle name="Texto de Aviso" xfId="14" builtinId="11" customBuiltin="1"/>
    <cellStyle name="Texto Explicativo" xfId="16" builtinId="53" customBuiltin="1"/>
    <cellStyle name="Título" xfId="1" builtinId="15" customBuiltin="1"/>
    <cellStyle name="Titulo 1" xfId="126"/>
    <cellStyle name="Título 1" xfId="2" builtinId="16" customBuiltin="1"/>
    <cellStyle name="Título 1 1" xfId="127"/>
    <cellStyle name="Titulo 1 2" xfId="128"/>
    <cellStyle name="Titulo 2" xfId="129"/>
    <cellStyle name="Título 2" xfId="3" builtinId="17" customBuiltin="1"/>
    <cellStyle name="Titulo 2 2" xfId="130"/>
    <cellStyle name="Título 3" xfId="4" builtinId="18" customBuiltin="1"/>
    <cellStyle name="Título 4" xfId="5" builtinId="19" customBuiltin="1"/>
    <cellStyle name="Titulo1" xfId="131"/>
    <cellStyle name="Titulo2" xfId="190"/>
    <cellStyle name="Total" xfId="17" builtinId="25" customBuiltin="1"/>
    <cellStyle name="un" xfId="132"/>
    <cellStyle name="Vírgula" xfId="43" builtinId="3"/>
    <cellStyle name="Vírgula 2" xfId="42"/>
    <cellStyle name="Vírgula 2 2" xfId="133"/>
    <cellStyle name="Vírgula 2 2 2" xfId="134"/>
    <cellStyle name="Vírgula 2 3" xfId="135"/>
    <cellStyle name="Vírgula 2 3 2" xfId="136"/>
    <cellStyle name="Vírgula 2 4" xfId="137"/>
    <cellStyle name="Vírgula 2 4 2" xfId="138"/>
    <cellStyle name="Vírgula 2 5" xfId="139"/>
    <cellStyle name="Vírgula 3" xfId="45"/>
    <cellStyle name="Vírgula 4" xfId="140"/>
    <cellStyle name="Vírgula 4 2" xfId="141"/>
    <cellStyle name="Vírgula 5" xfId="142"/>
    <cellStyle name="Vírgula 5 2" xfId="143"/>
    <cellStyle name="Vírgula 6" xfId="144"/>
    <cellStyle name="Vírgula 6 2" xfId="145"/>
    <cellStyle name="Vírgula 7" xfId="146"/>
    <cellStyle name="Vírgula0" xfId="191"/>
    <cellStyle name="Währung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185162</xdr:colOff>
      <xdr:row>1</xdr:row>
      <xdr:rowOff>1184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890" b="-8265"/>
        <a:stretch/>
      </xdr:blipFill>
      <xdr:spPr>
        <a:xfrm>
          <a:off x="66675" y="47625"/>
          <a:ext cx="909062" cy="458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413893</xdr:colOff>
      <xdr:row>0</xdr:row>
      <xdr:rowOff>258033</xdr:rowOff>
    </xdr:from>
    <xdr:to>
      <xdr:col>2</xdr:col>
      <xdr:colOff>790575</xdr:colOff>
      <xdr:row>1</xdr:row>
      <xdr:rowOff>314325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890" b="-8265"/>
        <a:stretch/>
      </xdr:blipFill>
      <xdr:spPr>
        <a:xfrm>
          <a:off x="1023493" y="258033"/>
          <a:ext cx="910082" cy="465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0</xdr:col>
      <xdr:colOff>269367</xdr:colOff>
      <xdr:row>1</xdr:row>
      <xdr:rowOff>2286</xdr:rowOff>
    </xdr:to>
    <xdr:pic>
      <xdr:nvPicPr>
        <xdr:cNvPr id="3" name="Picture 26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5300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</xdr:row>
      <xdr:rowOff>0</xdr:rowOff>
    </xdr:from>
    <xdr:to>
      <xdr:col>1</xdr:col>
      <xdr:colOff>228981</xdr:colOff>
      <xdr:row>1</xdr:row>
      <xdr:rowOff>1143</xdr:rowOff>
    </xdr:to>
    <xdr:pic>
      <xdr:nvPicPr>
        <xdr:cNvPr id="4" name="Picture 26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495300"/>
          <a:ext cx="590931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</xdr:row>
      <xdr:rowOff>0</xdr:rowOff>
    </xdr:from>
    <xdr:to>
      <xdr:col>0</xdr:col>
      <xdr:colOff>269367</xdr:colOff>
      <xdr:row>7</xdr:row>
      <xdr:rowOff>2286</xdr:rowOff>
    </xdr:to>
    <xdr:pic>
      <xdr:nvPicPr>
        <xdr:cNvPr id="5" name="Picture 26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62100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7</xdr:row>
      <xdr:rowOff>0</xdr:rowOff>
    </xdr:from>
    <xdr:to>
      <xdr:col>1</xdr:col>
      <xdr:colOff>228981</xdr:colOff>
      <xdr:row>7</xdr:row>
      <xdr:rowOff>1143</xdr:rowOff>
    </xdr:to>
    <xdr:pic>
      <xdr:nvPicPr>
        <xdr:cNvPr id="6" name="Picture 26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1562100"/>
          <a:ext cx="590931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148160</xdr:colOff>
      <xdr:row>0</xdr:row>
      <xdr:rowOff>84665</xdr:rowOff>
    </xdr:from>
    <xdr:to>
      <xdr:col>1</xdr:col>
      <xdr:colOff>338659</xdr:colOff>
      <xdr:row>0</xdr:row>
      <xdr:rowOff>523457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0" y="84665"/>
          <a:ext cx="867832" cy="438792"/>
        </a:xfrm>
        <a:prstGeom prst="rect">
          <a:avLst/>
        </a:prstGeom>
      </xdr:spPr>
    </xdr:pic>
    <xdr:clientData/>
  </xdr:twoCellAnchor>
  <xdr:oneCellAnchor>
    <xdr:from>
      <xdr:col>0</xdr:col>
      <xdr:colOff>133350</xdr:colOff>
      <xdr:row>24</xdr:row>
      <xdr:rowOff>0</xdr:rowOff>
    </xdr:from>
    <xdr:ext cx="136017" cy="2286"/>
    <xdr:pic>
      <xdr:nvPicPr>
        <xdr:cNvPr id="8" name="Picture 261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72167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314325</xdr:colOff>
      <xdr:row>24</xdr:row>
      <xdr:rowOff>0</xdr:rowOff>
    </xdr:from>
    <xdr:ext cx="591989" cy="1143"/>
    <xdr:pic>
      <xdr:nvPicPr>
        <xdr:cNvPr id="9" name="Picture 261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1672167"/>
          <a:ext cx="591989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133350</xdr:colOff>
      <xdr:row>32</xdr:row>
      <xdr:rowOff>0</xdr:rowOff>
    </xdr:from>
    <xdr:ext cx="136017" cy="2286"/>
    <xdr:pic>
      <xdr:nvPicPr>
        <xdr:cNvPr id="10" name="Picture 261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66833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314325</xdr:colOff>
      <xdr:row>32</xdr:row>
      <xdr:rowOff>0</xdr:rowOff>
    </xdr:from>
    <xdr:ext cx="591989" cy="1143"/>
    <xdr:pic>
      <xdr:nvPicPr>
        <xdr:cNvPr id="11" name="Picture 261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5566833"/>
          <a:ext cx="591989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10</xdr:row>
      <xdr:rowOff>142875</xdr:rowOff>
    </xdr:from>
    <xdr:to>
      <xdr:col>20</xdr:col>
      <xdr:colOff>142875</xdr:colOff>
      <xdr:row>15</xdr:row>
      <xdr:rowOff>76200</xdr:rowOff>
    </xdr:to>
    <xdr:cxnSp macro="">
      <xdr:nvCxnSpPr>
        <xdr:cNvPr id="3" name="Conector reto 2"/>
        <xdr:cNvCxnSpPr/>
      </xdr:nvCxnSpPr>
      <xdr:spPr>
        <a:xfrm>
          <a:off x="9934575" y="2057400"/>
          <a:ext cx="0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14</xdr:row>
      <xdr:rowOff>0</xdr:rowOff>
    </xdr:from>
    <xdr:to>
      <xdr:col>20</xdr:col>
      <xdr:colOff>361950</xdr:colOff>
      <xdr:row>14</xdr:row>
      <xdr:rowOff>0</xdr:rowOff>
    </xdr:to>
    <xdr:cxnSp macro="">
      <xdr:nvCxnSpPr>
        <xdr:cNvPr id="5" name="Conector reto 4"/>
        <xdr:cNvCxnSpPr/>
      </xdr:nvCxnSpPr>
      <xdr:spPr>
        <a:xfrm>
          <a:off x="9867900" y="2705100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15</xdr:row>
      <xdr:rowOff>0</xdr:rowOff>
    </xdr:from>
    <xdr:to>
      <xdr:col>20</xdr:col>
      <xdr:colOff>361950</xdr:colOff>
      <xdr:row>15</xdr:row>
      <xdr:rowOff>0</xdr:rowOff>
    </xdr:to>
    <xdr:cxnSp macro="">
      <xdr:nvCxnSpPr>
        <xdr:cNvPr id="6" name="Conector reto 5"/>
        <xdr:cNvCxnSpPr/>
      </xdr:nvCxnSpPr>
      <xdr:spPr>
        <a:xfrm>
          <a:off x="9867900" y="2905125"/>
          <a:ext cx="285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001\c\Meus%20documentos\Excel\DVOP\8_97%20-%20S&#227;o%20Vicente\Prod.%20Equip.%20Mec.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ARQ\projeto\WINDOWS\Temporary%20Internet%20Files\Content.IE5\Q9YZIJ83\file:\A:\TERCIO\BR%2520163%2520REST%2520set%25202003\DEISI\Or%25C3%25A7amento%2520Sta%2520Helena%2520Guaran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WINDOWS\Temporary%20Internet%20Files\Content.IE5\Q9YZIJ83\file:\A:\TERCIO\BR%2520163%2520REST%2520set%25202003\DEISI\Or%25C3%25A7amento%2520Sta%2520Helena%2520Guaran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ARQ\projeto\WINDOWS\Temporary%20Internet%20Files\Content.IE5\Q9YZIJ83\file:\A:\TEMP\Or%25C3%25A7amento%2520Sta%2520Helena%2520Guaran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WINDOWS\Temporary%20Internet%20Files\Content.IE5\Q9YZIJ83\file:\A:\TEMP\Or%25C3%25A7amento%2520Sta%2520Helena%2520Guaran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6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1&#170;%20M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Medi&#231;&#227;o%20n&#186;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ANDRO\Meus%20documentos\LICITA&#199;&#213;ES\DNIT\CP%20220-2006-MT\Edital\ANEXOS%20-%20BR_364_MT_2006%20CONSERVA&#199;&#195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8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ptop%20-%20Arquivos\DNIT\PATOs\Rondon&#243;polis\PATO_BR-364_km_000_ao_km_11290_LICITA&#199;&#195;O%20MAIO%20DE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Laptop%20-%20Arquivos\DNIT\PATOs\Rondon&#243;polis\PATO_BR-364_km_000_ao_km_11290_LICITA&#199;&#195;O%20MAIO%20DE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S&#201;%20RENATO%20-%20ASSESSOR%20T&#201;CNICO\SESC%20SERRA%20AZUL%20-%20estrada\planilhas%20revisadas%20-%20Eron\Or&#231;amento%20-%20tra&#231;ado%20-%20%20SESC%20Serra%20Az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,13"/>
      <sheetName val="1,14"/>
      <sheetName val="1.15"/>
      <sheetName val="1,16"/>
      <sheetName val="1,17"/>
      <sheetName val="aux1"/>
      <sheetName val="1,19"/>
      <sheetName val="1,20"/>
      <sheetName val="1,21"/>
      <sheetName val="1,22"/>
      <sheetName val="1,23"/>
      <sheetName val="1.24"/>
      <sheetName val="1.25"/>
      <sheetName val="1.26"/>
      <sheetName val="1.28"/>
      <sheetName val="1.29"/>
      <sheetName val="3.4"/>
      <sheetName val="D"/>
      <sheetName val="2.1"/>
      <sheetName val="H"/>
      <sheetName val="I"/>
      <sheetName val="J"/>
      <sheetName val="K"/>
      <sheetName val="L"/>
      <sheetName val="M"/>
      <sheetName val="N"/>
      <sheetName val="O"/>
      <sheetName val="aux. 2"/>
      <sheetName val="Q"/>
      <sheetName val="R"/>
      <sheetName val="S"/>
      <sheetName val="T"/>
      <sheetName val="U"/>
      <sheetName val="B"/>
      <sheetName val="G"/>
      <sheetName val="P"/>
      <sheetName val="RESUMO"/>
      <sheetName val="REAJU"/>
    </sheetNames>
    <sheetDataSet>
      <sheetData sheetId="0"/>
      <sheetData sheetId="1"/>
      <sheetData sheetId="2"/>
      <sheetData sheetId="3"/>
      <sheetData sheetId="4"/>
      <sheetData sheetId="5">
        <row r="11">
          <cell r="A11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MED"/>
      <sheetName val="Relatório-1ª med."/>
      <sheetName val="DRENA"/>
      <sheetName val="ESCAVOCAR"/>
      <sheetName val="TRANSPTERR"/>
      <sheetName val="REG SUBLEITO"/>
      <sheetName val="SUBBASE"/>
      <sheetName val="BASE"/>
      <sheetName val="TRANSPBASE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latório_1ª med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  <sheetName val="Sub_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U36">
            <v>228419.09999999998</v>
          </cell>
        </row>
      </sheetData>
      <sheetData sheetId="13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qui"/>
      <sheetName val="Pato"/>
      <sheetName val="CALCULOS AUXILIARES"/>
      <sheetName val="Q Custo"/>
      <sheetName val="Cronog"/>
      <sheetName val="Transp"/>
      <sheetName val="Memorial"/>
      <sheetName val="Memorial II"/>
      <sheetName val="SERV MAT BET"/>
      <sheetName val="TRANSP FRIO E QUENTE"/>
      <sheetName val="Comp P Unit "/>
      <sheetName val="C MÃO OBRA"/>
      <sheetName val="CUSTO MATERIAL"/>
      <sheetName val="CUSTO EQUIP"/>
      <sheetName val="MOBIL_INST_CANT"/>
      <sheetName val="COMP TRANSP EQUIP"/>
      <sheetName val="Plan1"/>
    </sheetNames>
    <sheetDataSet>
      <sheetData sheetId="0">
        <row r="3">
          <cell r="B3" t="str">
            <v>: BR-364/MT</v>
          </cell>
        </row>
        <row r="4">
          <cell r="I4" t="str">
            <v>SR/DNIT/MT</v>
          </cell>
        </row>
        <row r="5">
          <cell r="B5" t="str">
            <v>: DIV. GO/MT - DIV. MT/RO</v>
          </cell>
        </row>
        <row r="6">
          <cell r="B6" t="str">
            <v>: ENTR. MT-461(A) (Km 112,90) - ENTR. MT-270(B) (Km 215,90)</v>
          </cell>
          <cell r="I6" t="str">
            <v>Lote 02</v>
          </cell>
        </row>
        <row r="7">
          <cell r="A7" t="str">
            <v>EXTENSÃO</v>
          </cell>
          <cell r="B7" t="str">
            <v>: 103,00 Km</v>
          </cell>
        </row>
      </sheetData>
      <sheetData sheetId="1">
        <row r="1">
          <cell r="A1" t="str">
            <v>MT - DNIT - Superintendencia Regional no Estado do Mato Grosso</v>
          </cell>
        </row>
      </sheetData>
      <sheetData sheetId="2">
        <row r="12">
          <cell r="E12">
            <v>2916.8777473920004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"/>
      <sheetName val="res"/>
      <sheetName val="orç"/>
      <sheetName val="Cronograma"/>
      <sheetName val="memorial"/>
      <sheetName val="materiais drenagem"/>
      <sheetName val="trasnp"/>
      <sheetName val="QR DMT indiv"/>
    </sheetNames>
    <sheetDataSet>
      <sheetData sheetId="0"/>
      <sheetData sheetId="1">
        <row r="6">
          <cell r="B6" t="str">
            <v>Serviços preliminares</v>
          </cell>
        </row>
      </sheetData>
      <sheetData sheetId="2">
        <row r="6">
          <cell r="B6" t="str">
            <v>Serviços preliminares</v>
          </cell>
        </row>
      </sheetData>
      <sheetData sheetId="3"/>
      <sheetData sheetId="4"/>
      <sheetData sheetId="5">
        <row r="14">
          <cell r="C14">
            <v>36.799999999999997</v>
          </cell>
        </row>
      </sheetData>
      <sheetData sheetId="6">
        <row r="9">
          <cell r="I9">
            <v>5.1630000000000003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3"/>
  <sheetViews>
    <sheetView showGridLines="0" tabSelected="1" view="pageBreakPreview" zoomScaleSheetLayoutView="100" workbookViewId="0">
      <selection activeCell="C26" sqref="C26"/>
    </sheetView>
  </sheetViews>
  <sheetFormatPr defaultColWidth="9.140625" defaultRowHeight="12.75"/>
  <cols>
    <col min="1" max="1" width="11.85546875" style="1" customWidth="1"/>
    <col min="2" max="2" width="54.7109375" style="1" customWidth="1"/>
    <col min="3" max="3" width="14.7109375" style="1" customWidth="1"/>
    <col min="4" max="4" width="14.140625" style="1" customWidth="1"/>
    <col min="5" max="5" width="9.140625" style="1"/>
    <col min="6" max="6" width="12.28515625" style="1" bestFit="1" customWidth="1"/>
    <col min="7" max="16384" width="9.140625" style="1"/>
  </cols>
  <sheetData>
    <row r="1" spans="1:4" ht="39.950000000000003" customHeight="1">
      <c r="A1" s="152" t="s">
        <v>126</v>
      </c>
      <c r="B1" s="153" t="s">
        <v>195</v>
      </c>
      <c r="C1" s="606" t="s">
        <v>829</v>
      </c>
      <c r="D1" s="607"/>
    </row>
    <row r="2" spans="1:4" ht="27.6" customHeight="1">
      <c r="A2" s="101" t="s">
        <v>72</v>
      </c>
      <c r="B2" s="102"/>
      <c r="C2" s="608"/>
      <c r="D2" s="609"/>
    </row>
    <row r="3" spans="1:4" s="104" customFormat="1" ht="4.5" customHeight="1">
      <c r="A3" s="103"/>
      <c r="B3" s="103"/>
      <c r="C3" s="103"/>
      <c r="D3" s="103"/>
    </row>
    <row r="4" spans="1:4" ht="25.9" customHeight="1">
      <c r="A4" s="105" t="s">
        <v>20</v>
      </c>
      <c r="B4" s="106" t="s">
        <v>73</v>
      </c>
      <c r="C4" s="107" t="s">
        <v>74</v>
      </c>
      <c r="D4" s="108" t="s">
        <v>75</v>
      </c>
    </row>
    <row r="5" spans="1:4" s="104" customFormat="1" ht="4.5" customHeight="1">
      <c r="A5" s="103"/>
      <c r="B5" s="103"/>
      <c r="C5" s="103"/>
      <c r="D5" s="103"/>
    </row>
    <row r="6" spans="1:4" ht="25.9" customHeight="1">
      <c r="A6" s="109" t="str">
        <f>Orçamento!B6</f>
        <v>1.</v>
      </c>
      <c r="B6" s="110" t="str">
        <f>Orçamento!D6</f>
        <v>SERVIÇOS PRELIMINARES</v>
      </c>
      <c r="C6" s="111">
        <f>Orçamento!H13</f>
        <v>6386.25</v>
      </c>
      <c r="D6" s="112">
        <f>C6/$C$26</f>
        <v>6.7257960388357338E-2</v>
      </c>
    </row>
    <row r="7" spans="1:4" ht="25.9" customHeight="1">
      <c r="A7" s="113"/>
      <c r="B7" s="114"/>
      <c r="C7" s="115"/>
      <c r="D7" s="116"/>
    </row>
    <row r="8" spans="1:4" ht="25.9" customHeight="1">
      <c r="A8" s="113" t="str">
        <f>Orçamento!B15</f>
        <v>2.</v>
      </c>
      <c r="B8" s="114" t="str">
        <f>Orçamento!D15</f>
        <v>INFRAESTRUTURA</v>
      </c>
      <c r="C8" s="117">
        <f>Orçamento!H27</f>
        <v>19841.189999999999</v>
      </c>
      <c r="D8" s="116">
        <f>C8/$C$26</f>
        <v>0.20896112289338367</v>
      </c>
    </row>
    <row r="9" spans="1:4" ht="25.9" customHeight="1">
      <c r="A9" s="113"/>
      <c r="B9" s="114"/>
      <c r="C9" s="117"/>
      <c r="D9" s="116"/>
    </row>
    <row r="10" spans="1:4" ht="25.9" customHeight="1">
      <c r="A10" s="113" t="str">
        <f>Orçamento!B29</f>
        <v>3.</v>
      </c>
      <c r="B10" s="114" t="str">
        <f>Orçamento!D29</f>
        <v>SUPRAESTRUTURA</v>
      </c>
      <c r="C10" s="117">
        <f>Orçamento!H32</f>
        <v>15670.3</v>
      </c>
      <c r="D10" s="116">
        <f>C10/$C$26</f>
        <v>0.16503463169679794</v>
      </c>
    </row>
    <row r="11" spans="1:4" ht="25.9" customHeight="1">
      <c r="A11" s="113"/>
      <c r="B11" s="114"/>
      <c r="C11" s="117"/>
      <c r="D11" s="116"/>
    </row>
    <row r="12" spans="1:4" ht="25.9" customHeight="1">
      <c r="A12" s="113" t="str">
        <f>Orçamento!B34</f>
        <v>4.</v>
      </c>
      <c r="B12" s="114" t="str">
        <f>Orçamento!D34</f>
        <v>COBERTURAS E PROTEÇÕES</v>
      </c>
      <c r="C12" s="117">
        <f>Orçamento!H38</f>
        <v>16931.16</v>
      </c>
      <c r="D12" s="116">
        <f>C12/$C$26</f>
        <v>0.17831360949053671</v>
      </c>
    </row>
    <row r="13" spans="1:4" ht="25.9" customHeight="1">
      <c r="A13" s="113"/>
      <c r="B13" s="114"/>
      <c r="C13" s="117"/>
      <c r="D13" s="116"/>
    </row>
    <row r="14" spans="1:4" ht="25.9" customHeight="1">
      <c r="A14" s="113" t="str">
        <f>Orçamento!B40</f>
        <v>5.</v>
      </c>
      <c r="B14" s="114" t="str">
        <f>Orçamento!D40</f>
        <v>INSTALAÇÕES E APARELHOS</v>
      </c>
      <c r="C14" s="117">
        <f>Orçamento!H46</f>
        <v>6452.71</v>
      </c>
      <c r="D14" s="116">
        <f>C14/$C$26</f>
        <v>6.7957896038764107E-2</v>
      </c>
    </row>
    <row r="15" spans="1:4" ht="25.9" customHeight="1">
      <c r="A15" s="113"/>
      <c r="B15" s="114"/>
      <c r="C15" s="117"/>
      <c r="D15" s="116"/>
    </row>
    <row r="16" spans="1:4" ht="25.9" customHeight="1">
      <c r="A16" s="113" t="str">
        <f>Orçamento!B48</f>
        <v>6.</v>
      </c>
      <c r="B16" s="114" t="str">
        <f>Orçamento!D48</f>
        <v>PISO , RODAPÉ E ACABAMENTOS</v>
      </c>
      <c r="C16" s="117">
        <f>Orçamento!H52</f>
        <v>28974.809999999998</v>
      </c>
      <c r="D16" s="116">
        <f>C16/$C$26</f>
        <v>0.30515351313214795</v>
      </c>
    </row>
    <row r="17" spans="1:7" ht="25.9" customHeight="1">
      <c r="A17" s="113"/>
      <c r="B17" s="114"/>
      <c r="C17" s="118"/>
      <c r="D17" s="116"/>
    </row>
    <row r="18" spans="1:7" ht="25.9" customHeight="1">
      <c r="A18" s="113" t="s">
        <v>104</v>
      </c>
      <c r="B18" s="148" t="str">
        <f>Orçamento!D54</f>
        <v>COMPLEMENTAÇÃO DA OPBRA</v>
      </c>
      <c r="C18" s="117">
        <f>Orçamento!H56</f>
        <v>695.16585132312491</v>
      </c>
      <c r="D18" s="116">
        <f>C18/$C$26</f>
        <v>7.321266360012439E-3</v>
      </c>
    </row>
    <row r="19" spans="1:7" ht="25.9" customHeight="1">
      <c r="A19" s="113"/>
      <c r="B19" s="114"/>
      <c r="C19" s="118"/>
      <c r="D19" s="116"/>
    </row>
    <row r="20" spans="1:7" ht="25.9" customHeight="1">
      <c r="A20" s="113"/>
      <c r="B20" s="148"/>
      <c r="C20" s="117"/>
      <c r="D20" s="116"/>
    </row>
    <row r="21" spans="1:7" ht="25.9" customHeight="1">
      <c r="A21" s="113"/>
      <c r="B21" s="114"/>
      <c r="C21" s="118"/>
      <c r="D21" s="119"/>
    </row>
    <row r="22" spans="1:7" ht="25.9" customHeight="1">
      <c r="A22" s="113"/>
      <c r="B22" s="114"/>
      <c r="C22" s="118"/>
      <c r="D22" s="119"/>
    </row>
    <row r="23" spans="1:7" ht="25.9" customHeight="1">
      <c r="A23" s="113"/>
      <c r="B23" s="114"/>
      <c r="C23" s="118"/>
      <c r="D23" s="119"/>
    </row>
    <row r="24" spans="1:7" ht="25.9" customHeight="1">
      <c r="A24" s="120"/>
      <c r="B24" s="121"/>
      <c r="C24" s="121"/>
      <c r="D24" s="122"/>
    </row>
    <row r="25" spans="1:7" s="104" customFormat="1" ht="4.5" customHeight="1">
      <c r="A25" s="103"/>
      <c r="B25" s="103"/>
      <c r="C25" s="103"/>
      <c r="D25" s="103"/>
    </row>
    <row r="26" spans="1:7" s="104" customFormat="1" ht="40.15" customHeight="1">
      <c r="A26" s="123"/>
      <c r="B26" s="124" t="s">
        <v>76</v>
      </c>
      <c r="C26" s="125">
        <f>SUM(C6:C23)</f>
        <v>94951.585851323107</v>
      </c>
      <c r="D26" s="126">
        <f>C26/$C$26</f>
        <v>1</v>
      </c>
    </row>
    <row r="27" spans="1:7">
      <c r="A27" s="127"/>
      <c r="B27" s="128"/>
      <c r="C27" s="128"/>
      <c r="D27" s="129"/>
    </row>
    <row r="28" spans="1:7">
      <c r="A28" s="130"/>
      <c r="B28" s="131"/>
      <c r="C28" s="131"/>
      <c r="D28" s="132"/>
    </row>
    <row r="29" spans="1:7">
      <c r="A29" s="130"/>
      <c r="B29" s="131"/>
      <c r="C29" s="131"/>
      <c r="D29" s="132"/>
    </row>
    <row r="30" spans="1:7">
      <c r="A30" s="130"/>
      <c r="B30" s="131"/>
      <c r="C30" s="131"/>
      <c r="D30" s="132"/>
    </row>
    <row r="31" spans="1:7" s="137" customFormat="1" ht="12" customHeight="1">
      <c r="A31" s="133"/>
      <c r="B31" s="134"/>
      <c r="C31" s="134"/>
      <c r="D31" s="135"/>
      <c r="E31" s="136"/>
      <c r="F31" s="136"/>
      <c r="G31" s="136"/>
    </row>
    <row r="32" spans="1:7" ht="12.75" customHeight="1">
      <c r="A32" s="138"/>
      <c r="B32" s="139"/>
      <c r="C32" s="139"/>
      <c r="D32" s="140"/>
      <c r="E32" s="141"/>
      <c r="F32" s="141"/>
      <c r="G32" s="141"/>
    </row>
    <row r="33" spans="1:4">
      <c r="A33" s="142"/>
      <c r="B33" s="143"/>
      <c r="C33" s="143"/>
      <c r="D33" s="144"/>
    </row>
  </sheetData>
  <mergeCells count="1">
    <mergeCell ref="C1:D2"/>
  </mergeCells>
  <printOptions horizontalCentered="1"/>
  <pageMargins left="0.9055118110236221" right="0.51181102362204722" top="0.78740157480314965" bottom="0.78740157480314965" header="0.31496062992125984" footer="0.31496062992125984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70"/>
  <sheetViews>
    <sheetView showGridLines="0" view="pageBreakPreview" topLeftCell="B16" zoomScaleNormal="100" zoomScaleSheetLayoutView="100" workbookViewId="0">
      <selection activeCell="K36" sqref="K36:K37"/>
    </sheetView>
  </sheetViews>
  <sheetFormatPr defaultColWidth="9.140625" defaultRowHeight="63" customHeight="1"/>
  <cols>
    <col min="1" max="1" width="9.140625" style="201"/>
    <col min="2" max="2" width="8" style="241" customWidth="1"/>
    <col min="3" max="3" width="18.7109375" style="213" customWidth="1"/>
    <col min="4" max="4" width="68.140625" style="214" customWidth="1"/>
    <col min="5" max="5" width="9" style="213" customWidth="1"/>
    <col min="6" max="6" width="13.28515625" style="215" customWidth="1"/>
    <col min="7" max="7" width="14.5703125" style="215" customWidth="1"/>
    <col min="8" max="8" width="19.7109375" style="215" customWidth="1"/>
    <col min="9" max="9" width="9.140625" style="201"/>
    <col min="10" max="10" width="11.140625" style="201" bestFit="1" customWidth="1"/>
    <col min="11" max="16384" width="9.140625" style="201"/>
  </cols>
  <sheetData>
    <row r="1" spans="2:8" s="154" customFormat="1" ht="32.25" customHeight="1">
      <c r="B1" s="622" t="s">
        <v>127</v>
      </c>
      <c r="C1" s="623"/>
      <c r="D1" s="234" t="s">
        <v>130</v>
      </c>
      <c r="E1" s="229"/>
      <c r="F1" s="610" t="s">
        <v>129</v>
      </c>
      <c r="G1" s="611"/>
      <c r="H1" s="612"/>
    </row>
    <row r="2" spans="2:8" s="154" customFormat="1" ht="35.25" customHeight="1" thickBot="1">
      <c r="B2" s="624"/>
      <c r="C2" s="625"/>
      <c r="D2" s="235" t="s">
        <v>718</v>
      </c>
      <c r="E2" s="230"/>
      <c r="F2" s="613"/>
      <c r="G2" s="614"/>
      <c r="H2" s="615"/>
    </row>
    <row r="3" spans="2:8" s="155" customFormat="1" ht="21" customHeight="1">
      <c r="B3" s="236"/>
      <c r="C3" s="228"/>
      <c r="D3" s="227"/>
      <c r="E3" s="228"/>
      <c r="F3" s="231"/>
      <c r="G3" s="232"/>
      <c r="H3" s="233"/>
    </row>
    <row r="4" spans="2:8" s="162" customFormat="1" ht="38.25" customHeight="1">
      <c r="B4" s="156" t="s">
        <v>20</v>
      </c>
      <c r="C4" s="157" t="s">
        <v>35</v>
      </c>
      <c r="D4" s="158" t="s">
        <v>21</v>
      </c>
      <c r="E4" s="159" t="s">
        <v>0</v>
      </c>
      <c r="F4" s="557" t="s">
        <v>1</v>
      </c>
      <c r="G4" s="160" t="s">
        <v>2</v>
      </c>
      <c r="H4" s="161" t="s">
        <v>3</v>
      </c>
    </row>
    <row r="5" spans="2:8" s="155" customFormat="1" ht="19.5" customHeight="1">
      <c r="B5" s="237"/>
      <c r="C5" s="216"/>
      <c r="D5" s="217"/>
      <c r="E5" s="216"/>
      <c r="F5" s="218"/>
      <c r="G5" s="219"/>
      <c r="H5" s="220"/>
    </row>
    <row r="6" spans="2:8" s="162" customFormat="1" ht="34.5" customHeight="1">
      <c r="B6" s="221" t="s">
        <v>26</v>
      </c>
      <c r="C6" s="222"/>
      <c r="D6" s="223" t="s">
        <v>106</v>
      </c>
      <c r="E6" s="222"/>
      <c r="F6" s="224"/>
      <c r="G6" s="225" t="s">
        <v>4</v>
      </c>
      <c r="H6" s="226"/>
    </row>
    <row r="7" spans="2:8" s="170" customFormat="1" ht="30" customHeight="1">
      <c r="B7" s="242" t="s">
        <v>153</v>
      </c>
      <c r="C7" s="243"/>
      <c r="D7" s="244" t="s">
        <v>128</v>
      </c>
      <c r="E7" s="245"/>
      <c r="F7" s="246"/>
      <c r="G7" s="247"/>
      <c r="H7" s="248"/>
    </row>
    <row r="8" spans="2:8" s="170" customFormat="1" ht="59.25" customHeight="1">
      <c r="B8" s="163" t="s">
        <v>154</v>
      </c>
      <c r="C8" s="164" t="s">
        <v>80</v>
      </c>
      <c r="D8" s="165" t="s">
        <v>23</v>
      </c>
      <c r="E8" s="171" t="s">
        <v>19</v>
      </c>
      <c r="F8" s="167">
        <v>1</v>
      </c>
      <c r="G8" s="290">
        <f>COMPOSIÇÕES!B20</f>
        <v>237.53007600000001</v>
      </c>
      <c r="H8" s="169">
        <f t="shared" ref="H8:H9" si="0">TRUNC(F8*G8,2)</f>
        <v>237.53</v>
      </c>
    </row>
    <row r="9" spans="2:8" s="170" customFormat="1" ht="62.25" customHeight="1">
      <c r="B9" s="163" t="s">
        <v>155</v>
      </c>
      <c r="C9" s="164" t="s">
        <v>719</v>
      </c>
      <c r="D9" s="165" t="s">
        <v>193</v>
      </c>
      <c r="E9" s="171" t="s">
        <v>19</v>
      </c>
      <c r="F9" s="167">
        <v>1</v>
      </c>
      <c r="G9" s="290">
        <f>COMPOSIÇÕES!B34</f>
        <v>629.07849999999996</v>
      </c>
      <c r="H9" s="169">
        <f t="shared" si="0"/>
        <v>629.07000000000005</v>
      </c>
    </row>
    <row r="10" spans="2:8" s="170" customFormat="1" ht="30" customHeight="1">
      <c r="B10" s="242" t="s">
        <v>9</v>
      </c>
      <c r="C10" s="243"/>
      <c r="D10" s="244" t="s">
        <v>101</v>
      </c>
      <c r="E10" s="245"/>
      <c r="F10" s="246"/>
      <c r="G10" s="247"/>
      <c r="H10" s="248"/>
    </row>
    <row r="11" spans="2:8" s="170" customFormat="1" ht="40.5" customHeight="1">
      <c r="B11" s="163" t="s">
        <v>24</v>
      </c>
      <c r="C11" s="173" t="s">
        <v>79</v>
      </c>
      <c r="D11" s="174" t="s">
        <v>798</v>
      </c>
      <c r="E11" s="172" t="s">
        <v>5</v>
      </c>
      <c r="F11" s="167">
        <v>1</v>
      </c>
      <c r="G11" s="290">
        <v>2055.36</v>
      </c>
      <c r="H11" s="169">
        <f t="shared" ref="H11" si="1">TRUNC(F11*G11,2)</f>
        <v>2055.36</v>
      </c>
    </row>
    <row r="12" spans="2:8" s="170" customFormat="1" ht="33.75" customHeight="1">
      <c r="B12" s="163" t="s">
        <v>25</v>
      </c>
      <c r="C12" s="173" t="s">
        <v>79</v>
      </c>
      <c r="D12" s="174" t="s">
        <v>799</v>
      </c>
      <c r="E12" s="189" t="s">
        <v>19</v>
      </c>
      <c r="F12" s="190">
        <v>1</v>
      </c>
      <c r="G12" s="339">
        <f>'Administração da Obra'!O22</f>
        <v>3464.29</v>
      </c>
      <c r="H12" s="249">
        <f t="shared" ref="H12" si="2">TRUNC(F12*G12,2)</f>
        <v>3464.29</v>
      </c>
    </row>
    <row r="13" spans="2:8" s="179" customFormat="1" ht="32.25" customHeight="1">
      <c r="B13" s="221"/>
      <c r="C13" s="250"/>
      <c r="D13" s="260" t="s">
        <v>12</v>
      </c>
      <c r="E13" s="250" t="s">
        <v>6</v>
      </c>
      <c r="F13" s="251"/>
      <c r="G13" s="252"/>
      <c r="H13" s="253">
        <f>SUM(H8:H12)</f>
        <v>6386.25</v>
      </c>
    </row>
    <row r="14" spans="2:8" s="155" customFormat="1" ht="19.5" customHeight="1">
      <c r="B14" s="254"/>
      <c r="C14" s="255"/>
      <c r="D14" s="256"/>
      <c r="E14" s="255"/>
      <c r="F14" s="257"/>
      <c r="G14" s="258"/>
      <c r="H14" s="259"/>
    </row>
    <row r="15" spans="2:8" s="179" customFormat="1" ht="34.5" customHeight="1">
      <c r="B15" s="221" t="s">
        <v>27</v>
      </c>
      <c r="C15" s="250"/>
      <c r="D15" s="223" t="s">
        <v>156</v>
      </c>
      <c r="E15" s="250" t="s">
        <v>6</v>
      </c>
      <c r="F15" s="251"/>
      <c r="G15" s="252" t="s">
        <v>4</v>
      </c>
      <c r="H15" s="253"/>
    </row>
    <row r="16" spans="2:8" s="179" customFormat="1" ht="34.5" customHeight="1">
      <c r="B16" s="242" t="s">
        <v>15</v>
      </c>
      <c r="C16" s="243"/>
      <c r="D16" s="244" t="s">
        <v>157</v>
      </c>
      <c r="E16" s="282"/>
      <c r="F16" s="284"/>
      <c r="G16" s="285"/>
      <c r="H16" s="286"/>
    </row>
    <row r="17" spans="2:10" s="170" customFormat="1" ht="39.75" customHeight="1">
      <c r="B17" s="180" t="s">
        <v>185</v>
      </c>
      <c r="C17" s="181" t="s">
        <v>720</v>
      </c>
      <c r="D17" s="262" t="s">
        <v>787</v>
      </c>
      <c r="E17" s="166" t="s">
        <v>13</v>
      </c>
      <c r="F17" s="182">
        <f>memoria!B2</f>
        <v>210.7</v>
      </c>
      <c r="G17" s="183">
        <f>COMPOSIÇÕES!B55</f>
        <v>7.2131374052999995</v>
      </c>
      <c r="H17" s="184">
        <f t="shared" ref="H17:H26" si="3">TRUNC(F17*G17,2)</f>
        <v>1519.8</v>
      </c>
    </row>
    <row r="18" spans="2:10" s="170" customFormat="1" ht="39" customHeight="1">
      <c r="B18" s="180" t="s">
        <v>186</v>
      </c>
      <c r="C18" s="295" t="s">
        <v>735</v>
      </c>
      <c r="D18" s="287" t="s">
        <v>738</v>
      </c>
      <c r="E18" s="172" t="s">
        <v>7</v>
      </c>
      <c r="F18" s="167">
        <f>memoria!B21</f>
        <v>3.7259999999999995</v>
      </c>
      <c r="G18" s="168">
        <f>COMPOSIÇÕES!B72</f>
        <v>384.61532120039999</v>
      </c>
      <c r="H18" s="169">
        <f t="shared" si="3"/>
        <v>1433.07</v>
      </c>
    </row>
    <row r="19" spans="2:10" s="170" customFormat="1" ht="36.75" customHeight="1">
      <c r="B19" s="180" t="s">
        <v>187</v>
      </c>
      <c r="C19" s="295" t="s">
        <v>727</v>
      </c>
      <c r="D19" s="287" t="s">
        <v>788</v>
      </c>
      <c r="E19" s="172" t="s">
        <v>7</v>
      </c>
      <c r="F19" s="167">
        <f>memoria!B49</f>
        <v>5.2965</v>
      </c>
      <c r="G19" s="168">
        <f>COMPOSIÇÕES!B92</f>
        <v>142.83332105869999</v>
      </c>
      <c r="H19" s="169">
        <f t="shared" si="3"/>
        <v>756.51</v>
      </c>
    </row>
    <row r="20" spans="2:10" s="179" customFormat="1" ht="28.5" customHeight="1">
      <c r="B20" s="292" t="s">
        <v>16</v>
      </c>
      <c r="C20" s="293"/>
      <c r="D20" s="294" t="s">
        <v>158</v>
      </c>
      <c r="E20" s="255"/>
      <c r="F20" s="263"/>
      <c r="G20" s="264"/>
      <c r="H20" s="259"/>
    </row>
    <row r="21" spans="2:10" s="179" customFormat="1" ht="28.5" customHeight="1">
      <c r="B21" s="297" t="s">
        <v>162</v>
      </c>
      <c r="C21" s="288" t="s">
        <v>159</v>
      </c>
      <c r="D21" s="287" t="s">
        <v>785</v>
      </c>
      <c r="E21" s="288" t="s">
        <v>7</v>
      </c>
      <c r="F21" s="289">
        <f>memoria!B42</f>
        <v>5.2965</v>
      </c>
      <c r="G21" s="290">
        <f>COMPOSIÇÕES!B115</f>
        <v>266.9348157801</v>
      </c>
      <c r="H21" s="291">
        <f t="shared" si="3"/>
        <v>1413.82</v>
      </c>
      <c r="I21" s="170"/>
    </row>
    <row r="22" spans="2:10" s="179" customFormat="1" ht="27" customHeight="1">
      <c r="B22" s="297" t="s">
        <v>164</v>
      </c>
      <c r="C22" s="288" t="s">
        <v>407</v>
      </c>
      <c r="D22" s="287" t="s">
        <v>801</v>
      </c>
      <c r="E22" s="288" t="s">
        <v>7</v>
      </c>
      <c r="F22" s="289">
        <f>memoria!B19</f>
        <v>0.41399999999999998</v>
      </c>
      <c r="G22" s="290">
        <f>COMPOSIÇÕES!B134</f>
        <v>382.02256357419998</v>
      </c>
      <c r="H22" s="291">
        <f t="shared" si="3"/>
        <v>158.15</v>
      </c>
      <c r="I22" s="170"/>
    </row>
    <row r="23" spans="2:10" s="179" customFormat="1" ht="39" customHeight="1">
      <c r="B23" s="297" t="s">
        <v>165</v>
      </c>
      <c r="C23" s="288" t="s">
        <v>776</v>
      </c>
      <c r="D23" s="287" t="s">
        <v>790</v>
      </c>
      <c r="E23" s="288" t="s">
        <v>97</v>
      </c>
      <c r="F23" s="289">
        <f>memoria!B25</f>
        <v>397.43999999999994</v>
      </c>
      <c r="G23" s="290">
        <f>COMPOSIÇÕES!B155</f>
        <v>8.8485895299000017</v>
      </c>
      <c r="H23" s="291">
        <f t="shared" si="3"/>
        <v>3516.78</v>
      </c>
      <c r="I23" s="170"/>
    </row>
    <row r="24" spans="2:10" s="179" customFormat="1" ht="33" customHeight="1">
      <c r="B24" s="297" t="s">
        <v>166</v>
      </c>
      <c r="C24" s="288" t="s">
        <v>815</v>
      </c>
      <c r="D24" s="296" t="s">
        <v>800</v>
      </c>
      <c r="E24" s="288" t="s">
        <v>97</v>
      </c>
      <c r="F24" s="289">
        <f>memoria!B45</f>
        <v>233.04599999999999</v>
      </c>
      <c r="G24" s="290">
        <f>COMPOSIÇÕES!B175</f>
        <v>8.1736069848999993</v>
      </c>
      <c r="H24" s="291">
        <f t="shared" si="3"/>
        <v>1904.82</v>
      </c>
      <c r="I24" s="170"/>
    </row>
    <row r="25" spans="2:10" s="179" customFormat="1" ht="29.25" customHeight="1">
      <c r="B25" s="297" t="s">
        <v>163</v>
      </c>
      <c r="C25" s="288" t="s">
        <v>161</v>
      </c>
      <c r="D25" s="287" t="s">
        <v>786</v>
      </c>
      <c r="E25" s="288" t="s">
        <v>7</v>
      </c>
      <c r="F25" s="289">
        <f>memoria!B23+memoria!B53</f>
        <v>15.561</v>
      </c>
      <c r="G25" s="290">
        <f>COMPOSIÇÕES!B197</f>
        <v>416.99465804490001</v>
      </c>
      <c r="H25" s="291">
        <f t="shared" si="3"/>
        <v>6488.85</v>
      </c>
      <c r="I25" s="170"/>
    </row>
    <row r="26" spans="2:10" s="179" customFormat="1" ht="37.5" customHeight="1">
      <c r="B26" s="297" t="s">
        <v>167</v>
      </c>
      <c r="C26" s="288" t="s">
        <v>755</v>
      </c>
      <c r="D26" s="287" t="s">
        <v>780</v>
      </c>
      <c r="E26" s="288" t="s">
        <v>7</v>
      </c>
      <c r="F26" s="289">
        <f>memoria!B23+memoria!B53</f>
        <v>15.561</v>
      </c>
      <c r="G26" s="290">
        <f>COMPOSIÇÕES!B215</f>
        <v>170.25892257560002</v>
      </c>
      <c r="H26" s="291">
        <f t="shared" si="3"/>
        <v>2649.39</v>
      </c>
      <c r="I26" s="170"/>
    </row>
    <row r="27" spans="2:10" s="179" customFormat="1" ht="28.5" customHeight="1">
      <c r="B27" s="221"/>
      <c r="C27" s="250"/>
      <c r="D27" s="260" t="s">
        <v>168</v>
      </c>
      <c r="E27" s="250" t="s">
        <v>6</v>
      </c>
      <c r="F27" s="251"/>
      <c r="G27" s="252"/>
      <c r="H27" s="253">
        <f>SUM(H17:H26)</f>
        <v>19841.189999999999</v>
      </c>
      <c r="I27" s="170"/>
    </row>
    <row r="28" spans="2:10" s="179" customFormat="1" ht="21.75" customHeight="1">
      <c r="B28" s="254"/>
      <c r="E28" s="255"/>
      <c r="F28" s="263"/>
      <c r="G28" s="264"/>
      <c r="H28" s="259"/>
      <c r="I28" s="170"/>
    </row>
    <row r="29" spans="2:10" s="179" customFormat="1" ht="27.75" customHeight="1">
      <c r="B29" s="221" t="s">
        <v>28</v>
      </c>
      <c r="C29" s="250"/>
      <c r="D29" s="223" t="s">
        <v>169</v>
      </c>
      <c r="E29" s="250" t="s">
        <v>6</v>
      </c>
      <c r="F29" s="251"/>
      <c r="G29" s="252" t="s">
        <v>4</v>
      </c>
      <c r="H29" s="253"/>
      <c r="I29" s="170"/>
    </row>
    <row r="30" spans="2:10" s="179" customFormat="1" ht="35.25" customHeight="1">
      <c r="B30" s="297" t="s">
        <v>10</v>
      </c>
      <c r="C30" s="354" t="s">
        <v>810</v>
      </c>
      <c r="D30" s="287" t="s">
        <v>808</v>
      </c>
      <c r="E30" s="288" t="s">
        <v>8</v>
      </c>
      <c r="F30" s="289">
        <f>(3.6+0.5)*12</f>
        <v>49.199999999999996</v>
      </c>
      <c r="G30" s="290">
        <f>COMPOSIÇÕES!B233</f>
        <v>189.90037400129998</v>
      </c>
      <c r="H30" s="291">
        <f t="shared" ref="H30:H31" si="4">TRUNC(F30*G30,2)</f>
        <v>9343.09</v>
      </c>
      <c r="I30" s="170"/>
    </row>
    <row r="31" spans="2:10" s="179" customFormat="1" ht="34.5" customHeight="1">
      <c r="B31" s="297" t="s">
        <v>17</v>
      </c>
      <c r="C31" s="288" t="s">
        <v>814</v>
      </c>
      <c r="D31" s="287" t="s">
        <v>802</v>
      </c>
      <c r="E31" s="288" t="s">
        <v>8</v>
      </c>
      <c r="F31" s="289">
        <f>memoria!B82</f>
        <v>46</v>
      </c>
      <c r="G31" s="290">
        <f>COMPOSIÇÕES!B253</f>
        <v>137.54820959989999</v>
      </c>
      <c r="H31" s="291">
        <f t="shared" si="4"/>
        <v>6327.21</v>
      </c>
      <c r="I31" s="170"/>
    </row>
    <row r="32" spans="2:10" s="155" customFormat="1" ht="30.75" customHeight="1">
      <c r="B32" s="221"/>
      <c r="C32" s="250"/>
      <c r="D32" s="260" t="s">
        <v>14</v>
      </c>
      <c r="E32" s="250" t="s">
        <v>6</v>
      </c>
      <c r="F32" s="251"/>
      <c r="G32" s="252"/>
      <c r="H32" s="253">
        <f>SUM(H30:H31)</f>
        <v>15670.3</v>
      </c>
      <c r="I32" s="559"/>
      <c r="J32" s="186"/>
    </row>
    <row r="33" spans="2:10" s="155" customFormat="1" ht="23.25" customHeight="1">
      <c r="B33" s="292"/>
      <c r="C33" s="293"/>
      <c r="D33" s="294"/>
      <c r="E33" s="255"/>
      <c r="F33" s="263"/>
      <c r="G33" s="264"/>
      <c r="H33" s="259"/>
      <c r="I33" s="559"/>
      <c r="J33" s="186"/>
    </row>
    <row r="34" spans="2:10" s="155" customFormat="1" ht="30" customHeight="1">
      <c r="B34" s="221" t="s">
        <v>29</v>
      </c>
      <c r="C34" s="250"/>
      <c r="D34" s="223" t="s">
        <v>170</v>
      </c>
      <c r="E34" s="250" t="s">
        <v>6</v>
      </c>
      <c r="F34" s="251"/>
      <c r="G34" s="252" t="s">
        <v>4</v>
      </c>
      <c r="H34" s="253"/>
      <c r="I34" s="559"/>
      <c r="J34" s="186"/>
    </row>
    <row r="35" spans="2:10" s="155" customFormat="1" ht="22.5" customHeight="1">
      <c r="B35" s="300" t="s">
        <v>11</v>
      </c>
      <c r="C35" s="301"/>
      <c r="D35" s="302" t="s">
        <v>171</v>
      </c>
      <c r="E35" s="255"/>
      <c r="F35" s="263"/>
      <c r="G35" s="264"/>
      <c r="H35" s="259"/>
      <c r="I35" s="559"/>
      <c r="J35" s="186"/>
    </row>
    <row r="36" spans="2:10" s="155" customFormat="1" ht="39.75" customHeight="1">
      <c r="B36" s="163" t="s">
        <v>172</v>
      </c>
      <c r="C36" s="288" t="s">
        <v>179</v>
      </c>
      <c r="D36" s="287" t="s">
        <v>791</v>
      </c>
      <c r="E36" s="288" t="s">
        <v>13</v>
      </c>
      <c r="F36" s="289">
        <v>165.84</v>
      </c>
      <c r="G36" s="290">
        <f>COMPOSIÇÕES!B280</f>
        <v>52.441053816299998</v>
      </c>
      <c r="H36" s="291">
        <f t="shared" ref="H36:H37" si="5">TRUNC(F36*G36,2)</f>
        <v>8696.82</v>
      </c>
      <c r="I36" s="559"/>
      <c r="J36" s="186"/>
    </row>
    <row r="37" spans="2:10" s="155" customFormat="1" ht="30" customHeight="1">
      <c r="B37" s="163" t="s">
        <v>173</v>
      </c>
      <c r="C37" s="288" t="s">
        <v>712</v>
      </c>
      <c r="D37" s="165" t="s">
        <v>792</v>
      </c>
      <c r="E37" s="288" t="s">
        <v>13</v>
      </c>
      <c r="F37" s="289">
        <f>F36</f>
        <v>165.84</v>
      </c>
      <c r="G37" s="290">
        <f>COMPOSIÇÕES!B302</f>
        <v>49.6523363688</v>
      </c>
      <c r="H37" s="291">
        <f t="shared" si="5"/>
        <v>8234.34</v>
      </c>
      <c r="I37" s="559"/>
      <c r="J37" s="186"/>
    </row>
    <row r="38" spans="2:10" s="155" customFormat="1" ht="22.5" customHeight="1">
      <c r="B38" s="221"/>
      <c r="C38" s="250"/>
      <c r="D38" s="260" t="s">
        <v>22</v>
      </c>
      <c r="E38" s="250" t="s">
        <v>6</v>
      </c>
      <c r="F38" s="251"/>
      <c r="G38" s="252"/>
      <c r="H38" s="253">
        <f>SUM(H36:H37)</f>
        <v>16931.16</v>
      </c>
      <c r="J38" s="186"/>
    </row>
    <row r="39" spans="2:10" s="155" customFormat="1" ht="27" customHeight="1">
      <c r="B39" s="254"/>
      <c r="C39" s="255"/>
      <c r="D39" s="256"/>
      <c r="E39" s="255"/>
      <c r="F39" s="257"/>
      <c r="G39" s="258"/>
      <c r="H39" s="259"/>
      <c r="J39" s="186"/>
    </row>
    <row r="40" spans="2:10" s="179" customFormat="1" ht="34.5" customHeight="1">
      <c r="B40" s="221" t="s">
        <v>30</v>
      </c>
      <c r="C40" s="250"/>
      <c r="D40" s="223" t="s">
        <v>177</v>
      </c>
      <c r="E40" s="250" t="s">
        <v>6</v>
      </c>
      <c r="F40" s="251"/>
      <c r="G40" s="252" t="s">
        <v>4</v>
      </c>
      <c r="H40" s="253"/>
      <c r="J40" s="187"/>
    </row>
    <row r="41" spans="2:10" s="179" customFormat="1" ht="29.25" customHeight="1">
      <c r="B41" s="281" t="s">
        <v>174</v>
      </c>
      <c r="C41" s="303"/>
      <c r="D41" s="283" t="s">
        <v>178</v>
      </c>
      <c r="E41" s="303"/>
      <c r="F41" s="304"/>
      <c r="G41" s="305"/>
      <c r="H41" s="306"/>
      <c r="J41" s="187"/>
    </row>
    <row r="42" spans="2:10" s="170" customFormat="1" ht="54" customHeight="1">
      <c r="B42" s="180" t="s">
        <v>175</v>
      </c>
      <c r="C42" s="181" t="s">
        <v>182</v>
      </c>
      <c r="D42" s="262" t="s">
        <v>793</v>
      </c>
      <c r="E42" s="166" t="s">
        <v>145</v>
      </c>
      <c r="F42" s="307">
        <v>1</v>
      </c>
      <c r="G42" s="183">
        <f>COMPOSIÇÕES!B333</f>
        <v>141.10074170510001</v>
      </c>
      <c r="H42" s="184">
        <f t="shared" ref="H42" si="6">TRUNC(F42*G42,2)</f>
        <v>141.1</v>
      </c>
    </row>
    <row r="43" spans="2:10" s="170" customFormat="1" ht="49.5" customHeight="1">
      <c r="B43" s="180" t="s">
        <v>188</v>
      </c>
      <c r="C43" s="181" t="s">
        <v>183</v>
      </c>
      <c r="D43" s="185" t="s">
        <v>794</v>
      </c>
      <c r="E43" s="166" t="s">
        <v>145</v>
      </c>
      <c r="F43" s="182">
        <v>6</v>
      </c>
      <c r="G43" s="183">
        <f>COMPOSIÇÕES!B505</f>
        <v>153.45257223690001</v>
      </c>
      <c r="H43" s="169">
        <f>TRUNC(F43*G43,2)</f>
        <v>920.71</v>
      </c>
      <c r="J43" s="188"/>
    </row>
    <row r="44" spans="2:10" s="170" customFormat="1" ht="37.5" customHeight="1">
      <c r="B44" s="180" t="s">
        <v>713</v>
      </c>
      <c r="C44" s="164" t="s">
        <v>818</v>
      </c>
      <c r="D44" s="287" t="s">
        <v>819</v>
      </c>
      <c r="E44" s="166" t="s">
        <v>145</v>
      </c>
      <c r="F44" s="182">
        <v>4</v>
      </c>
      <c r="G44" s="168">
        <f>COMPOSIÇÕES!B552</f>
        <v>415.11151591510003</v>
      </c>
      <c r="H44" s="169">
        <f t="shared" ref="H44:H45" si="7">TRUNC(F44*G44,2)</f>
        <v>1660.44</v>
      </c>
      <c r="J44" s="188"/>
    </row>
    <row r="45" spans="2:10" s="170" customFormat="1" ht="39.75" customHeight="1">
      <c r="B45" s="180" t="s">
        <v>714</v>
      </c>
      <c r="C45" s="164" t="s">
        <v>822</v>
      </c>
      <c r="D45" s="555" t="s">
        <v>823</v>
      </c>
      <c r="E45" s="166" t="s">
        <v>145</v>
      </c>
      <c r="F45" s="182">
        <v>9</v>
      </c>
      <c r="G45" s="168">
        <f>COMPOSIÇÕES!B570</f>
        <v>414.49607783009998</v>
      </c>
      <c r="H45" s="169">
        <f t="shared" si="7"/>
        <v>3730.46</v>
      </c>
      <c r="J45" s="188"/>
    </row>
    <row r="46" spans="2:10" s="179" customFormat="1" ht="32.25" customHeight="1">
      <c r="B46" s="221"/>
      <c r="C46" s="250"/>
      <c r="D46" s="260" t="s">
        <v>176</v>
      </c>
      <c r="E46" s="250"/>
      <c r="F46" s="251"/>
      <c r="G46" s="252"/>
      <c r="H46" s="253">
        <f>SUM(H42:H45)</f>
        <v>6452.71</v>
      </c>
    </row>
    <row r="47" spans="2:10" s="155" customFormat="1" ht="16.5" customHeight="1">
      <c r="B47" s="254"/>
      <c r="C47" s="255"/>
      <c r="D47" s="256"/>
      <c r="E47" s="255"/>
      <c r="F47" s="257"/>
      <c r="G47" s="258"/>
      <c r="H47" s="259"/>
    </row>
    <row r="48" spans="2:10" s="179" customFormat="1" ht="39.75" customHeight="1">
      <c r="B48" s="308" t="s">
        <v>31</v>
      </c>
      <c r="C48" s="310"/>
      <c r="D48" s="309" t="s">
        <v>124</v>
      </c>
      <c r="E48" s="175" t="s">
        <v>6</v>
      </c>
      <c r="F48" s="176"/>
      <c r="G48" s="177" t="s">
        <v>4</v>
      </c>
      <c r="H48" s="178"/>
    </row>
    <row r="49" spans="2:9" s="170" customFormat="1" ht="30.75" customHeight="1">
      <c r="B49" s="180" t="s">
        <v>18</v>
      </c>
      <c r="C49" s="288" t="s">
        <v>180</v>
      </c>
      <c r="D49" s="287" t="s">
        <v>797</v>
      </c>
      <c r="E49" s="288" t="s">
        <v>13</v>
      </c>
      <c r="F49" s="289">
        <f>memoria!I59</f>
        <v>107.87</v>
      </c>
      <c r="G49" s="290">
        <f>COMPOSIÇÕES!B591</f>
        <v>250.06115279619999</v>
      </c>
      <c r="H49" s="291">
        <f t="shared" ref="H49:H51" si="8">TRUNC(F49*G49,2)</f>
        <v>26974.09</v>
      </c>
    </row>
    <row r="50" spans="2:9" s="170" customFormat="1" ht="33" customHeight="1">
      <c r="B50" s="180" t="s">
        <v>715</v>
      </c>
      <c r="C50" s="288" t="s">
        <v>180</v>
      </c>
      <c r="D50" s="287" t="s">
        <v>796</v>
      </c>
      <c r="E50" s="288" t="s">
        <v>13</v>
      </c>
      <c r="F50" s="289">
        <f>memoria!Q58</f>
        <v>5.88</v>
      </c>
      <c r="G50" s="290">
        <f>COMPOSIÇÕES!B591</f>
        <v>250.06115279619999</v>
      </c>
      <c r="H50" s="291">
        <f t="shared" si="8"/>
        <v>1470.35</v>
      </c>
    </row>
    <row r="51" spans="2:9" s="170" customFormat="1" ht="27.75" customHeight="1">
      <c r="B51" s="180" t="s">
        <v>716</v>
      </c>
      <c r="C51" s="288" t="s">
        <v>180</v>
      </c>
      <c r="D51" s="287" t="s">
        <v>795</v>
      </c>
      <c r="E51" s="288" t="s">
        <v>13</v>
      </c>
      <c r="F51" s="289">
        <f>memoria!O61</f>
        <v>2.1210000000000004</v>
      </c>
      <c r="G51" s="290">
        <f>COMPOSIÇÕES!B591</f>
        <v>250.06115279619999</v>
      </c>
      <c r="H51" s="291">
        <f t="shared" si="8"/>
        <v>530.37</v>
      </c>
    </row>
    <row r="52" spans="2:9" s="179" customFormat="1" ht="29.25" customHeight="1">
      <c r="B52" s="311"/>
      <c r="C52" s="314"/>
      <c r="D52" s="313" t="s">
        <v>717</v>
      </c>
      <c r="E52" s="191"/>
      <c r="F52" s="192"/>
      <c r="G52" s="193"/>
      <c r="H52" s="194">
        <f>SUM(H49:H51)</f>
        <v>28974.809999999998</v>
      </c>
    </row>
    <row r="53" spans="2:9" s="179" customFormat="1" ht="17.25" customHeight="1">
      <c r="B53" s="312"/>
      <c r="C53" s="315"/>
      <c r="D53" s="316"/>
      <c r="E53" s="318"/>
      <c r="F53" s="319"/>
      <c r="G53" s="320"/>
      <c r="H53" s="317"/>
    </row>
    <row r="54" spans="2:9" s="179" customFormat="1" ht="26.25" customHeight="1">
      <c r="B54" s="308" t="s">
        <v>104</v>
      </c>
      <c r="C54" s="310"/>
      <c r="D54" s="321" t="s">
        <v>190</v>
      </c>
      <c r="E54" s="310"/>
      <c r="F54" s="323"/>
      <c r="G54" s="324"/>
      <c r="H54" s="322"/>
    </row>
    <row r="55" spans="2:9" s="179" customFormat="1" ht="27.75" customHeight="1">
      <c r="B55" s="195" t="s">
        <v>103</v>
      </c>
      <c r="C55" s="196" t="s">
        <v>191</v>
      </c>
      <c r="D55" s="197" t="s">
        <v>192</v>
      </c>
      <c r="E55" s="196" t="s">
        <v>13</v>
      </c>
      <c r="F55" s="198">
        <f>memoria!B87</f>
        <v>113.75</v>
      </c>
      <c r="G55" s="199">
        <f>COMPOSIÇÕES!B607</f>
        <v>6.111348143499999</v>
      </c>
      <c r="H55" s="200">
        <f>F55*G55</f>
        <v>695.16585132312491</v>
      </c>
      <c r="I55" s="170"/>
    </row>
    <row r="56" spans="2:9" s="179" customFormat="1" ht="29.25" customHeight="1">
      <c r="B56" s="308"/>
      <c r="C56" s="310"/>
      <c r="D56" s="321" t="s">
        <v>102</v>
      </c>
      <c r="E56" s="310"/>
      <c r="F56" s="323"/>
      <c r="G56" s="324"/>
      <c r="H56" s="322">
        <f>SUM(H55:H55)</f>
        <v>695.16585132312491</v>
      </c>
    </row>
    <row r="57" spans="2:9" s="179" customFormat="1" ht="29.25" customHeight="1">
      <c r="B57" s="325"/>
      <c r="C57" s="326"/>
      <c r="D57" s="327"/>
      <c r="E57" s="326"/>
      <c r="F57" s="328"/>
      <c r="G57" s="334"/>
      <c r="H57" s="261"/>
    </row>
    <row r="58" spans="2:9" s="179" customFormat="1" ht="34.5" customHeight="1">
      <c r="B58" s="329"/>
      <c r="C58" s="330"/>
      <c r="D58" s="331" t="s">
        <v>724</v>
      </c>
      <c r="E58" s="330"/>
      <c r="F58" s="332"/>
      <c r="G58" s="335"/>
      <c r="H58" s="333">
        <f>H13+H27+H32+H38+H46+H52+H56</f>
        <v>94951.585851323107</v>
      </c>
    </row>
    <row r="59" spans="2:9" s="170" customFormat="1" ht="42" customHeight="1">
      <c r="B59" s="616" t="s">
        <v>827</v>
      </c>
      <c r="C59" s="617"/>
      <c r="D59" s="617"/>
      <c r="E59" s="617"/>
      <c r="F59" s="617"/>
      <c r="G59" s="617"/>
      <c r="H59" s="618"/>
    </row>
    <row r="60" spans="2:9" ht="63" customHeight="1">
      <c r="B60" s="619" t="s">
        <v>825</v>
      </c>
      <c r="C60" s="620"/>
      <c r="D60" s="620"/>
      <c r="E60" s="620"/>
      <c r="F60" s="620"/>
      <c r="G60" s="620"/>
      <c r="H60" s="621"/>
    </row>
    <row r="61" spans="2:9" ht="17.25" customHeight="1" thickBot="1">
      <c r="B61" s="238"/>
      <c r="C61" s="202"/>
      <c r="D61" s="203"/>
      <c r="E61" s="204"/>
      <c r="F61" s="205"/>
      <c r="G61" s="205"/>
      <c r="H61" s="206"/>
    </row>
    <row r="62" spans="2:9" ht="19.5" customHeight="1">
      <c r="B62" s="239"/>
      <c r="C62" s="207"/>
      <c r="D62" s="208"/>
      <c r="E62" s="207"/>
      <c r="F62" s="209"/>
      <c r="G62" s="209"/>
      <c r="H62" s="209"/>
    </row>
    <row r="63" spans="2:9" ht="18" customHeight="1">
      <c r="B63" s="240"/>
      <c r="C63" s="210"/>
      <c r="D63" s="211"/>
      <c r="E63" s="210"/>
      <c r="F63" s="212"/>
      <c r="G63" s="212"/>
      <c r="H63" s="556" t="s">
        <v>826</v>
      </c>
    </row>
    <row r="64" spans="2:9" ht="20.25" customHeight="1">
      <c r="B64" s="240"/>
      <c r="C64" s="210"/>
      <c r="D64" s="211"/>
      <c r="E64" s="210"/>
      <c r="F64" s="212"/>
      <c r="G64" s="212"/>
      <c r="H64" s="212"/>
    </row>
    <row r="65" ht="22.5" customHeight="1"/>
    <row r="66" ht="18" customHeight="1"/>
    <row r="67" ht="21.75" customHeight="1"/>
    <row r="68" ht="18.75" customHeight="1"/>
    <row r="69" ht="20.25" customHeight="1"/>
    <row r="70" ht="21.75" customHeight="1"/>
  </sheetData>
  <mergeCells count="4">
    <mergeCell ref="F1:H2"/>
    <mergeCell ref="B59:H59"/>
    <mergeCell ref="B60:H60"/>
    <mergeCell ref="B1:C2"/>
  </mergeCells>
  <printOptions horizontalCentered="1" verticalCentered="1"/>
  <pageMargins left="0.70866141732283472" right="0.31496062992125984" top="0.39370078740157483" bottom="0.39370078740157483" header="0" footer="0"/>
  <pageSetup paperSize="9" scale="60" fitToHeight="0" orientation="portrait" r:id="rId1"/>
  <headerFooter>
    <oddFooter>Página &amp;P de &amp;N</oddFooter>
  </headerFooter>
  <rowBreaks count="1" manualBreakCount="1">
    <brk id="32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74"/>
  <sheetViews>
    <sheetView showGridLines="0" view="pageBreakPreview" topLeftCell="A535" zoomScale="115" zoomScaleSheetLayoutView="115" workbookViewId="0">
      <selection activeCell="K540" sqref="K540"/>
    </sheetView>
  </sheetViews>
  <sheetFormatPr defaultRowHeight="11.25"/>
  <cols>
    <col min="1" max="1" width="11.5703125" style="145" customWidth="1"/>
    <col min="2" max="2" width="36.7109375" style="147" customWidth="1"/>
    <col min="3" max="3" width="6.85546875" style="146" customWidth="1"/>
    <col min="4" max="4" width="7.28515625" style="145" customWidth="1"/>
    <col min="5" max="5" width="9.5703125" style="147" customWidth="1"/>
    <col min="6" max="6" width="14.7109375" style="147" customWidth="1"/>
    <col min="7" max="7" width="12.7109375" style="147" customWidth="1"/>
    <col min="8" max="8" width="7.7109375" style="145" customWidth="1"/>
    <col min="9" max="249" width="9.140625" style="145"/>
    <col min="250" max="250" width="5.85546875" style="145" customWidth="1"/>
    <col min="251" max="251" width="50.42578125" style="145" customWidth="1"/>
    <col min="252" max="255" width="7.7109375" style="145" customWidth="1"/>
    <col min="256" max="256" width="10.140625" style="145" customWidth="1"/>
    <col min="257" max="260" width="7.7109375" style="145" customWidth="1"/>
    <col min="261" max="261" width="31.7109375" style="145" bestFit="1" customWidth="1"/>
    <col min="262" max="505" width="9.140625" style="145"/>
    <col min="506" max="506" width="5.85546875" style="145" customWidth="1"/>
    <col min="507" max="507" width="50.42578125" style="145" customWidth="1"/>
    <col min="508" max="511" width="7.7109375" style="145" customWidth="1"/>
    <col min="512" max="512" width="10.140625" style="145" customWidth="1"/>
    <col min="513" max="516" width="7.7109375" style="145" customWidth="1"/>
    <col min="517" max="517" width="31.7109375" style="145" bestFit="1" customWidth="1"/>
    <col min="518" max="761" width="9.140625" style="145"/>
    <col min="762" max="762" width="5.85546875" style="145" customWidth="1"/>
    <col min="763" max="763" width="50.42578125" style="145" customWidth="1"/>
    <col min="764" max="767" width="7.7109375" style="145" customWidth="1"/>
    <col min="768" max="768" width="10.140625" style="145" customWidth="1"/>
    <col min="769" max="772" width="7.7109375" style="145" customWidth="1"/>
    <col min="773" max="773" width="31.7109375" style="145" bestFit="1" customWidth="1"/>
    <col min="774" max="1017" width="9.140625" style="145"/>
    <col min="1018" max="1018" width="5.85546875" style="145" customWidth="1"/>
    <col min="1019" max="1019" width="50.42578125" style="145" customWidth="1"/>
    <col min="1020" max="1023" width="7.7109375" style="145" customWidth="1"/>
    <col min="1024" max="1024" width="10.140625" style="145" customWidth="1"/>
    <col min="1025" max="1028" width="7.7109375" style="145" customWidth="1"/>
    <col min="1029" max="1029" width="31.7109375" style="145" bestFit="1" customWidth="1"/>
    <col min="1030" max="1273" width="9.140625" style="145"/>
    <col min="1274" max="1274" width="5.85546875" style="145" customWidth="1"/>
    <col min="1275" max="1275" width="50.42578125" style="145" customWidth="1"/>
    <col min="1276" max="1279" width="7.7109375" style="145" customWidth="1"/>
    <col min="1280" max="1280" width="10.140625" style="145" customWidth="1"/>
    <col min="1281" max="1284" width="7.7109375" style="145" customWidth="1"/>
    <col min="1285" max="1285" width="31.7109375" style="145" bestFit="1" customWidth="1"/>
    <col min="1286" max="1529" width="9.140625" style="145"/>
    <col min="1530" max="1530" width="5.85546875" style="145" customWidth="1"/>
    <col min="1531" max="1531" width="50.42578125" style="145" customWidth="1"/>
    <col min="1532" max="1535" width="7.7109375" style="145" customWidth="1"/>
    <col min="1536" max="1536" width="10.140625" style="145" customWidth="1"/>
    <col min="1537" max="1540" width="7.7109375" style="145" customWidth="1"/>
    <col min="1541" max="1541" width="31.7109375" style="145" bestFit="1" customWidth="1"/>
    <col min="1542" max="1785" width="9.140625" style="145"/>
    <col min="1786" max="1786" width="5.85546875" style="145" customWidth="1"/>
    <col min="1787" max="1787" width="50.42578125" style="145" customWidth="1"/>
    <col min="1788" max="1791" width="7.7109375" style="145" customWidth="1"/>
    <col min="1792" max="1792" width="10.140625" style="145" customWidth="1"/>
    <col min="1793" max="1796" width="7.7109375" style="145" customWidth="1"/>
    <col min="1797" max="1797" width="31.7109375" style="145" bestFit="1" customWidth="1"/>
    <col min="1798" max="2041" width="9.140625" style="145"/>
    <col min="2042" max="2042" width="5.85546875" style="145" customWidth="1"/>
    <col min="2043" max="2043" width="50.42578125" style="145" customWidth="1"/>
    <col min="2044" max="2047" width="7.7109375" style="145" customWidth="1"/>
    <col min="2048" max="2048" width="10.140625" style="145" customWidth="1"/>
    <col min="2049" max="2052" width="7.7109375" style="145" customWidth="1"/>
    <col min="2053" max="2053" width="31.7109375" style="145" bestFit="1" customWidth="1"/>
    <col min="2054" max="2297" width="9.140625" style="145"/>
    <col min="2298" max="2298" width="5.85546875" style="145" customWidth="1"/>
    <col min="2299" max="2299" width="50.42578125" style="145" customWidth="1"/>
    <col min="2300" max="2303" width="7.7109375" style="145" customWidth="1"/>
    <col min="2304" max="2304" width="10.140625" style="145" customWidth="1"/>
    <col min="2305" max="2308" width="7.7109375" style="145" customWidth="1"/>
    <col min="2309" max="2309" width="31.7109375" style="145" bestFit="1" customWidth="1"/>
    <col min="2310" max="2553" width="9.140625" style="145"/>
    <col min="2554" max="2554" width="5.85546875" style="145" customWidth="1"/>
    <col min="2555" max="2555" width="50.42578125" style="145" customWidth="1"/>
    <col min="2556" max="2559" width="7.7109375" style="145" customWidth="1"/>
    <col min="2560" max="2560" width="10.140625" style="145" customWidth="1"/>
    <col min="2561" max="2564" width="7.7109375" style="145" customWidth="1"/>
    <col min="2565" max="2565" width="31.7109375" style="145" bestFit="1" customWidth="1"/>
    <col min="2566" max="2809" width="9.140625" style="145"/>
    <col min="2810" max="2810" width="5.85546875" style="145" customWidth="1"/>
    <col min="2811" max="2811" width="50.42578125" style="145" customWidth="1"/>
    <col min="2812" max="2815" width="7.7109375" style="145" customWidth="1"/>
    <col min="2816" max="2816" width="10.140625" style="145" customWidth="1"/>
    <col min="2817" max="2820" width="7.7109375" style="145" customWidth="1"/>
    <col min="2821" max="2821" width="31.7109375" style="145" bestFit="1" customWidth="1"/>
    <col min="2822" max="3065" width="9.140625" style="145"/>
    <col min="3066" max="3066" width="5.85546875" style="145" customWidth="1"/>
    <col min="3067" max="3067" width="50.42578125" style="145" customWidth="1"/>
    <col min="3068" max="3071" width="7.7109375" style="145" customWidth="1"/>
    <col min="3072" max="3072" width="10.140625" style="145" customWidth="1"/>
    <col min="3073" max="3076" width="7.7109375" style="145" customWidth="1"/>
    <col min="3077" max="3077" width="31.7109375" style="145" bestFit="1" customWidth="1"/>
    <col min="3078" max="3321" width="9.140625" style="145"/>
    <col min="3322" max="3322" width="5.85546875" style="145" customWidth="1"/>
    <col min="3323" max="3323" width="50.42578125" style="145" customWidth="1"/>
    <col min="3324" max="3327" width="7.7109375" style="145" customWidth="1"/>
    <col min="3328" max="3328" width="10.140625" style="145" customWidth="1"/>
    <col min="3329" max="3332" width="7.7109375" style="145" customWidth="1"/>
    <col min="3333" max="3333" width="31.7109375" style="145" bestFit="1" customWidth="1"/>
    <col min="3334" max="3577" width="9.140625" style="145"/>
    <col min="3578" max="3578" width="5.85546875" style="145" customWidth="1"/>
    <col min="3579" max="3579" width="50.42578125" style="145" customWidth="1"/>
    <col min="3580" max="3583" width="7.7109375" style="145" customWidth="1"/>
    <col min="3584" max="3584" width="10.140625" style="145" customWidth="1"/>
    <col min="3585" max="3588" width="7.7109375" style="145" customWidth="1"/>
    <col min="3589" max="3589" width="31.7109375" style="145" bestFit="1" customWidth="1"/>
    <col min="3590" max="3833" width="9.140625" style="145"/>
    <col min="3834" max="3834" width="5.85546875" style="145" customWidth="1"/>
    <col min="3835" max="3835" width="50.42578125" style="145" customWidth="1"/>
    <col min="3836" max="3839" width="7.7109375" style="145" customWidth="1"/>
    <col min="3840" max="3840" width="10.140625" style="145" customWidth="1"/>
    <col min="3841" max="3844" width="7.7109375" style="145" customWidth="1"/>
    <col min="3845" max="3845" width="31.7109375" style="145" bestFit="1" customWidth="1"/>
    <col min="3846" max="4089" width="9.140625" style="145"/>
    <col min="4090" max="4090" width="5.85546875" style="145" customWidth="1"/>
    <col min="4091" max="4091" width="50.42578125" style="145" customWidth="1"/>
    <col min="4092" max="4095" width="7.7109375" style="145" customWidth="1"/>
    <col min="4096" max="4096" width="10.140625" style="145" customWidth="1"/>
    <col min="4097" max="4100" width="7.7109375" style="145" customWidth="1"/>
    <col min="4101" max="4101" width="31.7109375" style="145" bestFit="1" customWidth="1"/>
    <col min="4102" max="4345" width="9.140625" style="145"/>
    <col min="4346" max="4346" width="5.85546875" style="145" customWidth="1"/>
    <col min="4347" max="4347" width="50.42578125" style="145" customWidth="1"/>
    <col min="4348" max="4351" width="7.7109375" style="145" customWidth="1"/>
    <col min="4352" max="4352" width="10.140625" style="145" customWidth="1"/>
    <col min="4353" max="4356" width="7.7109375" style="145" customWidth="1"/>
    <col min="4357" max="4357" width="31.7109375" style="145" bestFit="1" customWidth="1"/>
    <col min="4358" max="4601" width="9.140625" style="145"/>
    <col min="4602" max="4602" width="5.85546875" style="145" customWidth="1"/>
    <col min="4603" max="4603" width="50.42578125" style="145" customWidth="1"/>
    <col min="4604" max="4607" width="7.7109375" style="145" customWidth="1"/>
    <col min="4608" max="4608" width="10.140625" style="145" customWidth="1"/>
    <col min="4609" max="4612" width="7.7109375" style="145" customWidth="1"/>
    <col min="4613" max="4613" width="31.7109375" style="145" bestFit="1" customWidth="1"/>
    <col min="4614" max="4857" width="9.140625" style="145"/>
    <col min="4858" max="4858" width="5.85546875" style="145" customWidth="1"/>
    <col min="4859" max="4859" width="50.42578125" style="145" customWidth="1"/>
    <col min="4860" max="4863" width="7.7109375" style="145" customWidth="1"/>
    <col min="4864" max="4864" width="10.140625" style="145" customWidth="1"/>
    <col min="4865" max="4868" width="7.7109375" style="145" customWidth="1"/>
    <col min="4869" max="4869" width="31.7109375" style="145" bestFit="1" customWidth="1"/>
    <col min="4870" max="5113" width="9.140625" style="145"/>
    <col min="5114" max="5114" width="5.85546875" style="145" customWidth="1"/>
    <col min="5115" max="5115" width="50.42578125" style="145" customWidth="1"/>
    <col min="5116" max="5119" width="7.7109375" style="145" customWidth="1"/>
    <col min="5120" max="5120" width="10.140625" style="145" customWidth="1"/>
    <col min="5121" max="5124" width="7.7109375" style="145" customWidth="1"/>
    <col min="5125" max="5125" width="31.7109375" style="145" bestFit="1" customWidth="1"/>
    <col min="5126" max="5369" width="9.140625" style="145"/>
    <col min="5370" max="5370" width="5.85546875" style="145" customWidth="1"/>
    <col min="5371" max="5371" width="50.42578125" style="145" customWidth="1"/>
    <col min="5372" max="5375" width="7.7109375" style="145" customWidth="1"/>
    <col min="5376" max="5376" width="10.140625" style="145" customWidth="1"/>
    <col min="5377" max="5380" width="7.7109375" style="145" customWidth="1"/>
    <col min="5381" max="5381" width="31.7109375" style="145" bestFit="1" customWidth="1"/>
    <col min="5382" max="5625" width="9.140625" style="145"/>
    <col min="5626" max="5626" width="5.85546875" style="145" customWidth="1"/>
    <col min="5627" max="5627" width="50.42578125" style="145" customWidth="1"/>
    <col min="5628" max="5631" width="7.7109375" style="145" customWidth="1"/>
    <col min="5632" max="5632" width="10.140625" style="145" customWidth="1"/>
    <col min="5633" max="5636" width="7.7109375" style="145" customWidth="1"/>
    <col min="5637" max="5637" width="31.7109375" style="145" bestFit="1" customWidth="1"/>
    <col min="5638" max="5881" width="9.140625" style="145"/>
    <col min="5882" max="5882" width="5.85546875" style="145" customWidth="1"/>
    <col min="5883" max="5883" width="50.42578125" style="145" customWidth="1"/>
    <col min="5884" max="5887" width="7.7109375" style="145" customWidth="1"/>
    <col min="5888" max="5888" width="10.140625" style="145" customWidth="1"/>
    <col min="5889" max="5892" width="7.7109375" style="145" customWidth="1"/>
    <col min="5893" max="5893" width="31.7109375" style="145" bestFit="1" customWidth="1"/>
    <col min="5894" max="6137" width="9.140625" style="145"/>
    <col min="6138" max="6138" width="5.85546875" style="145" customWidth="1"/>
    <col min="6139" max="6139" width="50.42578125" style="145" customWidth="1"/>
    <col min="6140" max="6143" width="7.7109375" style="145" customWidth="1"/>
    <col min="6144" max="6144" width="10.140625" style="145" customWidth="1"/>
    <col min="6145" max="6148" width="7.7109375" style="145" customWidth="1"/>
    <col min="6149" max="6149" width="31.7109375" style="145" bestFit="1" customWidth="1"/>
    <col min="6150" max="6393" width="9.140625" style="145"/>
    <col min="6394" max="6394" width="5.85546875" style="145" customWidth="1"/>
    <col min="6395" max="6395" width="50.42578125" style="145" customWidth="1"/>
    <col min="6396" max="6399" width="7.7109375" style="145" customWidth="1"/>
    <col min="6400" max="6400" width="10.140625" style="145" customWidth="1"/>
    <col min="6401" max="6404" width="7.7109375" style="145" customWidth="1"/>
    <col min="6405" max="6405" width="31.7109375" style="145" bestFit="1" customWidth="1"/>
    <col min="6406" max="6649" width="9.140625" style="145"/>
    <col min="6650" max="6650" width="5.85546875" style="145" customWidth="1"/>
    <col min="6651" max="6651" width="50.42578125" style="145" customWidth="1"/>
    <col min="6652" max="6655" width="7.7109375" style="145" customWidth="1"/>
    <col min="6656" max="6656" width="10.140625" style="145" customWidth="1"/>
    <col min="6657" max="6660" width="7.7109375" style="145" customWidth="1"/>
    <col min="6661" max="6661" width="31.7109375" style="145" bestFit="1" customWidth="1"/>
    <col min="6662" max="6905" width="9.140625" style="145"/>
    <col min="6906" max="6906" width="5.85546875" style="145" customWidth="1"/>
    <col min="6907" max="6907" width="50.42578125" style="145" customWidth="1"/>
    <col min="6908" max="6911" width="7.7109375" style="145" customWidth="1"/>
    <col min="6912" max="6912" width="10.140625" style="145" customWidth="1"/>
    <col min="6913" max="6916" width="7.7109375" style="145" customWidth="1"/>
    <col min="6917" max="6917" width="31.7109375" style="145" bestFit="1" customWidth="1"/>
    <col min="6918" max="7161" width="9.140625" style="145"/>
    <col min="7162" max="7162" width="5.85546875" style="145" customWidth="1"/>
    <col min="7163" max="7163" width="50.42578125" style="145" customWidth="1"/>
    <col min="7164" max="7167" width="7.7109375" style="145" customWidth="1"/>
    <col min="7168" max="7168" width="10.140625" style="145" customWidth="1"/>
    <col min="7169" max="7172" width="7.7109375" style="145" customWidth="1"/>
    <col min="7173" max="7173" width="31.7109375" style="145" bestFit="1" customWidth="1"/>
    <col min="7174" max="7417" width="9.140625" style="145"/>
    <col min="7418" max="7418" width="5.85546875" style="145" customWidth="1"/>
    <col min="7419" max="7419" width="50.42578125" style="145" customWidth="1"/>
    <col min="7420" max="7423" width="7.7109375" style="145" customWidth="1"/>
    <col min="7424" max="7424" width="10.140625" style="145" customWidth="1"/>
    <col min="7425" max="7428" width="7.7109375" style="145" customWidth="1"/>
    <col min="7429" max="7429" width="31.7109375" style="145" bestFit="1" customWidth="1"/>
    <col min="7430" max="7673" width="9.140625" style="145"/>
    <col min="7674" max="7674" width="5.85546875" style="145" customWidth="1"/>
    <col min="7675" max="7675" width="50.42578125" style="145" customWidth="1"/>
    <col min="7676" max="7679" width="7.7109375" style="145" customWidth="1"/>
    <col min="7680" max="7680" width="10.140625" style="145" customWidth="1"/>
    <col min="7681" max="7684" width="7.7109375" style="145" customWidth="1"/>
    <col min="7685" max="7685" width="31.7109375" style="145" bestFit="1" customWidth="1"/>
    <col min="7686" max="7929" width="9.140625" style="145"/>
    <col min="7930" max="7930" width="5.85546875" style="145" customWidth="1"/>
    <col min="7931" max="7931" width="50.42578125" style="145" customWidth="1"/>
    <col min="7932" max="7935" width="7.7109375" style="145" customWidth="1"/>
    <col min="7936" max="7936" width="10.140625" style="145" customWidth="1"/>
    <col min="7937" max="7940" width="7.7109375" style="145" customWidth="1"/>
    <col min="7941" max="7941" width="31.7109375" style="145" bestFit="1" customWidth="1"/>
    <col min="7942" max="8185" width="9.140625" style="145"/>
    <col min="8186" max="8186" width="5.85546875" style="145" customWidth="1"/>
    <col min="8187" max="8187" width="50.42578125" style="145" customWidth="1"/>
    <col min="8188" max="8191" width="7.7109375" style="145" customWidth="1"/>
    <col min="8192" max="8192" width="10.140625" style="145" customWidth="1"/>
    <col min="8193" max="8196" width="7.7109375" style="145" customWidth="1"/>
    <col min="8197" max="8197" width="31.7109375" style="145" bestFit="1" customWidth="1"/>
    <col min="8198" max="8441" width="9.140625" style="145"/>
    <col min="8442" max="8442" width="5.85546875" style="145" customWidth="1"/>
    <col min="8443" max="8443" width="50.42578125" style="145" customWidth="1"/>
    <col min="8444" max="8447" width="7.7109375" style="145" customWidth="1"/>
    <col min="8448" max="8448" width="10.140625" style="145" customWidth="1"/>
    <col min="8449" max="8452" width="7.7109375" style="145" customWidth="1"/>
    <col min="8453" max="8453" width="31.7109375" style="145" bestFit="1" customWidth="1"/>
    <col min="8454" max="8697" width="9.140625" style="145"/>
    <col min="8698" max="8698" width="5.85546875" style="145" customWidth="1"/>
    <col min="8699" max="8699" width="50.42578125" style="145" customWidth="1"/>
    <col min="8700" max="8703" width="7.7109375" style="145" customWidth="1"/>
    <col min="8704" max="8704" width="10.140625" style="145" customWidth="1"/>
    <col min="8705" max="8708" width="7.7109375" style="145" customWidth="1"/>
    <col min="8709" max="8709" width="31.7109375" style="145" bestFit="1" customWidth="1"/>
    <col min="8710" max="8953" width="9.140625" style="145"/>
    <col min="8954" max="8954" width="5.85546875" style="145" customWidth="1"/>
    <col min="8955" max="8955" width="50.42578125" style="145" customWidth="1"/>
    <col min="8956" max="8959" width="7.7109375" style="145" customWidth="1"/>
    <col min="8960" max="8960" width="10.140625" style="145" customWidth="1"/>
    <col min="8961" max="8964" width="7.7109375" style="145" customWidth="1"/>
    <col min="8965" max="8965" width="31.7109375" style="145" bestFit="1" customWidth="1"/>
    <col min="8966" max="9209" width="9.140625" style="145"/>
    <col min="9210" max="9210" width="5.85546875" style="145" customWidth="1"/>
    <col min="9211" max="9211" width="50.42578125" style="145" customWidth="1"/>
    <col min="9212" max="9215" width="7.7109375" style="145" customWidth="1"/>
    <col min="9216" max="9216" width="10.140625" style="145" customWidth="1"/>
    <col min="9217" max="9220" width="7.7109375" style="145" customWidth="1"/>
    <col min="9221" max="9221" width="31.7109375" style="145" bestFit="1" customWidth="1"/>
    <col min="9222" max="9465" width="9.140625" style="145"/>
    <col min="9466" max="9466" width="5.85546875" style="145" customWidth="1"/>
    <col min="9467" max="9467" width="50.42578125" style="145" customWidth="1"/>
    <col min="9468" max="9471" width="7.7109375" style="145" customWidth="1"/>
    <col min="9472" max="9472" width="10.140625" style="145" customWidth="1"/>
    <col min="9473" max="9476" width="7.7109375" style="145" customWidth="1"/>
    <col min="9477" max="9477" width="31.7109375" style="145" bestFit="1" customWidth="1"/>
    <col min="9478" max="9721" width="9.140625" style="145"/>
    <col min="9722" max="9722" width="5.85546875" style="145" customWidth="1"/>
    <col min="9723" max="9723" width="50.42578125" style="145" customWidth="1"/>
    <col min="9724" max="9727" width="7.7109375" style="145" customWidth="1"/>
    <col min="9728" max="9728" width="10.140625" style="145" customWidth="1"/>
    <col min="9729" max="9732" width="7.7109375" style="145" customWidth="1"/>
    <col min="9733" max="9733" width="31.7109375" style="145" bestFit="1" customWidth="1"/>
    <col min="9734" max="9977" width="9.140625" style="145"/>
    <col min="9978" max="9978" width="5.85546875" style="145" customWidth="1"/>
    <col min="9979" max="9979" width="50.42578125" style="145" customWidth="1"/>
    <col min="9980" max="9983" width="7.7109375" style="145" customWidth="1"/>
    <col min="9984" max="9984" width="10.140625" style="145" customWidth="1"/>
    <col min="9985" max="9988" width="7.7109375" style="145" customWidth="1"/>
    <col min="9989" max="9989" width="31.7109375" style="145" bestFit="1" customWidth="1"/>
    <col min="9990" max="10233" width="9.140625" style="145"/>
    <col min="10234" max="10234" width="5.85546875" style="145" customWidth="1"/>
    <col min="10235" max="10235" width="50.42578125" style="145" customWidth="1"/>
    <col min="10236" max="10239" width="7.7109375" style="145" customWidth="1"/>
    <col min="10240" max="10240" width="10.140625" style="145" customWidth="1"/>
    <col min="10241" max="10244" width="7.7109375" style="145" customWidth="1"/>
    <col min="10245" max="10245" width="31.7109375" style="145" bestFit="1" customWidth="1"/>
    <col min="10246" max="10489" width="9.140625" style="145"/>
    <col min="10490" max="10490" width="5.85546875" style="145" customWidth="1"/>
    <col min="10491" max="10491" width="50.42578125" style="145" customWidth="1"/>
    <col min="10492" max="10495" width="7.7109375" style="145" customWidth="1"/>
    <col min="10496" max="10496" width="10.140625" style="145" customWidth="1"/>
    <col min="10497" max="10500" width="7.7109375" style="145" customWidth="1"/>
    <col min="10501" max="10501" width="31.7109375" style="145" bestFit="1" customWidth="1"/>
    <col min="10502" max="10745" width="9.140625" style="145"/>
    <col min="10746" max="10746" width="5.85546875" style="145" customWidth="1"/>
    <col min="10747" max="10747" width="50.42578125" style="145" customWidth="1"/>
    <col min="10748" max="10751" width="7.7109375" style="145" customWidth="1"/>
    <col min="10752" max="10752" width="10.140625" style="145" customWidth="1"/>
    <col min="10753" max="10756" width="7.7109375" style="145" customWidth="1"/>
    <col min="10757" max="10757" width="31.7109375" style="145" bestFit="1" customWidth="1"/>
    <col min="10758" max="11001" width="9.140625" style="145"/>
    <col min="11002" max="11002" width="5.85546875" style="145" customWidth="1"/>
    <col min="11003" max="11003" width="50.42578125" style="145" customWidth="1"/>
    <col min="11004" max="11007" width="7.7109375" style="145" customWidth="1"/>
    <col min="11008" max="11008" width="10.140625" style="145" customWidth="1"/>
    <col min="11009" max="11012" width="7.7109375" style="145" customWidth="1"/>
    <col min="11013" max="11013" width="31.7109375" style="145" bestFit="1" customWidth="1"/>
    <col min="11014" max="11257" width="9.140625" style="145"/>
    <col min="11258" max="11258" width="5.85546875" style="145" customWidth="1"/>
    <col min="11259" max="11259" width="50.42578125" style="145" customWidth="1"/>
    <col min="11260" max="11263" width="7.7109375" style="145" customWidth="1"/>
    <col min="11264" max="11264" width="10.140625" style="145" customWidth="1"/>
    <col min="11265" max="11268" width="7.7109375" style="145" customWidth="1"/>
    <col min="11269" max="11269" width="31.7109375" style="145" bestFit="1" customWidth="1"/>
    <col min="11270" max="11513" width="9.140625" style="145"/>
    <col min="11514" max="11514" width="5.85546875" style="145" customWidth="1"/>
    <col min="11515" max="11515" width="50.42578125" style="145" customWidth="1"/>
    <col min="11516" max="11519" width="7.7109375" style="145" customWidth="1"/>
    <col min="11520" max="11520" width="10.140625" style="145" customWidth="1"/>
    <col min="11521" max="11524" width="7.7109375" style="145" customWidth="1"/>
    <col min="11525" max="11525" width="31.7109375" style="145" bestFit="1" customWidth="1"/>
    <col min="11526" max="11769" width="9.140625" style="145"/>
    <col min="11770" max="11770" width="5.85546875" style="145" customWidth="1"/>
    <col min="11771" max="11771" width="50.42578125" style="145" customWidth="1"/>
    <col min="11772" max="11775" width="7.7109375" style="145" customWidth="1"/>
    <col min="11776" max="11776" width="10.140625" style="145" customWidth="1"/>
    <col min="11777" max="11780" width="7.7109375" style="145" customWidth="1"/>
    <col min="11781" max="11781" width="31.7109375" style="145" bestFit="1" customWidth="1"/>
    <col min="11782" max="12025" width="9.140625" style="145"/>
    <col min="12026" max="12026" width="5.85546875" style="145" customWidth="1"/>
    <col min="12027" max="12027" width="50.42578125" style="145" customWidth="1"/>
    <col min="12028" max="12031" width="7.7109375" style="145" customWidth="1"/>
    <col min="12032" max="12032" width="10.140625" style="145" customWidth="1"/>
    <col min="12033" max="12036" width="7.7109375" style="145" customWidth="1"/>
    <col min="12037" max="12037" width="31.7109375" style="145" bestFit="1" customWidth="1"/>
    <col min="12038" max="12281" width="9.140625" style="145"/>
    <col min="12282" max="12282" width="5.85546875" style="145" customWidth="1"/>
    <col min="12283" max="12283" width="50.42578125" style="145" customWidth="1"/>
    <col min="12284" max="12287" width="7.7109375" style="145" customWidth="1"/>
    <col min="12288" max="12288" width="10.140625" style="145" customWidth="1"/>
    <col min="12289" max="12292" width="7.7109375" style="145" customWidth="1"/>
    <col min="12293" max="12293" width="31.7109375" style="145" bestFit="1" customWidth="1"/>
    <col min="12294" max="12537" width="9.140625" style="145"/>
    <col min="12538" max="12538" width="5.85546875" style="145" customWidth="1"/>
    <col min="12539" max="12539" width="50.42578125" style="145" customWidth="1"/>
    <col min="12540" max="12543" width="7.7109375" style="145" customWidth="1"/>
    <col min="12544" max="12544" width="10.140625" style="145" customWidth="1"/>
    <col min="12545" max="12548" width="7.7109375" style="145" customWidth="1"/>
    <col min="12549" max="12549" width="31.7109375" style="145" bestFit="1" customWidth="1"/>
    <col min="12550" max="12793" width="9.140625" style="145"/>
    <col min="12794" max="12794" width="5.85546875" style="145" customWidth="1"/>
    <col min="12795" max="12795" width="50.42578125" style="145" customWidth="1"/>
    <col min="12796" max="12799" width="7.7109375" style="145" customWidth="1"/>
    <col min="12800" max="12800" width="10.140625" style="145" customWidth="1"/>
    <col min="12801" max="12804" width="7.7109375" style="145" customWidth="1"/>
    <col min="12805" max="12805" width="31.7109375" style="145" bestFit="1" customWidth="1"/>
    <col min="12806" max="13049" width="9.140625" style="145"/>
    <col min="13050" max="13050" width="5.85546875" style="145" customWidth="1"/>
    <col min="13051" max="13051" width="50.42578125" style="145" customWidth="1"/>
    <col min="13052" max="13055" width="7.7109375" style="145" customWidth="1"/>
    <col min="13056" max="13056" width="10.140625" style="145" customWidth="1"/>
    <col min="13057" max="13060" width="7.7109375" style="145" customWidth="1"/>
    <col min="13061" max="13061" width="31.7109375" style="145" bestFit="1" customWidth="1"/>
    <col min="13062" max="13305" width="9.140625" style="145"/>
    <col min="13306" max="13306" width="5.85546875" style="145" customWidth="1"/>
    <col min="13307" max="13307" width="50.42578125" style="145" customWidth="1"/>
    <col min="13308" max="13311" width="7.7109375" style="145" customWidth="1"/>
    <col min="13312" max="13312" width="10.140625" style="145" customWidth="1"/>
    <col min="13313" max="13316" width="7.7109375" style="145" customWidth="1"/>
    <col min="13317" max="13317" width="31.7109375" style="145" bestFit="1" customWidth="1"/>
    <col min="13318" max="13561" width="9.140625" style="145"/>
    <col min="13562" max="13562" width="5.85546875" style="145" customWidth="1"/>
    <col min="13563" max="13563" width="50.42578125" style="145" customWidth="1"/>
    <col min="13564" max="13567" width="7.7109375" style="145" customWidth="1"/>
    <col min="13568" max="13568" width="10.140625" style="145" customWidth="1"/>
    <col min="13569" max="13572" width="7.7109375" style="145" customWidth="1"/>
    <col min="13573" max="13573" width="31.7109375" style="145" bestFit="1" customWidth="1"/>
    <col min="13574" max="13817" width="9.140625" style="145"/>
    <col min="13818" max="13818" width="5.85546875" style="145" customWidth="1"/>
    <col min="13819" max="13819" width="50.42578125" style="145" customWidth="1"/>
    <col min="13820" max="13823" width="7.7109375" style="145" customWidth="1"/>
    <col min="13824" max="13824" width="10.140625" style="145" customWidth="1"/>
    <col min="13825" max="13828" width="7.7109375" style="145" customWidth="1"/>
    <col min="13829" max="13829" width="31.7109375" style="145" bestFit="1" customWidth="1"/>
    <col min="13830" max="14073" width="9.140625" style="145"/>
    <col min="14074" max="14074" width="5.85546875" style="145" customWidth="1"/>
    <col min="14075" max="14075" width="50.42578125" style="145" customWidth="1"/>
    <col min="14076" max="14079" width="7.7109375" style="145" customWidth="1"/>
    <col min="14080" max="14080" width="10.140625" style="145" customWidth="1"/>
    <col min="14081" max="14084" width="7.7109375" style="145" customWidth="1"/>
    <col min="14085" max="14085" width="31.7109375" style="145" bestFit="1" customWidth="1"/>
    <col min="14086" max="14329" width="9.140625" style="145"/>
    <col min="14330" max="14330" width="5.85546875" style="145" customWidth="1"/>
    <col min="14331" max="14331" width="50.42578125" style="145" customWidth="1"/>
    <col min="14332" max="14335" width="7.7109375" style="145" customWidth="1"/>
    <col min="14336" max="14336" width="10.140625" style="145" customWidth="1"/>
    <col min="14337" max="14340" width="7.7109375" style="145" customWidth="1"/>
    <col min="14341" max="14341" width="31.7109375" style="145" bestFit="1" customWidth="1"/>
    <col min="14342" max="14585" width="9.140625" style="145"/>
    <col min="14586" max="14586" width="5.85546875" style="145" customWidth="1"/>
    <col min="14587" max="14587" width="50.42578125" style="145" customWidth="1"/>
    <col min="14588" max="14591" width="7.7109375" style="145" customWidth="1"/>
    <col min="14592" max="14592" width="10.140625" style="145" customWidth="1"/>
    <col min="14593" max="14596" width="7.7109375" style="145" customWidth="1"/>
    <col min="14597" max="14597" width="31.7109375" style="145" bestFit="1" customWidth="1"/>
    <col min="14598" max="14841" width="9.140625" style="145"/>
    <col min="14842" max="14842" width="5.85546875" style="145" customWidth="1"/>
    <col min="14843" max="14843" width="50.42578125" style="145" customWidth="1"/>
    <col min="14844" max="14847" width="7.7109375" style="145" customWidth="1"/>
    <col min="14848" max="14848" width="10.140625" style="145" customWidth="1"/>
    <col min="14849" max="14852" width="7.7109375" style="145" customWidth="1"/>
    <col min="14853" max="14853" width="31.7109375" style="145" bestFit="1" customWidth="1"/>
    <col min="14854" max="15097" width="9.140625" style="145"/>
    <col min="15098" max="15098" width="5.85546875" style="145" customWidth="1"/>
    <col min="15099" max="15099" width="50.42578125" style="145" customWidth="1"/>
    <col min="15100" max="15103" width="7.7109375" style="145" customWidth="1"/>
    <col min="15104" max="15104" width="10.140625" style="145" customWidth="1"/>
    <col min="15105" max="15108" width="7.7109375" style="145" customWidth="1"/>
    <col min="15109" max="15109" width="31.7109375" style="145" bestFit="1" customWidth="1"/>
    <col min="15110" max="15353" width="9.140625" style="145"/>
    <col min="15354" max="15354" width="5.85546875" style="145" customWidth="1"/>
    <col min="15355" max="15355" width="50.42578125" style="145" customWidth="1"/>
    <col min="15356" max="15359" width="7.7109375" style="145" customWidth="1"/>
    <col min="15360" max="15360" width="10.140625" style="145" customWidth="1"/>
    <col min="15361" max="15364" width="7.7109375" style="145" customWidth="1"/>
    <col min="15365" max="15365" width="31.7109375" style="145" bestFit="1" customWidth="1"/>
    <col min="15366" max="15609" width="9.140625" style="145"/>
    <col min="15610" max="15610" width="5.85546875" style="145" customWidth="1"/>
    <col min="15611" max="15611" width="50.42578125" style="145" customWidth="1"/>
    <col min="15612" max="15615" width="7.7109375" style="145" customWidth="1"/>
    <col min="15616" max="15616" width="10.140625" style="145" customWidth="1"/>
    <col min="15617" max="15620" width="7.7109375" style="145" customWidth="1"/>
    <col min="15621" max="15621" width="31.7109375" style="145" bestFit="1" customWidth="1"/>
    <col min="15622" max="15865" width="9.140625" style="145"/>
    <col min="15866" max="15866" width="5.85546875" style="145" customWidth="1"/>
    <col min="15867" max="15867" width="50.42578125" style="145" customWidth="1"/>
    <col min="15868" max="15871" width="7.7109375" style="145" customWidth="1"/>
    <col min="15872" max="15872" width="10.140625" style="145" customWidth="1"/>
    <col min="15873" max="15876" width="7.7109375" style="145" customWidth="1"/>
    <col min="15877" max="15877" width="31.7109375" style="145" bestFit="1" customWidth="1"/>
    <col min="15878" max="16121" width="9.140625" style="145"/>
    <col min="16122" max="16122" width="5.85546875" style="145" customWidth="1"/>
    <col min="16123" max="16123" width="50.42578125" style="145" customWidth="1"/>
    <col min="16124" max="16127" width="7.7109375" style="145" customWidth="1"/>
    <col min="16128" max="16128" width="10.140625" style="145" customWidth="1"/>
    <col min="16129" max="16132" width="7.7109375" style="145" customWidth="1"/>
    <col min="16133" max="16133" width="31.7109375" style="145" bestFit="1" customWidth="1"/>
    <col min="16134" max="16384" width="9.140625" style="145"/>
  </cols>
  <sheetData>
    <row r="1" spans="1:8" ht="18" customHeight="1">
      <c r="A1" s="151" t="s">
        <v>197</v>
      </c>
    </row>
    <row r="3" spans="1:8" ht="12.75">
      <c r="A3" s="145" t="s">
        <v>282</v>
      </c>
      <c r="B3" s="399"/>
      <c r="C3" s="399"/>
      <c r="D3" s="399"/>
      <c r="E3" s="399"/>
      <c r="F3" s="399"/>
      <c r="G3" s="399"/>
      <c r="H3" s="399"/>
    </row>
    <row r="4" spans="1:8">
      <c r="A4" s="666" t="s">
        <v>363</v>
      </c>
      <c r="B4" s="667"/>
      <c r="C4" s="667"/>
      <c r="D4" s="667"/>
      <c r="E4" s="667"/>
      <c r="F4" s="667"/>
      <c r="G4" s="667"/>
      <c r="H4" s="667"/>
    </row>
    <row r="5" spans="1:8" ht="18" customHeight="1">
      <c r="A5" s="151" t="s">
        <v>364</v>
      </c>
      <c r="C5" s="369" t="s">
        <v>355</v>
      </c>
    </row>
    <row r="6" spans="1:8" ht="22.5">
      <c r="A6" s="544" t="s">
        <v>32</v>
      </c>
      <c r="B6" s="452" t="s">
        <v>21</v>
      </c>
      <c r="C6" s="453" t="s">
        <v>81</v>
      </c>
      <c r="D6" s="454" t="s">
        <v>77</v>
      </c>
      <c r="E6" s="454" t="s">
        <v>82</v>
      </c>
      <c r="F6" s="455" t="s">
        <v>83</v>
      </c>
      <c r="G6" s="456" t="s">
        <v>84</v>
      </c>
    </row>
    <row r="7" spans="1:8" ht="22.5">
      <c r="A7" s="545" t="s">
        <v>85</v>
      </c>
      <c r="B7" s="471" t="s">
        <v>86</v>
      </c>
      <c r="C7" s="472" t="s">
        <v>87</v>
      </c>
      <c r="D7" s="475" t="s">
        <v>260</v>
      </c>
      <c r="E7" s="475" t="s">
        <v>356</v>
      </c>
      <c r="F7" s="480">
        <v>10.8</v>
      </c>
      <c r="G7" s="478">
        <f t="shared" ref="G7:G13" si="0">TRUNC(E7*F7,2)</f>
        <v>27.97</v>
      </c>
    </row>
    <row r="8" spans="1:8" ht="22.5">
      <c r="A8" s="515" t="s">
        <v>88</v>
      </c>
      <c r="B8" s="405" t="s">
        <v>89</v>
      </c>
      <c r="C8" s="343" t="s">
        <v>87</v>
      </c>
      <c r="D8" s="406" t="s">
        <v>260</v>
      </c>
      <c r="E8" s="406" t="s">
        <v>357</v>
      </c>
      <c r="F8" s="347">
        <v>57.6</v>
      </c>
      <c r="G8" s="346">
        <f t="shared" si="0"/>
        <v>17.38</v>
      </c>
    </row>
    <row r="9" spans="1:8" ht="22.5">
      <c r="A9" s="515" t="s">
        <v>263</v>
      </c>
      <c r="B9" s="405" t="s">
        <v>264</v>
      </c>
      <c r="C9" s="343" t="s">
        <v>87</v>
      </c>
      <c r="D9" s="406" t="s">
        <v>224</v>
      </c>
      <c r="E9" s="406" t="s">
        <v>358</v>
      </c>
      <c r="F9" s="347">
        <v>1.34</v>
      </c>
      <c r="G9" s="346">
        <f t="shared" si="0"/>
        <v>28.17</v>
      </c>
    </row>
    <row r="10" spans="1:8">
      <c r="A10" s="515" t="s">
        <v>266</v>
      </c>
      <c r="B10" s="405" t="s">
        <v>267</v>
      </c>
      <c r="C10" s="343" t="s">
        <v>87</v>
      </c>
      <c r="D10" s="406" t="s">
        <v>224</v>
      </c>
      <c r="E10" s="406" t="s">
        <v>359</v>
      </c>
      <c r="F10" s="347">
        <v>204</v>
      </c>
      <c r="G10" s="346">
        <f t="shared" si="0"/>
        <v>47.71</v>
      </c>
    </row>
    <row r="11" spans="1:8" ht="33.75">
      <c r="A11" s="515" t="s">
        <v>269</v>
      </c>
      <c r="B11" s="405" t="s">
        <v>270</v>
      </c>
      <c r="C11" s="343" t="s">
        <v>87</v>
      </c>
      <c r="D11" s="406" t="s">
        <v>224</v>
      </c>
      <c r="E11" s="406" t="s">
        <v>360</v>
      </c>
      <c r="F11" s="347">
        <v>141</v>
      </c>
      <c r="G11" s="346">
        <f t="shared" si="0"/>
        <v>19.14</v>
      </c>
    </row>
    <row r="12" spans="1:8" ht="22.5">
      <c r="A12" s="515" t="s">
        <v>272</v>
      </c>
      <c r="B12" s="405" t="s">
        <v>273</v>
      </c>
      <c r="C12" s="343" t="s">
        <v>87</v>
      </c>
      <c r="D12" s="406" t="s">
        <v>224</v>
      </c>
      <c r="E12" s="406" t="s">
        <v>361</v>
      </c>
      <c r="F12" s="347">
        <v>35.64</v>
      </c>
      <c r="G12" s="346">
        <f t="shared" si="0"/>
        <v>17.78</v>
      </c>
    </row>
    <row r="13" spans="1:8" ht="33.75">
      <c r="A13" s="546" t="s">
        <v>275</v>
      </c>
      <c r="B13" s="473" t="s">
        <v>276</v>
      </c>
      <c r="C13" s="474" t="s">
        <v>87</v>
      </c>
      <c r="D13" s="476" t="s">
        <v>224</v>
      </c>
      <c r="E13" s="476" t="s">
        <v>362</v>
      </c>
      <c r="F13" s="481">
        <v>160.5</v>
      </c>
      <c r="G13" s="479">
        <f t="shared" si="0"/>
        <v>32.53</v>
      </c>
    </row>
    <row r="14" spans="1:8" ht="14.1" customHeight="1">
      <c r="E14" s="458"/>
      <c r="F14" s="459" t="s">
        <v>90</v>
      </c>
      <c r="G14" s="461"/>
    </row>
    <row r="15" spans="1:8" ht="14.1" customHeight="1">
      <c r="E15" s="417"/>
      <c r="F15" s="426" t="s">
        <v>91</v>
      </c>
      <c r="G15" s="346">
        <f>SUM(G7:G13)</f>
        <v>190.68</v>
      </c>
    </row>
    <row r="16" spans="1:8" ht="14.1" customHeight="1">
      <c r="A16" s="145" t="s">
        <v>93</v>
      </c>
      <c r="E16" s="417"/>
      <c r="F16" s="426" t="s">
        <v>92</v>
      </c>
      <c r="G16" s="380">
        <f>SUM(G14:G15)</f>
        <v>190.68</v>
      </c>
    </row>
    <row r="17" spans="1:9">
      <c r="A17" s="352" t="s">
        <v>94</v>
      </c>
      <c r="B17" s="351">
        <f>G16</f>
        <v>190.68</v>
      </c>
    </row>
    <row r="18" spans="1:9">
      <c r="A18" s="352" t="s">
        <v>290</v>
      </c>
      <c r="B18" s="351">
        <f>G14*0.7237</f>
        <v>0</v>
      </c>
    </row>
    <row r="19" spans="1:9">
      <c r="A19" s="352" t="s">
        <v>221</v>
      </c>
      <c r="B19" s="351">
        <f>(B17+B18)*0.2457</f>
        <v>46.850076000000001</v>
      </c>
    </row>
    <row r="20" spans="1:9">
      <c r="A20" s="352" t="s">
        <v>95</v>
      </c>
      <c r="B20" s="353">
        <f>SUM(B17:B19)</f>
        <v>237.53007600000001</v>
      </c>
      <c r="H20" s="393"/>
      <c r="I20" s="145" t="s">
        <v>816</v>
      </c>
    </row>
    <row r="21" spans="1:9">
      <c r="A21" s="355"/>
      <c r="B21" s="355"/>
      <c r="C21" s="355"/>
      <c r="D21" s="355"/>
      <c r="E21" s="355"/>
      <c r="F21" s="355"/>
      <c r="G21" s="355"/>
      <c r="H21" s="355"/>
    </row>
    <row r="23" spans="1:9" ht="12.75">
      <c r="A23" s="145" t="s">
        <v>282</v>
      </c>
      <c r="B23" s="399"/>
      <c r="C23" s="399"/>
      <c r="D23" s="399"/>
      <c r="E23" s="399"/>
      <c r="F23" s="399"/>
      <c r="G23" s="399"/>
      <c r="H23" s="399"/>
    </row>
    <row r="24" spans="1:9">
      <c r="A24" s="666" t="s">
        <v>353</v>
      </c>
      <c r="B24" s="667"/>
      <c r="C24" s="667"/>
      <c r="D24" s="667"/>
      <c r="E24" s="667"/>
      <c r="F24" s="667"/>
      <c r="G24" s="667"/>
      <c r="H24" s="667"/>
    </row>
    <row r="25" spans="1:9" ht="41.25" customHeight="1">
      <c r="A25" s="668" t="s">
        <v>354</v>
      </c>
      <c r="B25" s="668"/>
      <c r="C25" s="668"/>
      <c r="D25" s="668"/>
      <c r="E25" s="449" t="s">
        <v>202</v>
      </c>
      <c r="G25" s="450"/>
      <c r="H25" s="450"/>
    </row>
    <row r="26" spans="1:9" ht="22.5">
      <c r="A26" s="544" t="s">
        <v>32</v>
      </c>
      <c r="B26" s="452" t="s">
        <v>21</v>
      </c>
      <c r="C26" s="453" t="s">
        <v>81</v>
      </c>
      <c r="D26" s="454" t="s">
        <v>77</v>
      </c>
      <c r="E26" s="454" t="s">
        <v>82</v>
      </c>
      <c r="F26" s="455" t="s">
        <v>83</v>
      </c>
      <c r="G26" s="456" t="s">
        <v>84</v>
      </c>
      <c r="H26" s="451"/>
    </row>
    <row r="27" spans="1:9" ht="33.75">
      <c r="A27" s="544">
        <v>10775</v>
      </c>
      <c r="B27" s="457" t="s">
        <v>699</v>
      </c>
      <c r="C27" s="453" t="s">
        <v>343</v>
      </c>
      <c r="D27" s="454" t="s">
        <v>355</v>
      </c>
      <c r="E27" s="460">
        <v>1</v>
      </c>
      <c r="F27" s="549">
        <v>505</v>
      </c>
      <c r="G27" s="550">
        <f>TRUNC(E27*F27,2)</f>
        <v>505</v>
      </c>
    </row>
    <row r="28" spans="1:9" ht="14.1" customHeight="1">
      <c r="E28" s="458"/>
      <c r="F28" s="459" t="s">
        <v>90</v>
      </c>
      <c r="G28" s="478"/>
    </row>
    <row r="29" spans="1:9" ht="14.1" customHeight="1">
      <c r="E29" s="417"/>
      <c r="F29" s="426" t="s">
        <v>91</v>
      </c>
      <c r="G29" s="346">
        <f>G27</f>
        <v>505</v>
      </c>
    </row>
    <row r="30" spans="1:9" ht="14.1" customHeight="1">
      <c r="A30" s="145" t="s">
        <v>93</v>
      </c>
      <c r="E30" s="417"/>
      <c r="F30" s="426" t="s">
        <v>92</v>
      </c>
      <c r="G30" s="350">
        <f>SUM(G28:G29)</f>
        <v>505</v>
      </c>
    </row>
    <row r="31" spans="1:9" ht="14.1" customHeight="1">
      <c r="A31" s="352" t="s">
        <v>94</v>
      </c>
      <c r="B31" s="351">
        <f>G30</f>
        <v>505</v>
      </c>
    </row>
    <row r="32" spans="1:9" ht="14.1" customHeight="1">
      <c r="A32" s="352" t="s">
        <v>290</v>
      </c>
      <c r="B32" s="351">
        <f>G28*0.7237</f>
        <v>0</v>
      </c>
    </row>
    <row r="33" spans="1:9" ht="14.1" customHeight="1">
      <c r="A33" s="352" t="s">
        <v>221</v>
      </c>
      <c r="B33" s="351">
        <f>(B31+B32)*0.2457</f>
        <v>124.07850000000001</v>
      </c>
    </row>
    <row r="34" spans="1:9" ht="14.1" customHeight="1">
      <c r="A34" s="352" t="s">
        <v>95</v>
      </c>
      <c r="B34" s="353">
        <f>SUM(B31:B33)</f>
        <v>629.07849999999996</v>
      </c>
      <c r="H34" s="393"/>
      <c r="I34" s="145" t="s">
        <v>816</v>
      </c>
    </row>
    <row r="35" spans="1:9">
      <c r="A35" s="355"/>
      <c r="B35" s="355"/>
      <c r="C35" s="355"/>
      <c r="D35" s="355"/>
      <c r="E35" s="355"/>
      <c r="F35" s="355"/>
      <c r="G35" s="355"/>
      <c r="H35" s="355"/>
    </row>
    <row r="37" spans="1:9" s="364" customFormat="1">
      <c r="A37" s="145" t="s">
        <v>284</v>
      </c>
      <c r="B37" s="418"/>
      <c r="C37" s="418"/>
      <c r="D37" s="418"/>
      <c r="E37" s="418"/>
      <c r="F37" s="418"/>
      <c r="G37" s="418"/>
      <c r="H37" s="418"/>
    </row>
    <row r="38" spans="1:9" s="364" customFormat="1" ht="16.5" customHeight="1">
      <c r="A38" s="145" t="s">
        <v>311</v>
      </c>
      <c r="B38" s="419"/>
      <c r="C38" s="419"/>
      <c r="D38" s="419"/>
      <c r="E38" s="419"/>
      <c r="F38" s="419"/>
      <c r="G38" s="419"/>
      <c r="H38" s="419"/>
    </row>
    <row r="39" spans="1:9" s="364" customFormat="1" ht="26.25" customHeight="1">
      <c r="A39" s="656" t="s">
        <v>312</v>
      </c>
      <c r="B39" s="656"/>
      <c r="C39" s="656"/>
      <c r="D39" s="656"/>
      <c r="E39" s="656"/>
      <c r="F39" s="419"/>
      <c r="G39" s="419"/>
      <c r="H39" s="419"/>
    </row>
    <row r="40" spans="1:9" s="364" customFormat="1" ht="26.25" customHeight="1">
      <c r="A40" s="515" t="s">
        <v>32</v>
      </c>
      <c r="B40" s="371" t="s">
        <v>21</v>
      </c>
      <c r="C40" s="343" t="s">
        <v>81</v>
      </c>
      <c r="D40" s="398" t="s">
        <v>77</v>
      </c>
      <c r="E40" s="398" t="s">
        <v>82</v>
      </c>
      <c r="F40" s="382" t="s">
        <v>83</v>
      </c>
      <c r="G40" s="383" t="s">
        <v>84</v>
      </c>
      <c r="H40" s="419"/>
    </row>
    <row r="41" spans="1:9" s="364" customFormat="1" ht="15" customHeight="1">
      <c r="A41" s="547" t="s">
        <v>302</v>
      </c>
      <c r="B41" s="421" t="s">
        <v>303</v>
      </c>
      <c r="C41" s="422" t="s">
        <v>87</v>
      </c>
      <c r="D41" s="422" t="s">
        <v>313</v>
      </c>
      <c r="E41" s="422" t="s">
        <v>314</v>
      </c>
      <c r="F41" s="423">
        <v>8.6199999999999992</v>
      </c>
      <c r="G41" s="425">
        <f>TRUNC(E41*F41,2)</f>
        <v>0.17</v>
      </c>
      <c r="H41" s="419"/>
    </row>
    <row r="42" spans="1:9" s="364" customFormat="1" ht="22.5">
      <c r="A42" s="547" t="s">
        <v>304</v>
      </c>
      <c r="B42" s="421" t="s">
        <v>305</v>
      </c>
      <c r="C42" s="422" t="s">
        <v>87</v>
      </c>
      <c r="D42" s="422" t="s">
        <v>280</v>
      </c>
      <c r="E42" s="422" t="s">
        <v>315</v>
      </c>
      <c r="F42" s="423">
        <v>4.33</v>
      </c>
      <c r="G42" s="425">
        <f t="shared" ref="G42:G47" si="1">TRUNC(E42*F42,2)</f>
        <v>0.51</v>
      </c>
      <c r="H42" s="419"/>
    </row>
    <row r="43" spans="1:9" s="364" customFormat="1" ht="15" customHeight="1">
      <c r="A43" s="547" t="s">
        <v>306</v>
      </c>
      <c r="B43" s="421" t="s">
        <v>125</v>
      </c>
      <c r="C43" s="422" t="s">
        <v>87</v>
      </c>
      <c r="D43" s="422" t="s">
        <v>313</v>
      </c>
      <c r="E43" s="422" t="s">
        <v>316</v>
      </c>
      <c r="F43" s="423">
        <v>9</v>
      </c>
      <c r="G43" s="425">
        <f t="shared" si="1"/>
        <v>0.09</v>
      </c>
      <c r="H43" s="419"/>
    </row>
    <row r="44" spans="1:9" s="364" customFormat="1" ht="22.5">
      <c r="A44" s="547" t="s">
        <v>307</v>
      </c>
      <c r="B44" s="421" t="s">
        <v>308</v>
      </c>
      <c r="C44" s="422" t="s">
        <v>87</v>
      </c>
      <c r="D44" s="422" t="s">
        <v>280</v>
      </c>
      <c r="E44" s="422" t="s">
        <v>317</v>
      </c>
      <c r="F44" s="423">
        <v>3.65</v>
      </c>
      <c r="G44" s="425">
        <f t="shared" si="1"/>
        <v>0.38</v>
      </c>
      <c r="H44" s="419"/>
    </row>
    <row r="45" spans="1:9" s="364" customFormat="1" ht="15" customHeight="1">
      <c r="A45" s="669" t="s">
        <v>309</v>
      </c>
      <c r="B45" s="671" t="s">
        <v>279</v>
      </c>
      <c r="C45" s="422" t="s">
        <v>98</v>
      </c>
      <c r="D45" s="652" t="s">
        <v>202</v>
      </c>
      <c r="E45" s="652" t="s">
        <v>318</v>
      </c>
      <c r="F45" s="423">
        <f>G654</f>
        <v>12.49</v>
      </c>
      <c r="G45" s="425">
        <f t="shared" si="1"/>
        <v>1.24</v>
      </c>
      <c r="H45" s="419"/>
    </row>
    <row r="46" spans="1:9" s="364" customFormat="1" ht="15" customHeight="1">
      <c r="A46" s="670"/>
      <c r="B46" s="672"/>
      <c r="C46" s="422" t="s">
        <v>87</v>
      </c>
      <c r="D46" s="653"/>
      <c r="E46" s="653"/>
      <c r="F46" s="423">
        <f>G655</f>
        <v>4.5600000000000005</v>
      </c>
      <c r="G46" s="425">
        <f>TRUNC(E45*F46,2)</f>
        <v>0.45</v>
      </c>
      <c r="H46" s="419"/>
    </row>
    <row r="47" spans="1:9" s="364" customFormat="1" ht="15" customHeight="1">
      <c r="A47" s="626" t="s">
        <v>310</v>
      </c>
      <c r="B47" s="636" t="s">
        <v>100</v>
      </c>
      <c r="C47" s="409" t="s">
        <v>98</v>
      </c>
      <c r="D47" s="654" t="s">
        <v>202</v>
      </c>
      <c r="E47" s="654" t="s">
        <v>318</v>
      </c>
      <c r="F47" s="423">
        <f>G671</f>
        <v>9.35</v>
      </c>
      <c r="G47" s="425">
        <f t="shared" si="1"/>
        <v>0.93</v>
      </c>
      <c r="H47" s="419"/>
    </row>
    <row r="48" spans="1:9" s="364" customFormat="1" ht="15" customHeight="1">
      <c r="A48" s="627"/>
      <c r="B48" s="637"/>
      <c r="C48" s="409" t="s">
        <v>87</v>
      </c>
      <c r="D48" s="655"/>
      <c r="E48" s="655"/>
      <c r="F48" s="424">
        <f>G672</f>
        <v>4.5600000000000005</v>
      </c>
      <c r="G48" s="425">
        <f>TRUNC(E47*F48,2)</f>
        <v>0.45</v>
      </c>
    </row>
    <row r="49" spans="1:9" s="364" customFormat="1" ht="15" customHeight="1">
      <c r="A49" s="427"/>
      <c r="B49" s="420"/>
      <c r="C49" s="420"/>
      <c r="D49" s="420"/>
      <c r="E49" s="428"/>
      <c r="F49" s="430" t="s">
        <v>90</v>
      </c>
      <c r="G49" s="425">
        <f>G45+G47</f>
        <v>2.17</v>
      </c>
      <c r="H49" s="420"/>
    </row>
    <row r="50" spans="1:9" s="364" customFormat="1" ht="15" customHeight="1">
      <c r="A50" s="419"/>
      <c r="B50" s="419"/>
      <c r="C50" s="419"/>
      <c r="D50" s="419"/>
      <c r="E50" s="429"/>
      <c r="F50" s="430" t="s">
        <v>91</v>
      </c>
      <c r="G50" s="425">
        <f>G41+G42+G43+G44+G46+G48</f>
        <v>2.0499999999999998</v>
      </c>
      <c r="H50" s="419"/>
    </row>
    <row r="51" spans="1:9" s="364" customFormat="1" ht="15" customHeight="1">
      <c r="A51" s="431" t="s">
        <v>93</v>
      </c>
      <c r="B51" s="431"/>
      <c r="C51" s="419"/>
      <c r="D51" s="419"/>
      <c r="E51" s="429"/>
      <c r="F51" s="430" t="s">
        <v>92</v>
      </c>
      <c r="G51" s="578">
        <f>SUM(G49:G50)</f>
        <v>4.22</v>
      </c>
      <c r="H51" s="419"/>
    </row>
    <row r="52" spans="1:9" s="364" customFormat="1">
      <c r="A52" s="432" t="s">
        <v>94</v>
      </c>
      <c r="B52" s="433">
        <f>G51</f>
        <v>4.22</v>
      </c>
      <c r="C52" s="419"/>
      <c r="D52" s="419"/>
      <c r="E52" s="419"/>
      <c r="F52" s="419"/>
      <c r="G52" s="419"/>
      <c r="H52" s="419"/>
    </row>
    <row r="53" spans="1:9" s="364" customFormat="1">
      <c r="A53" s="432" t="s">
        <v>220</v>
      </c>
      <c r="B53" s="433">
        <f>G49*0.7237</f>
        <v>1.5704290000000001</v>
      </c>
      <c r="C53" s="419"/>
      <c r="D53" s="419"/>
      <c r="E53" s="419"/>
      <c r="F53" s="419"/>
      <c r="G53" s="419"/>
      <c r="H53" s="419"/>
    </row>
    <row r="54" spans="1:9" s="364" customFormat="1">
      <c r="A54" s="432" t="s">
        <v>221</v>
      </c>
      <c r="B54" s="433">
        <f>(B52+B53)*0.2457</f>
        <v>1.4227084052999999</v>
      </c>
      <c r="C54" s="419"/>
      <c r="D54" s="419"/>
      <c r="E54" s="419"/>
      <c r="F54" s="419"/>
      <c r="G54" s="419"/>
      <c r="H54" s="419"/>
    </row>
    <row r="55" spans="1:9" s="364" customFormat="1">
      <c r="A55" s="432" t="s">
        <v>95</v>
      </c>
      <c r="B55" s="434">
        <f>SUM(B52:B54)</f>
        <v>7.2131374052999995</v>
      </c>
      <c r="C55" s="419"/>
      <c r="D55" s="419"/>
      <c r="E55" s="419"/>
      <c r="F55" s="419"/>
      <c r="G55" s="419"/>
      <c r="H55" s="579"/>
      <c r="I55" s="364" t="s">
        <v>816</v>
      </c>
    </row>
    <row r="56" spans="1:9">
      <c r="A56" s="355"/>
      <c r="B56" s="356"/>
      <c r="C56" s="357"/>
      <c r="D56" s="355"/>
      <c r="E56" s="356"/>
      <c r="F56" s="356"/>
      <c r="G56" s="356"/>
      <c r="H56" s="355"/>
    </row>
    <row r="57" spans="1:9">
      <c r="A57" s="364"/>
      <c r="B57" s="365"/>
      <c r="C57" s="366"/>
      <c r="D57" s="364"/>
      <c r="E57" s="365"/>
      <c r="F57" s="365"/>
      <c r="G57" s="365"/>
      <c r="H57" s="364"/>
    </row>
    <row r="58" spans="1:9" ht="15" customHeight="1">
      <c r="A58" s="145" t="s">
        <v>284</v>
      </c>
      <c r="B58" s="418"/>
      <c r="C58" s="418"/>
      <c r="D58" s="418"/>
      <c r="E58" s="418"/>
      <c r="F58" s="418"/>
      <c r="G58" s="418"/>
      <c r="H58" s="364"/>
    </row>
    <row r="59" spans="1:9" ht="15" customHeight="1">
      <c r="A59" s="145" t="s">
        <v>736</v>
      </c>
      <c r="B59" s="419"/>
      <c r="C59" s="419"/>
      <c r="D59" s="419"/>
      <c r="E59" s="419"/>
      <c r="F59" s="419"/>
      <c r="G59" s="419"/>
      <c r="H59" s="364"/>
    </row>
    <row r="60" spans="1:9" ht="18" customHeight="1">
      <c r="A60" s="661" t="s">
        <v>737</v>
      </c>
      <c r="B60" s="661"/>
      <c r="C60" s="661"/>
      <c r="D60" s="661"/>
      <c r="E60" s="436" t="s">
        <v>319</v>
      </c>
      <c r="F60" s="145"/>
      <c r="G60" s="419"/>
      <c r="H60" s="364"/>
    </row>
    <row r="61" spans="1:9" ht="22.5">
      <c r="A61" s="515" t="s">
        <v>32</v>
      </c>
      <c r="B61" s="371" t="s">
        <v>21</v>
      </c>
      <c r="C61" s="343" t="s">
        <v>81</v>
      </c>
      <c r="D61" s="398" t="s">
        <v>77</v>
      </c>
      <c r="E61" s="398" t="s">
        <v>82</v>
      </c>
      <c r="F61" s="382" t="s">
        <v>83</v>
      </c>
      <c r="G61" s="383" t="s">
        <v>84</v>
      </c>
      <c r="H61" s="364"/>
    </row>
    <row r="62" spans="1:9" ht="15" customHeight="1">
      <c r="A62" s="669">
        <v>88309</v>
      </c>
      <c r="B62" s="671" t="s">
        <v>105</v>
      </c>
      <c r="C62" s="422" t="s">
        <v>98</v>
      </c>
      <c r="D62" s="652" t="s">
        <v>202</v>
      </c>
      <c r="E62" s="652">
        <v>5.5119999999999996</v>
      </c>
      <c r="F62" s="423">
        <f>G718</f>
        <v>12.590000000000002</v>
      </c>
      <c r="G62" s="425">
        <f t="shared" ref="G62" si="2">TRUNC(E62*F62,2)</f>
        <v>69.39</v>
      </c>
      <c r="H62" s="419"/>
    </row>
    <row r="63" spans="1:9" ht="15" customHeight="1">
      <c r="A63" s="670"/>
      <c r="B63" s="672"/>
      <c r="C63" s="422" t="s">
        <v>87</v>
      </c>
      <c r="D63" s="653"/>
      <c r="E63" s="653"/>
      <c r="F63" s="423">
        <f>G719</f>
        <v>4.5600000000000005</v>
      </c>
      <c r="G63" s="425">
        <f>TRUNC(E62*F63,2)</f>
        <v>25.13</v>
      </c>
      <c r="H63" s="419"/>
    </row>
    <row r="64" spans="1:9" ht="15" customHeight="1">
      <c r="A64" s="626" t="s">
        <v>310</v>
      </c>
      <c r="B64" s="636" t="s">
        <v>100</v>
      </c>
      <c r="C64" s="409" t="s">
        <v>98</v>
      </c>
      <c r="D64" s="654" t="s">
        <v>202</v>
      </c>
      <c r="E64" s="654">
        <v>7.9329999999999998</v>
      </c>
      <c r="F64" s="423">
        <f>G671</f>
        <v>9.35</v>
      </c>
      <c r="G64" s="425">
        <f t="shared" ref="G64" si="3">TRUNC(E64*F64,2)</f>
        <v>74.17</v>
      </c>
      <c r="H64" s="419"/>
    </row>
    <row r="65" spans="1:9" ht="15" customHeight="1">
      <c r="A65" s="627"/>
      <c r="B65" s="637"/>
      <c r="C65" s="409" t="s">
        <v>87</v>
      </c>
      <c r="D65" s="655"/>
      <c r="E65" s="655"/>
      <c r="F65" s="424">
        <f>G672</f>
        <v>4.5600000000000005</v>
      </c>
      <c r="G65" s="425">
        <f>TRUNC(E64*F65,2)</f>
        <v>36.17</v>
      </c>
      <c r="H65" s="364"/>
    </row>
    <row r="66" spans="1:9" ht="15" customHeight="1">
      <c r="A66" s="427"/>
      <c r="B66" s="420"/>
      <c r="C66" s="420"/>
      <c r="D66" s="420"/>
      <c r="E66" s="428"/>
      <c r="F66" s="430" t="s">
        <v>90</v>
      </c>
      <c r="G66" s="425">
        <f>G62+G64</f>
        <v>143.56</v>
      </c>
      <c r="H66" s="420"/>
    </row>
    <row r="67" spans="1:9" ht="15" customHeight="1">
      <c r="A67" s="419"/>
      <c r="B67" s="419"/>
      <c r="C67" s="419"/>
      <c r="D67" s="419"/>
      <c r="E67" s="429"/>
      <c r="F67" s="430" t="s">
        <v>91</v>
      </c>
      <c r="G67" s="425">
        <f>G63+G65</f>
        <v>61.3</v>
      </c>
      <c r="H67" s="419"/>
    </row>
    <row r="68" spans="1:9" ht="15" customHeight="1">
      <c r="A68" s="435" t="s">
        <v>93</v>
      </c>
      <c r="B68" s="431"/>
      <c r="C68" s="419"/>
      <c r="D68" s="419"/>
      <c r="E68" s="429"/>
      <c r="F68" s="430" t="s">
        <v>92</v>
      </c>
      <c r="G68" s="578">
        <f>SUM(G66:G67)</f>
        <v>204.86</v>
      </c>
      <c r="H68" s="419"/>
    </row>
    <row r="69" spans="1:9" ht="15" customHeight="1">
      <c r="A69" s="440" t="s">
        <v>94</v>
      </c>
      <c r="B69" s="441">
        <f>G68</f>
        <v>204.86</v>
      </c>
      <c r="C69" s="419"/>
      <c r="D69" s="419"/>
      <c r="E69" s="419"/>
      <c r="F69" s="419"/>
      <c r="G69" s="419"/>
      <c r="H69" s="419"/>
    </row>
    <row r="70" spans="1:9" ht="15" customHeight="1">
      <c r="A70" s="440" t="s">
        <v>220</v>
      </c>
      <c r="B70" s="441">
        <f>G66*0.7237</f>
        <v>103.894372</v>
      </c>
      <c r="C70" s="419"/>
      <c r="D70" s="419"/>
      <c r="E70" s="419"/>
      <c r="F70" s="419"/>
      <c r="G70" s="419"/>
      <c r="H70" s="419"/>
    </row>
    <row r="71" spans="1:9" ht="15" customHeight="1">
      <c r="A71" s="440" t="s">
        <v>221</v>
      </c>
      <c r="B71" s="441">
        <f>(B69+B70)*0.2457</f>
        <v>75.8609492004</v>
      </c>
      <c r="C71" s="419"/>
      <c r="D71" s="419"/>
      <c r="E71" s="419"/>
      <c r="F71" s="419"/>
      <c r="G71" s="419"/>
      <c r="H71" s="419"/>
    </row>
    <row r="72" spans="1:9" ht="15" customHeight="1">
      <c r="A72" s="440" t="s">
        <v>95</v>
      </c>
      <c r="B72" s="442">
        <f>SUM(B69:B71)</f>
        <v>384.61532120039999</v>
      </c>
      <c r="C72" s="419"/>
      <c r="D72" s="419"/>
      <c r="E72" s="419"/>
      <c r="F72" s="419"/>
      <c r="G72" s="419"/>
      <c r="H72" s="579"/>
      <c r="I72" s="145" t="s">
        <v>816</v>
      </c>
    </row>
    <row r="73" spans="1:9">
      <c r="A73" s="355"/>
      <c r="B73" s="356"/>
      <c r="C73" s="357"/>
      <c r="D73" s="355"/>
      <c r="E73" s="356"/>
      <c r="F73" s="356"/>
      <c r="G73" s="356"/>
      <c r="H73" s="355"/>
    </row>
    <row r="75" spans="1:9" ht="9" customHeight="1">
      <c r="A75" s="145" t="s">
        <v>284</v>
      </c>
      <c r="B75" s="418"/>
      <c r="C75" s="418"/>
      <c r="D75" s="418"/>
      <c r="E75" s="418"/>
      <c r="F75" s="418"/>
      <c r="G75" s="418"/>
      <c r="H75" s="364"/>
    </row>
    <row r="76" spans="1:9" ht="11.25" customHeight="1">
      <c r="A76" s="145" t="s">
        <v>728</v>
      </c>
      <c r="B76" s="419"/>
      <c r="C76" s="419"/>
      <c r="D76" s="419"/>
      <c r="E76" s="419"/>
      <c r="F76" s="419"/>
      <c r="G76" s="419"/>
      <c r="H76" s="364"/>
    </row>
    <row r="77" spans="1:9" ht="28.5" customHeight="1">
      <c r="A77" s="661" t="s">
        <v>726</v>
      </c>
      <c r="B77" s="661"/>
      <c r="C77" s="436" t="s">
        <v>319</v>
      </c>
      <c r="D77" s="443"/>
      <c r="E77" s="145"/>
      <c r="F77" s="145"/>
      <c r="G77" s="419"/>
      <c r="H77" s="364"/>
    </row>
    <row r="78" spans="1:9" ht="25.5" customHeight="1">
      <c r="A78" s="564" t="s">
        <v>32</v>
      </c>
      <c r="B78" s="371" t="s">
        <v>21</v>
      </c>
      <c r="C78" s="343" t="s">
        <v>81</v>
      </c>
      <c r="D78" s="561" t="s">
        <v>77</v>
      </c>
      <c r="E78" s="561" t="s">
        <v>82</v>
      </c>
      <c r="F78" s="382" t="s">
        <v>83</v>
      </c>
      <c r="G78" s="383" t="s">
        <v>84</v>
      </c>
      <c r="H78" s="364"/>
    </row>
    <row r="79" spans="1:9" ht="25.5" customHeight="1">
      <c r="A79" s="563" t="s">
        <v>729</v>
      </c>
      <c r="B79" s="560" t="s">
        <v>730</v>
      </c>
      <c r="C79" s="343" t="s">
        <v>87</v>
      </c>
      <c r="D79" s="562" t="s">
        <v>319</v>
      </c>
      <c r="E79" s="562">
        <v>1.25</v>
      </c>
      <c r="F79" s="382">
        <v>42.37</v>
      </c>
      <c r="G79" s="383">
        <f t="shared" ref="G79:G84" si="4">TRUNC(E79*F79,2)</f>
        <v>52.96</v>
      </c>
      <c r="H79" s="364"/>
    </row>
    <row r="80" spans="1:9" ht="14.1" customHeight="1">
      <c r="A80" s="626" t="s">
        <v>310</v>
      </c>
      <c r="B80" s="636" t="s">
        <v>100</v>
      </c>
      <c r="C80" s="409" t="s">
        <v>98</v>
      </c>
      <c r="D80" s="654" t="s">
        <v>202</v>
      </c>
      <c r="E80" s="654">
        <v>2.3986000000000001</v>
      </c>
      <c r="F80" s="423">
        <f>G671</f>
        <v>9.35</v>
      </c>
      <c r="G80" s="425">
        <f t="shared" si="4"/>
        <v>22.42</v>
      </c>
      <c r="H80" s="419"/>
    </row>
    <row r="81" spans="1:9" ht="14.1" customHeight="1">
      <c r="A81" s="627"/>
      <c r="B81" s="637"/>
      <c r="C81" s="409" t="s">
        <v>87</v>
      </c>
      <c r="D81" s="655"/>
      <c r="E81" s="655"/>
      <c r="F81" s="424">
        <f>G672</f>
        <v>4.5600000000000005</v>
      </c>
      <c r="G81" s="425">
        <f>TRUNC(E80*F81,2)</f>
        <v>10.93</v>
      </c>
      <c r="H81" s="364"/>
    </row>
    <row r="82" spans="1:9" ht="18" customHeight="1">
      <c r="A82" s="626" t="s">
        <v>370</v>
      </c>
      <c r="B82" s="636" t="s">
        <v>381</v>
      </c>
      <c r="C82" s="409" t="s">
        <v>98</v>
      </c>
      <c r="D82" s="654" t="s">
        <v>374</v>
      </c>
      <c r="E82" s="654">
        <v>0.27400000000000002</v>
      </c>
      <c r="F82" s="424">
        <f>'COMP AUX'!G159</f>
        <v>9.51</v>
      </c>
      <c r="G82" s="425">
        <f t="shared" si="4"/>
        <v>2.6</v>
      </c>
      <c r="H82" s="364"/>
    </row>
    <row r="83" spans="1:9" ht="18" customHeight="1">
      <c r="A83" s="665"/>
      <c r="B83" s="637"/>
      <c r="C83" s="409" t="s">
        <v>87</v>
      </c>
      <c r="D83" s="655"/>
      <c r="E83" s="655"/>
      <c r="F83" s="424">
        <f>'COMP AUX'!G160</f>
        <v>8.23</v>
      </c>
      <c r="G83" s="425">
        <f>TRUNC(E82*F83,2)</f>
        <v>2.25</v>
      </c>
      <c r="H83" s="364"/>
    </row>
    <row r="84" spans="1:9" ht="18" customHeight="1">
      <c r="A84" s="626" t="s">
        <v>371</v>
      </c>
      <c r="B84" s="636" t="s">
        <v>372</v>
      </c>
      <c r="C84" s="409" t="s">
        <v>98</v>
      </c>
      <c r="D84" s="654" t="s">
        <v>327</v>
      </c>
      <c r="E84" s="654">
        <v>0.254</v>
      </c>
      <c r="F84" s="424">
        <f>'COMP AUX'!G239</f>
        <v>9.51</v>
      </c>
      <c r="G84" s="425">
        <f t="shared" si="4"/>
        <v>2.41</v>
      </c>
      <c r="H84" s="364"/>
    </row>
    <row r="85" spans="1:9" ht="18" customHeight="1">
      <c r="A85" s="627"/>
      <c r="B85" s="637"/>
      <c r="C85" s="409" t="s">
        <v>87</v>
      </c>
      <c r="D85" s="655"/>
      <c r="E85" s="655"/>
      <c r="F85" s="424">
        <f>'COMP AUX'!G240</f>
        <v>4.92</v>
      </c>
      <c r="G85" s="425">
        <f>TRUNC(E84*F85,2)</f>
        <v>1.24</v>
      </c>
      <c r="H85" s="364"/>
    </row>
    <row r="86" spans="1:9" ht="14.1" customHeight="1">
      <c r="A86" s="427"/>
      <c r="B86" s="420"/>
      <c r="C86" s="420"/>
      <c r="D86" s="420"/>
      <c r="E86" s="565"/>
      <c r="F86" s="566" t="s">
        <v>90</v>
      </c>
      <c r="G86" s="567">
        <f>G80+G82+G84</f>
        <v>27.430000000000003</v>
      </c>
      <c r="H86" s="420"/>
    </row>
    <row r="87" spans="1:9" ht="14.1" customHeight="1">
      <c r="A87" s="419"/>
      <c r="B87" s="419"/>
      <c r="C87" s="419"/>
      <c r="D87" s="419"/>
      <c r="E87" s="429"/>
      <c r="F87" s="430" t="s">
        <v>91</v>
      </c>
      <c r="G87" s="425">
        <f>G79+G81+G83+G85</f>
        <v>67.38</v>
      </c>
      <c r="H87" s="419"/>
    </row>
    <row r="88" spans="1:9" ht="14.1" customHeight="1">
      <c r="A88" s="435" t="s">
        <v>93</v>
      </c>
      <c r="B88" s="431"/>
      <c r="C88" s="419"/>
      <c r="D88" s="419"/>
      <c r="E88" s="429"/>
      <c r="F88" s="430" t="s">
        <v>92</v>
      </c>
      <c r="G88" s="568">
        <f>SUM(G86:G87)</f>
        <v>94.81</v>
      </c>
      <c r="H88" s="419"/>
    </row>
    <row r="89" spans="1:9" ht="14.1" customHeight="1">
      <c r="A89" s="440" t="s">
        <v>94</v>
      </c>
      <c r="B89" s="441">
        <f>G88</f>
        <v>94.81</v>
      </c>
      <c r="C89" s="419"/>
      <c r="D89" s="419"/>
      <c r="E89" s="419"/>
      <c r="F89" s="419"/>
      <c r="G89" s="419"/>
      <c r="H89" s="419"/>
    </row>
    <row r="90" spans="1:9" ht="14.1" customHeight="1">
      <c r="A90" s="440" t="s">
        <v>220</v>
      </c>
      <c r="B90" s="441">
        <f>G86*0.7237</f>
        <v>19.851091000000004</v>
      </c>
      <c r="C90" s="419"/>
      <c r="D90" s="419"/>
      <c r="E90" s="419"/>
      <c r="F90" s="419"/>
      <c r="G90" s="419"/>
      <c r="H90" s="419"/>
    </row>
    <row r="91" spans="1:9" ht="14.1" customHeight="1">
      <c r="A91" s="440" t="s">
        <v>221</v>
      </c>
      <c r="B91" s="441">
        <f>(B89+B90)*0.2457</f>
        <v>28.172230058699999</v>
      </c>
      <c r="C91" s="419"/>
      <c r="D91" s="419"/>
      <c r="E91" s="419"/>
      <c r="F91" s="419"/>
      <c r="G91" s="419"/>
      <c r="H91" s="419"/>
    </row>
    <row r="92" spans="1:9" ht="14.1" customHeight="1">
      <c r="A92" s="440" t="s">
        <v>95</v>
      </c>
      <c r="B92" s="442">
        <f>SUM(B89:B91)</f>
        <v>142.83332105869999</v>
      </c>
      <c r="C92" s="419"/>
      <c r="D92" s="419"/>
      <c r="E92" s="419"/>
      <c r="F92" s="419"/>
      <c r="G92" s="419"/>
      <c r="H92" s="579"/>
      <c r="I92" s="145" t="s">
        <v>816</v>
      </c>
    </row>
    <row r="93" spans="1:9" ht="9" customHeight="1">
      <c r="A93" s="355"/>
      <c r="B93" s="356"/>
      <c r="C93" s="357"/>
      <c r="D93" s="355"/>
      <c r="E93" s="356"/>
      <c r="F93" s="356"/>
      <c r="G93" s="356"/>
      <c r="H93" s="355"/>
    </row>
    <row r="95" spans="1:9" ht="14.1" customHeight="1">
      <c r="A95" s="145" t="s">
        <v>284</v>
      </c>
      <c r="B95" s="418"/>
      <c r="C95" s="418"/>
      <c r="D95" s="418"/>
      <c r="E95" s="418"/>
      <c r="F95" s="418"/>
      <c r="G95" s="418"/>
    </row>
    <row r="96" spans="1:9" ht="14.1" customHeight="1">
      <c r="A96" s="145" t="s">
        <v>365</v>
      </c>
      <c r="B96" s="419"/>
      <c r="C96" s="419"/>
      <c r="D96" s="419"/>
      <c r="E96" s="419"/>
      <c r="F96" s="419"/>
      <c r="G96" s="419"/>
    </row>
    <row r="97" spans="1:7">
      <c r="A97" s="419"/>
      <c r="B97" s="419"/>
      <c r="C97" s="419"/>
      <c r="D97" s="419"/>
      <c r="E97" s="419"/>
      <c r="F97" s="419"/>
      <c r="G97" s="419"/>
    </row>
    <row r="98" spans="1:7" ht="26.25" customHeight="1">
      <c r="A98" s="661" t="s">
        <v>366</v>
      </c>
      <c r="B98" s="661"/>
      <c r="C98" s="661"/>
      <c r="D98" s="661"/>
      <c r="E98" s="436" t="s">
        <v>319</v>
      </c>
      <c r="F98" s="145"/>
      <c r="G98" s="419"/>
    </row>
    <row r="99" spans="1:7" ht="22.5">
      <c r="A99" s="515" t="s">
        <v>32</v>
      </c>
      <c r="B99" s="371" t="s">
        <v>21</v>
      </c>
      <c r="C99" s="343" t="s">
        <v>81</v>
      </c>
      <c r="D99" s="406" t="s">
        <v>77</v>
      </c>
      <c r="E99" s="406" t="s">
        <v>82</v>
      </c>
      <c r="F99" s="382" t="s">
        <v>83</v>
      </c>
      <c r="G99" s="383" t="s">
        <v>84</v>
      </c>
    </row>
    <row r="100" spans="1:7" ht="22.5">
      <c r="A100" s="515" t="s">
        <v>367</v>
      </c>
      <c r="B100" s="405" t="s">
        <v>368</v>
      </c>
      <c r="C100" s="343" t="s">
        <v>87</v>
      </c>
      <c r="D100" s="406" t="s">
        <v>319</v>
      </c>
      <c r="E100" s="406" t="s">
        <v>375</v>
      </c>
      <c r="F100" s="406">
        <v>81.42</v>
      </c>
      <c r="G100" s="346">
        <f>TRUNC(E100*F100,2)</f>
        <v>89.56</v>
      </c>
    </row>
    <row r="101" spans="1:7" ht="15" customHeight="1">
      <c r="A101" s="650" t="s">
        <v>369</v>
      </c>
      <c r="B101" s="639" t="s">
        <v>105</v>
      </c>
      <c r="C101" s="343" t="s">
        <v>98</v>
      </c>
      <c r="D101" s="658" t="s">
        <v>202</v>
      </c>
      <c r="E101" s="634" t="s">
        <v>376</v>
      </c>
      <c r="F101" s="347">
        <f>G718</f>
        <v>12.590000000000002</v>
      </c>
      <c r="G101" s="346">
        <f t="shared" ref="G101:G103" si="5">TRUNC(E101*F101,2)</f>
        <v>27.11</v>
      </c>
    </row>
    <row r="102" spans="1:7" ht="14.1" customHeight="1">
      <c r="A102" s="657"/>
      <c r="B102" s="640"/>
      <c r="C102" s="343" t="s">
        <v>87</v>
      </c>
      <c r="D102" s="659"/>
      <c r="E102" s="635"/>
      <c r="F102" s="347">
        <f>G719</f>
        <v>4.5600000000000005</v>
      </c>
      <c r="G102" s="346">
        <f>TRUNC(E101*F102,2)</f>
        <v>9.82</v>
      </c>
    </row>
    <row r="103" spans="1:7" ht="14.1" customHeight="1">
      <c r="A103" s="650" t="s">
        <v>310</v>
      </c>
      <c r="B103" s="639" t="s">
        <v>100</v>
      </c>
      <c r="C103" s="343" t="s">
        <v>98</v>
      </c>
      <c r="D103" s="634" t="s">
        <v>202</v>
      </c>
      <c r="E103" s="634" t="s">
        <v>377</v>
      </c>
      <c r="F103" s="347">
        <f>G671</f>
        <v>9.35</v>
      </c>
      <c r="G103" s="346">
        <f t="shared" si="5"/>
        <v>30.2</v>
      </c>
    </row>
    <row r="104" spans="1:7" ht="14.1" customHeight="1">
      <c r="A104" s="657"/>
      <c r="B104" s="660"/>
      <c r="C104" s="343" t="s">
        <v>87</v>
      </c>
      <c r="D104" s="635"/>
      <c r="E104" s="635"/>
      <c r="F104" s="347">
        <f>G672</f>
        <v>4.5600000000000005</v>
      </c>
      <c r="G104" s="346">
        <f>TRUNC(E103*F104,2)</f>
        <v>14.72</v>
      </c>
    </row>
    <row r="105" spans="1:7" ht="18" customHeight="1">
      <c r="A105" s="647" t="s">
        <v>370</v>
      </c>
      <c r="B105" s="639" t="s">
        <v>373</v>
      </c>
      <c r="C105" s="343" t="s">
        <v>98</v>
      </c>
      <c r="D105" s="634" t="s">
        <v>374</v>
      </c>
      <c r="E105" s="634" t="s">
        <v>378</v>
      </c>
      <c r="F105" s="347">
        <f>'COMP AUX'!G159</f>
        <v>9.51</v>
      </c>
      <c r="G105" s="346">
        <f>TRUNC(E105*F105,2)</f>
        <v>0.3</v>
      </c>
    </row>
    <row r="106" spans="1:7" ht="18" customHeight="1">
      <c r="A106" s="648"/>
      <c r="B106" s="640"/>
      <c r="C106" s="343" t="s">
        <v>343</v>
      </c>
      <c r="D106" s="635"/>
      <c r="E106" s="635"/>
      <c r="F106" s="347">
        <f>'COMP AUX'!G160</f>
        <v>8.23</v>
      </c>
      <c r="G106" s="346">
        <f>TRUNC(E105*F106,2)</f>
        <v>0.26</v>
      </c>
    </row>
    <row r="107" spans="1:7" ht="18" customHeight="1">
      <c r="A107" s="647" t="s">
        <v>371</v>
      </c>
      <c r="B107" s="639" t="s">
        <v>372</v>
      </c>
      <c r="C107" s="467" t="s">
        <v>98</v>
      </c>
      <c r="D107" s="634" t="s">
        <v>327</v>
      </c>
      <c r="E107" s="634" t="s">
        <v>379</v>
      </c>
      <c r="F107" s="491">
        <f>'COMP AUX'!G239</f>
        <v>9.51</v>
      </c>
      <c r="G107" s="346">
        <f>TRUNC(E107*F107,2)</f>
        <v>0.28000000000000003</v>
      </c>
    </row>
    <row r="108" spans="1:7" ht="18" customHeight="1">
      <c r="A108" s="663"/>
      <c r="B108" s="662"/>
      <c r="C108" s="474" t="s">
        <v>343</v>
      </c>
      <c r="D108" s="664"/>
      <c r="E108" s="664"/>
      <c r="F108" s="481">
        <f>'COMP AUX'!G240</f>
        <v>4.92</v>
      </c>
      <c r="G108" s="479">
        <f>TRUNC(E107*F108,2)</f>
        <v>0.14000000000000001</v>
      </c>
    </row>
    <row r="109" spans="1:7" ht="14.1" customHeight="1">
      <c r="E109" s="417"/>
      <c r="F109" s="426" t="s">
        <v>90</v>
      </c>
      <c r="G109" s="346">
        <f>G101+G103+G105+G107</f>
        <v>57.89</v>
      </c>
    </row>
    <row r="110" spans="1:7" ht="14.1" customHeight="1">
      <c r="E110" s="417"/>
      <c r="F110" s="349" t="s">
        <v>91</v>
      </c>
      <c r="G110" s="346">
        <f>G100+G102+G104+G106+G108</f>
        <v>114.5</v>
      </c>
    </row>
    <row r="111" spans="1:7" ht="14.1" customHeight="1">
      <c r="A111" s="145" t="s">
        <v>93</v>
      </c>
      <c r="E111" s="417"/>
      <c r="F111" s="349" t="s">
        <v>92</v>
      </c>
      <c r="G111" s="350">
        <f>SUM(G109:G110)</f>
        <v>172.39</v>
      </c>
    </row>
    <row r="112" spans="1:7" ht="14.1" customHeight="1">
      <c r="A112" s="352" t="s">
        <v>94</v>
      </c>
      <c r="B112" s="351">
        <f>G111</f>
        <v>172.39</v>
      </c>
    </row>
    <row r="113" spans="1:9" ht="14.1" customHeight="1">
      <c r="A113" s="352" t="s">
        <v>220</v>
      </c>
      <c r="B113" s="351">
        <f>G109*0.7237</f>
        <v>41.894992999999999</v>
      </c>
    </row>
    <row r="114" spans="1:9" ht="14.1" customHeight="1">
      <c r="A114" s="352" t="s">
        <v>221</v>
      </c>
      <c r="B114" s="351">
        <f>(B112+B113)*0.2457</f>
        <v>52.649822780099996</v>
      </c>
    </row>
    <row r="115" spans="1:9" ht="14.1" customHeight="1">
      <c r="A115" s="352" t="s">
        <v>95</v>
      </c>
      <c r="B115" s="353">
        <f>SUM(B112:B114)</f>
        <v>266.9348157801</v>
      </c>
      <c r="H115" s="393"/>
      <c r="I115" s="145" t="s">
        <v>816</v>
      </c>
    </row>
    <row r="116" spans="1:9">
      <c r="A116" s="355"/>
      <c r="B116" s="356"/>
      <c r="C116" s="357"/>
      <c r="D116" s="355"/>
      <c r="E116" s="356"/>
      <c r="F116" s="356"/>
      <c r="G116" s="356"/>
      <c r="H116" s="355"/>
    </row>
    <row r="118" spans="1:9">
      <c r="A118" s="145" t="s">
        <v>284</v>
      </c>
      <c r="B118" s="418"/>
      <c r="C118" s="418"/>
      <c r="D118" s="418"/>
      <c r="E118" s="418"/>
      <c r="F118" s="418"/>
      <c r="G118" s="418"/>
    </row>
    <row r="119" spans="1:9">
      <c r="A119" s="145" t="s">
        <v>406</v>
      </c>
      <c r="B119" s="419"/>
      <c r="C119" s="419"/>
      <c r="D119" s="419"/>
      <c r="E119" s="419"/>
      <c r="F119" s="419"/>
      <c r="G119" s="419"/>
    </row>
    <row r="120" spans="1:9" ht="28.5" customHeight="1">
      <c r="A120" s="661" t="s">
        <v>408</v>
      </c>
      <c r="B120" s="661"/>
      <c r="C120" s="661"/>
      <c r="D120" s="661"/>
      <c r="E120" s="493" t="s">
        <v>319</v>
      </c>
      <c r="F120" s="145"/>
      <c r="G120" s="419"/>
    </row>
    <row r="121" spans="1:9" ht="22.5">
      <c r="A121" s="515" t="s">
        <v>32</v>
      </c>
      <c r="B121" s="371" t="s">
        <v>21</v>
      </c>
      <c r="C121" s="343" t="s">
        <v>81</v>
      </c>
      <c r="D121" s="465" t="s">
        <v>77</v>
      </c>
      <c r="E121" s="465" t="s">
        <v>82</v>
      </c>
      <c r="F121" s="382" t="s">
        <v>83</v>
      </c>
      <c r="G121" s="383" t="s">
        <v>84</v>
      </c>
    </row>
    <row r="122" spans="1:9" ht="15" customHeight="1">
      <c r="A122" s="650" t="s">
        <v>369</v>
      </c>
      <c r="B122" s="639" t="s">
        <v>105</v>
      </c>
      <c r="C122" s="343" t="s">
        <v>98</v>
      </c>
      <c r="D122" s="658" t="s">
        <v>202</v>
      </c>
      <c r="E122" s="634">
        <v>0.31059999999999999</v>
      </c>
      <c r="F122" s="347">
        <f>G718</f>
        <v>12.590000000000002</v>
      </c>
      <c r="G122" s="346">
        <f t="shared" ref="G122" si="6">TRUNC(E122*F122,2)</f>
        <v>3.91</v>
      </c>
    </row>
    <row r="123" spans="1:9" ht="15" customHeight="1">
      <c r="A123" s="657"/>
      <c r="B123" s="640"/>
      <c r="C123" s="343" t="s">
        <v>87</v>
      </c>
      <c r="D123" s="659"/>
      <c r="E123" s="635"/>
      <c r="F123" s="347">
        <f>G719</f>
        <v>4.5600000000000005</v>
      </c>
      <c r="G123" s="346">
        <f>TRUNC(E122*F123,2)</f>
        <v>1.41</v>
      </c>
    </row>
    <row r="124" spans="1:9" ht="15" customHeight="1">
      <c r="A124" s="650" t="s">
        <v>310</v>
      </c>
      <c r="B124" s="639" t="s">
        <v>100</v>
      </c>
      <c r="C124" s="343" t="s">
        <v>98</v>
      </c>
      <c r="D124" s="634" t="s">
        <v>202</v>
      </c>
      <c r="E124" s="634">
        <v>8.4699999999999998E-2</v>
      </c>
      <c r="F124" s="347">
        <f>G671</f>
        <v>9.35</v>
      </c>
      <c r="G124" s="346">
        <f t="shared" ref="G124" si="7">TRUNC(E124*F124,2)</f>
        <v>0.79</v>
      </c>
    </row>
    <row r="125" spans="1:9" ht="15" customHeight="1">
      <c r="A125" s="657"/>
      <c r="B125" s="660"/>
      <c r="C125" s="343" t="s">
        <v>87</v>
      </c>
      <c r="D125" s="635"/>
      <c r="E125" s="635"/>
      <c r="F125" s="347">
        <f>G672</f>
        <v>4.5600000000000005</v>
      </c>
      <c r="G125" s="346">
        <f>TRUNC(E124*F125,2)</f>
        <v>0.38</v>
      </c>
    </row>
    <row r="126" spans="1:9" ht="18" customHeight="1">
      <c r="A126" s="650">
        <v>94968</v>
      </c>
      <c r="B126" s="636" t="s">
        <v>410</v>
      </c>
      <c r="C126" s="343" t="s">
        <v>98</v>
      </c>
      <c r="D126" s="638" t="s">
        <v>319</v>
      </c>
      <c r="E126" s="638">
        <v>1.1299999999999999</v>
      </c>
      <c r="F126" s="347">
        <f>'COMP AUX'!G258</f>
        <v>31.58</v>
      </c>
      <c r="G126" s="346">
        <f>TRUNC(E126*F126,2)</f>
        <v>35.68</v>
      </c>
    </row>
    <row r="127" spans="1:9" ht="18" customHeight="1">
      <c r="A127" s="651"/>
      <c r="B127" s="637"/>
      <c r="C127" s="343" t="s">
        <v>87</v>
      </c>
      <c r="D127" s="638"/>
      <c r="E127" s="638"/>
      <c r="F127" s="347">
        <f>'COMP AUX'!G259</f>
        <v>208.22</v>
      </c>
      <c r="G127" s="346">
        <f>TRUNC(E126*F127,2)</f>
        <v>235.28</v>
      </c>
    </row>
    <row r="128" spans="1:9" ht="14.1" customHeight="1">
      <c r="E128" s="417"/>
      <c r="F128" s="426" t="s">
        <v>90</v>
      </c>
      <c r="G128" s="346">
        <f>G122+G124+G126</f>
        <v>40.380000000000003</v>
      </c>
    </row>
    <row r="129" spans="1:9" ht="14.1" customHeight="1">
      <c r="E129" s="417"/>
      <c r="F129" s="349" t="s">
        <v>91</v>
      </c>
      <c r="G129" s="346">
        <f>G123+G125+G127</f>
        <v>237.07</v>
      </c>
    </row>
    <row r="130" spans="1:9" ht="14.1" customHeight="1">
      <c r="A130" s="145" t="s">
        <v>93</v>
      </c>
      <c r="E130" s="417"/>
      <c r="F130" s="349" t="s">
        <v>92</v>
      </c>
      <c r="G130" s="346">
        <f>SUM(G128:G129)</f>
        <v>277.45</v>
      </c>
    </row>
    <row r="131" spans="1:9" ht="14.1" customHeight="1">
      <c r="A131" s="352" t="s">
        <v>94</v>
      </c>
      <c r="B131" s="351">
        <f>G130</f>
        <v>277.45</v>
      </c>
    </row>
    <row r="132" spans="1:9" ht="14.1" customHeight="1">
      <c r="A132" s="352" t="s">
        <v>220</v>
      </c>
      <c r="B132" s="351">
        <f>G128*0.7237</f>
        <v>29.223006000000002</v>
      </c>
    </row>
    <row r="133" spans="1:9" ht="14.1" customHeight="1">
      <c r="A133" s="352" t="s">
        <v>221</v>
      </c>
      <c r="B133" s="351">
        <f>(B131+B132)*0.2457</f>
        <v>75.349557574199991</v>
      </c>
    </row>
    <row r="134" spans="1:9" ht="14.1" customHeight="1">
      <c r="A134" s="352" t="s">
        <v>95</v>
      </c>
      <c r="B134" s="353">
        <f>SUM(B131:B133)</f>
        <v>382.02256357419998</v>
      </c>
      <c r="H134" s="393"/>
      <c r="I134" s="145" t="s">
        <v>816</v>
      </c>
    </row>
    <row r="135" spans="1:9">
      <c r="A135" s="355"/>
      <c r="B135" s="356"/>
      <c r="C135" s="357"/>
      <c r="D135" s="355"/>
      <c r="E135" s="356"/>
      <c r="F135" s="356"/>
      <c r="G135" s="356"/>
      <c r="H135" s="355"/>
    </row>
    <row r="137" spans="1:9">
      <c r="A137" s="145" t="s">
        <v>284</v>
      </c>
      <c r="B137" s="418"/>
      <c r="C137" s="418"/>
      <c r="D137" s="418"/>
      <c r="E137" s="418"/>
      <c r="F137" s="418"/>
      <c r="G137" s="418"/>
    </row>
    <row r="138" spans="1:9">
      <c r="A138" s="145" t="s">
        <v>777</v>
      </c>
      <c r="B138" s="419"/>
      <c r="C138" s="419"/>
      <c r="D138" s="419"/>
      <c r="E138" s="419"/>
      <c r="F138" s="419"/>
      <c r="G138" s="419"/>
    </row>
    <row r="139" spans="1:9" ht="25.5" customHeight="1">
      <c r="A139" s="443" t="s">
        <v>688</v>
      </c>
      <c r="B139" s="443" t="s">
        <v>778</v>
      </c>
      <c r="C139" s="493" t="s">
        <v>313</v>
      </c>
      <c r="D139" s="443"/>
      <c r="E139" s="145"/>
      <c r="F139" s="145"/>
      <c r="G139" s="419"/>
    </row>
    <row r="140" spans="1:9" ht="25.5" customHeight="1">
      <c r="A140" s="515" t="s">
        <v>32</v>
      </c>
      <c r="B140" s="371" t="s">
        <v>21</v>
      </c>
      <c r="C140" s="343" t="s">
        <v>81</v>
      </c>
      <c r="D140" s="465" t="s">
        <v>77</v>
      </c>
      <c r="E140" s="465" t="s">
        <v>82</v>
      </c>
      <c r="F140" s="382" t="s">
        <v>83</v>
      </c>
      <c r="G140" s="383" t="s">
        <v>84</v>
      </c>
    </row>
    <row r="141" spans="1:9" ht="14.1" customHeight="1">
      <c r="A141" s="515" t="s">
        <v>302</v>
      </c>
      <c r="B141" s="464" t="s">
        <v>303</v>
      </c>
      <c r="C141" s="343" t="s">
        <v>87</v>
      </c>
      <c r="D141" s="465" t="s">
        <v>313</v>
      </c>
      <c r="E141" s="465">
        <v>2.5000000000000001E-2</v>
      </c>
      <c r="F141" s="465">
        <v>8.6199999999999992</v>
      </c>
      <c r="G141" s="345">
        <f t="shared" ref="G141:G143" si="8">TRUNC(E141*F141,2)</f>
        <v>0.21</v>
      </c>
    </row>
    <row r="142" spans="1:9" ht="33.75">
      <c r="A142" s="515" t="s">
        <v>450</v>
      </c>
      <c r="B142" s="464" t="s">
        <v>451</v>
      </c>
      <c r="C142" s="343" t="s">
        <v>87</v>
      </c>
      <c r="D142" s="465" t="s">
        <v>224</v>
      </c>
      <c r="E142" s="465">
        <v>0.30599999999999999</v>
      </c>
      <c r="F142" s="465">
        <v>0.14000000000000001</v>
      </c>
      <c r="G142" s="345">
        <f t="shared" si="8"/>
        <v>0.04</v>
      </c>
    </row>
    <row r="143" spans="1:9" ht="15" customHeight="1">
      <c r="A143" s="647" t="s">
        <v>452</v>
      </c>
      <c r="B143" s="639" t="s">
        <v>453</v>
      </c>
      <c r="C143" s="343" t="s">
        <v>98</v>
      </c>
      <c r="D143" s="634" t="s">
        <v>202</v>
      </c>
      <c r="E143" s="634">
        <v>2.1999999999999999E-2</v>
      </c>
      <c r="F143" s="347">
        <f>G752</f>
        <v>8.69</v>
      </c>
      <c r="G143" s="346">
        <f t="shared" si="8"/>
        <v>0.19</v>
      </c>
    </row>
    <row r="144" spans="1:9">
      <c r="A144" s="648"/>
      <c r="B144" s="640"/>
      <c r="C144" s="343" t="s">
        <v>87</v>
      </c>
      <c r="D144" s="635"/>
      <c r="E144" s="635"/>
      <c r="F144" s="347">
        <f>G753</f>
        <v>4.5600000000000005</v>
      </c>
      <c r="G144" s="346">
        <f>TRUNC(E143*F144,2)</f>
        <v>0.1</v>
      </c>
    </row>
    <row r="145" spans="1:9" ht="15" customHeight="1">
      <c r="A145" s="647" t="s">
        <v>454</v>
      </c>
      <c r="B145" s="639" t="s">
        <v>455</v>
      </c>
      <c r="C145" s="343" t="s">
        <v>98</v>
      </c>
      <c r="D145" s="634" t="s">
        <v>202</v>
      </c>
      <c r="E145" s="634">
        <v>6.8000000000000005E-2</v>
      </c>
      <c r="F145" s="347">
        <f>G735</f>
        <v>12.49</v>
      </c>
      <c r="G145" s="346">
        <f>TRUNC(E145*F145,2)</f>
        <v>0.84</v>
      </c>
    </row>
    <row r="146" spans="1:9" ht="14.1" customHeight="1">
      <c r="A146" s="648"/>
      <c r="B146" s="640"/>
      <c r="C146" s="343" t="s">
        <v>87</v>
      </c>
      <c r="D146" s="635"/>
      <c r="E146" s="635"/>
      <c r="F146" s="347">
        <f>G736</f>
        <v>4.5600000000000005</v>
      </c>
      <c r="G146" s="346">
        <f>TRUNC(E145*F146,2)</f>
        <v>0.31</v>
      </c>
    </row>
    <row r="147" spans="1:9" ht="15" customHeight="1">
      <c r="A147" s="647">
        <v>92795</v>
      </c>
      <c r="B147" s="639" t="s">
        <v>779</v>
      </c>
      <c r="C147" s="343" t="s">
        <v>98</v>
      </c>
      <c r="D147" s="634" t="s">
        <v>313</v>
      </c>
      <c r="E147" s="673">
        <v>1</v>
      </c>
      <c r="F147" s="347">
        <f>'COMP AUX'!G523</f>
        <v>0.08</v>
      </c>
      <c r="G147" s="346">
        <f>TRUNC(E147*F147,2)</f>
        <v>0.08</v>
      </c>
    </row>
    <row r="148" spans="1:9" ht="15" customHeight="1">
      <c r="A148" s="648"/>
      <c r="B148" s="640"/>
      <c r="C148" s="343" t="s">
        <v>87</v>
      </c>
      <c r="D148" s="635"/>
      <c r="E148" s="674"/>
      <c r="F148" s="347">
        <f>'COMP AUX'!G524</f>
        <v>4.53</v>
      </c>
      <c r="G148" s="346">
        <f>TRUNC(E147*F148,2)</f>
        <v>4.53</v>
      </c>
    </row>
    <row r="149" spans="1:9" ht="14.1" customHeight="1">
      <c r="E149" s="417"/>
      <c r="F149" s="426" t="s">
        <v>90</v>
      </c>
      <c r="G149" s="346">
        <f>G143+G145+G147</f>
        <v>1.1100000000000001</v>
      </c>
    </row>
    <row r="150" spans="1:9" ht="14.1" customHeight="1">
      <c r="E150" s="417"/>
      <c r="F150" s="349" t="s">
        <v>91</v>
      </c>
      <c r="G150" s="346">
        <f>G141+G142+G144+G146+G148</f>
        <v>5.19</v>
      </c>
    </row>
    <row r="151" spans="1:9" ht="14.1" customHeight="1">
      <c r="A151" s="145" t="s">
        <v>93</v>
      </c>
      <c r="E151" s="417"/>
      <c r="F151" s="349" t="s">
        <v>92</v>
      </c>
      <c r="G151" s="350">
        <f>SUM(G149:G150)</f>
        <v>6.3000000000000007</v>
      </c>
    </row>
    <row r="152" spans="1:9" ht="14.1" customHeight="1">
      <c r="A152" s="352" t="s">
        <v>94</v>
      </c>
      <c r="B152" s="351">
        <f>G151</f>
        <v>6.3000000000000007</v>
      </c>
    </row>
    <row r="153" spans="1:9" ht="14.1" customHeight="1">
      <c r="A153" s="352" t="s">
        <v>220</v>
      </c>
      <c r="B153" s="351">
        <f>G149*0.7237</f>
        <v>0.8033070000000001</v>
      </c>
    </row>
    <row r="154" spans="1:9" ht="14.1" customHeight="1">
      <c r="A154" s="352" t="s">
        <v>221</v>
      </c>
      <c r="B154" s="351">
        <f>(B152+B153)*0.2457</f>
        <v>1.7452825299000003</v>
      </c>
    </row>
    <row r="155" spans="1:9" ht="14.1" customHeight="1">
      <c r="A155" s="352" t="s">
        <v>95</v>
      </c>
      <c r="B155" s="353">
        <f>SUM(B152:B154)</f>
        <v>8.8485895299000017</v>
      </c>
      <c r="H155" s="393"/>
      <c r="I155" s="145" t="s">
        <v>816</v>
      </c>
    </row>
    <row r="156" spans="1:9">
      <c r="A156" s="355"/>
      <c r="B156" s="356"/>
      <c r="C156" s="357"/>
      <c r="D156" s="355"/>
      <c r="E156" s="356"/>
      <c r="F156" s="356"/>
      <c r="G156" s="356"/>
      <c r="H156" s="355"/>
    </row>
    <row r="158" spans="1:9">
      <c r="A158" s="145" t="s">
        <v>284</v>
      </c>
      <c r="B158" s="418"/>
      <c r="C158" s="418"/>
      <c r="D158" s="418"/>
      <c r="E158" s="418"/>
      <c r="F158" s="418"/>
      <c r="G158" s="418"/>
    </row>
    <row r="159" spans="1:9">
      <c r="A159" s="145" t="s">
        <v>468</v>
      </c>
      <c r="B159" s="419"/>
      <c r="C159" s="419"/>
      <c r="D159" s="419"/>
      <c r="E159" s="419"/>
      <c r="F159" s="419"/>
      <c r="G159" s="419"/>
    </row>
    <row r="160" spans="1:9">
      <c r="A160" s="419"/>
      <c r="B160" s="419"/>
      <c r="C160" s="419"/>
      <c r="D160" s="419"/>
      <c r="E160" s="419"/>
      <c r="F160" s="419"/>
      <c r="G160" s="419"/>
    </row>
    <row r="161" spans="1:9" ht="27" customHeight="1">
      <c r="A161" s="661" t="s">
        <v>469</v>
      </c>
      <c r="B161" s="661"/>
      <c r="C161" s="661"/>
      <c r="D161" s="661"/>
      <c r="E161" s="493" t="s">
        <v>313</v>
      </c>
      <c r="F161" s="145"/>
      <c r="G161" s="419"/>
    </row>
    <row r="162" spans="1:9" ht="22.5">
      <c r="A162" s="515" t="s">
        <v>32</v>
      </c>
      <c r="B162" s="371" t="s">
        <v>21</v>
      </c>
      <c r="C162" s="343" t="s">
        <v>81</v>
      </c>
      <c r="D162" s="487" t="s">
        <v>77</v>
      </c>
      <c r="E162" s="487" t="s">
        <v>82</v>
      </c>
      <c r="F162" s="382" t="s">
        <v>83</v>
      </c>
      <c r="G162" s="383" t="s">
        <v>84</v>
      </c>
    </row>
    <row r="163" spans="1:9">
      <c r="A163" s="515" t="s">
        <v>302</v>
      </c>
      <c r="B163" s="486" t="s">
        <v>303</v>
      </c>
      <c r="C163" s="343" t="s">
        <v>87</v>
      </c>
      <c r="D163" s="487" t="s">
        <v>313</v>
      </c>
      <c r="E163" s="487">
        <v>1.03E-2</v>
      </c>
      <c r="F163" s="487">
        <v>8.6199999999999992</v>
      </c>
      <c r="G163" s="345">
        <f t="shared" ref="G163:G165" si="9">TRUNC(E163*F163,2)</f>
        <v>0.08</v>
      </c>
    </row>
    <row r="164" spans="1:9" ht="45">
      <c r="A164" s="515">
        <v>7154</v>
      </c>
      <c r="B164" s="486" t="s">
        <v>470</v>
      </c>
      <c r="C164" s="343" t="s">
        <v>87</v>
      </c>
      <c r="D164" s="487" t="s">
        <v>313</v>
      </c>
      <c r="E164" s="487">
        <v>1.03</v>
      </c>
      <c r="F164" s="487">
        <v>5.01</v>
      </c>
      <c r="G164" s="345">
        <f t="shared" si="9"/>
        <v>5.16</v>
      </c>
    </row>
    <row r="165" spans="1:9" ht="11.25" customHeight="1">
      <c r="A165" s="647">
        <v>88316</v>
      </c>
      <c r="B165" s="639" t="s">
        <v>100</v>
      </c>
      <c r="C165" s="343" t="s">
        <v>98</v>
      </c>
      <c r="D165" s="634" t="s">
        <v>202</v>
      </c>
      <c r="E165" s="634">
        <v>0.04</v>
      </c>
      <c r="F165" s="347">
        <f>G671</f>
        <v>9.35</v>
      </c>
      <c r="G165" s="346">
        <f t="shared" si="9"/>
        <v>0.37</v>
      </c>
    </row>
    <row r="166" spans="1:9">
      <c r="A166" s="648"/>
      <c r="B166" s="640"/>
      <c r="C166" s="343" t="s">
        <v>87</v>
      </c>
      <c r="D166" s="635"/>
      <c r="E166" s="635"/>
      <c r="F166" s="347">
        <f>G672</f>
        <v>4.5600000000000005</v>
      </c>
      <c r="G166" s="346">
        <f>TRUNC(E165*F166,2)</f>
        <v>0.18</v>
      </c>
    </row>
    <row r="167" spans="1:9">
      <c r="A167" s="647" t="s">
        <v>454</v>
      </c>
      <c r="B167" s="639" t="s">
        <v>455</v>
      </c>
      <c r="C167" s="343" t="s">
        <v>98</v>
      </c>
      <c r="D167" s="634" t="s">
        <v>202</v>
      </c>
      <c r="E167" s="634">
        <v>0.02</v>
      </c>
      <c r="F167" s="347">
        <f>G735</f>
        <v>12.49</v>
      </c>
      <c r="G167" s="346">
        <f>TRUNC(E167*F167,2)</f>
        <v>0.24</v>
      </c>
    </row>
    <row r="168" spans="1:9">
      <c r="A168" s="648"/>
      <c r="B168" s="640"/>
      <c r="C168" s="343" t="s">
        <v>87</v>
      </c>
      <c r="D168" s="635"/>
      <c r="E168" s="635"/>
      <c r="F168" s="347">
        <f>G736</f>
        <v>4.5600000000000005</v>
      </c>
      <c r="G168" s="346">
        <f>TRUNC(E167*F168,2)</f>
        <v>0.09</v>
      </c>
    </row>
    <row r="169" spans="1:9" ht="14.1" customHeight="1">
      <c r="E169" s="417"/>
      <c r="F169" s="426" t="s">
        <v>90</v>
      </c>
      <c r="G169" s="346">
        <f>G165+G167</f>
        <v>0.61</v>
      </c>
    </row>
    <row r="170" spans="1:9" ht="14.1" customHeight="1">
      <c r="E170" s="417"/>
      <c r="F170" s="349" t="s">
        <v>91</v>
      </c>
      <c r="G170" s="346">
        <f>G163+G164+G166+G168</f>
        <v>5.51</v>
      </c>
    </row>
    <row r="171" spans="1:9" ht="14.1" customHeight="1">
      <c r="A171" s="145" t="s">
        <v>93</v>
      </c>
      <c r="E171" s="417"/>
      <c r="F171" s="349" t="s">
        <v>92</v>
      </c>
      <c r="G171" s="346">
        <f>SUM(G169:G170)</f>
        <v>6.12</v>
      </c>
    </row>
    <row r="172" spans="1:9" ht="14.1" customHeight="1">
      <c r="A172" s="352" t="s">
        <v>94</v>
      </c>
      <c r="B172" s="351">
        <f>G171</f>
        <v>6.12</v>
      </c>
    </row>
    <row r="173" spans="1:9" ht="14.1" customHeight="1">
      <c r="A173" s="352" t="s">
        <v>220</v>
      </c>
      <c r="B173" s="351">
        <f>G169*0.7237</f>
        <v>0.44145699999999999</v>
      </c>
    </row>
    <row r="174" spans="1:9" ht="14.1" customHeight="1">
      <c r="A174" s="352" t="s">
        <v>221</v>
      </c>
      <c r="B174" s="351">
        <f>(B172+B173)*0.2457</f>
        <v>1.6121499849000001</v>
      </c>
    </row>
    <row r="175" spans="1:9" ht="14.1" customHeight="1">
      <c r="A175" s="352" t="s">
        <v>95</v>
      </c>
      <c r="B175" s="353">
        <f>SUM(B172:B174)</f>
        <v>8.1736069848999993</v>
      </c>
      <c r="H175" s="393"/>
      <c r="I175" s="145" t="s">
        <v>816</v>
      </c>
    </row>
    <row r="176" spans="1:9">
      <c r="A176" s="355"/>
      <c r="B176" s="356"/>
      <c r="C176" s="357"/>
      <c r="D176" s="355"/>
      <c r="E176" s="356"/>
      <c r="F176" s="356"/>
      <c r="G176" s="356"/>
      <c r="H176" s="355"/>
    </row>
    <row r="177" spans="1:8">
      <c r="A177" s="364"/>
      <c r="B177" s="365"/>
      <c r="C177" s="366"/>
      <c r="D177" s="364"/>
      <c r="E177" s="365"/>
      <c r="F177" s="365"/>
      <c r="G177" s="365"/>
      <c r="H177" s="364"/>
    </row>
    <row r="178" spans="1:8">
      <c r="A178" s="145" t="s">
        <v>284</v>
      </c>
    </row>
    <row r="179" spans="1:8">
      <c r="A179" s="145" t="s">
        <v>496</v>
      </c>
    </row>
    <row r="180" spans="1:8" ht="26.25" customHeight="1">
      <c r="A180" s="631" t="s">
        <v>497</v>
      </c>
      <c r="B180" s="631"/>
      <c r="C180" s="631"/>
      <c r="D180" s="631"/>
      <c r="E180" s="631"/>
      <c r="F180" s="516" t="s">
        <v>319</v>
      </c>
      <c r="G180" s="395"/>
    </row>
    <row r="181" spans="1:8" ht="22.5">
      <c r="A181" s="515" t="s">
        <v>32</v>
      </c>
      <c r="B181" s="371" t="s">
        <v>21</v>
      </c>
      <c r="C181" s="343" t="s">
        <v>81</v>
      </c>
      <c r="D181" s="506" t="s">
        <v>77</v>
      </c>
      <c r="E181" s="506" t="s">
        <v>82</v>
      </c>
      <c r="F181" s="382" t="s">
        <v>83</v>
      </c>
      <c r="G181" s="383" t="s">
        <v>84</v>
      </c>
    </row>
    <row r="182" spans="1:8" ht="11.25" customHeight="1">
      <c r="A182" s="626" t="s">
        <v>310</v>
      </c>
      <c r="B182" s="639" t="s">
        <v>100</v>
      </c>
      <c r="C182" s="343" t="s">
        <v>98</v>
      </c>
      <c r="D182" s="638" t="s">
        <v>99</v>
      </c>
      <c r="E182" s="642">
        <v>2.31</v>
      </c>
      <c r="F182" s="347">
        <f>G671</f>
        <v>9.35</v>
      </c>
      <c r="G182" s="521">
        <f>TRUNC(E182*F182,2)</f>
        <v>21.59</v>
      </c>
    </row>
    <row r="183" spans="1:8" ht="15" customHeight="1">
      <c r="A183" s="627"/>
      <c r="B183" s="640"/>
      <c r="C183" s="343" t="s">
        <v>87</v>
      </c>
      <c r="D183" s="638"/>
      <c r="E183" s="643"/>
      <c r="F183" s="347">
        <f>G672</f>
        <v>4.5600000000000005</v>
      </c>
      <c r="G183" s="345">
        <f>TRUNC(E182*F183,2)</f>
        <v>10.53</v>
      </c>
    </row>
    <row r="184" spans="1:8" ht="11.25" customHeight="1">
      <c r="A184" s="641">
        <v>88377</v>
      </c>
      <c r="B184" s="636" t="s">
        <v>418</v>
      </c>
      <c r="C184" s="343" t="s">
        <v>98</v>
      </c>
      <c r="D184" s="638" t="s">
        <v>99</v>
      </c>
      <c r="E184" s="634">
        <v>1.46</v>
      </c>
      <c r="F184" s="347">
        <f>'COMP AUX'!G274</f>
        <v>8.92</v>
      </c>
      <c r="G184" s="345">
        <f>TRUNC(E184*F184,2)</f>
        <v>13.02</v>
      </c>
    </row>
    <row r="185" spans="1:8">
      <c r="A185" s="641"/>
      <c r="B185" s="637"/>
      <c r="C185" s="343" t="s">
        <v>87</v>
      </c>
      <c r="D185" s="638"/>
      <c r="E185" s="635"/>
      <c r="F185" s="347">
        <f>'COMP AUX'!G275</f>
        <v>4.12</v>
      </c>
      <c r="G185" s="345">
        <f>TRUNC(E184*F185,2)</f>
        <v>6.01</v>
      </c>
    </row>
    <row r="186" spans="1:8" ht="48.75" customHeight="1">
      <c r="A186" s="543" t="s">
        <v>498</v>
      </c>
      <c r="B186" s="531" t="s">
        <v>499</v>
      </c>
      <c r="C186" s="343" t="s">
        <v>343</v>
      </c>
      <c r="D186" s="504" t="s">
        <v>374</v>
      </c>
      <c r="E186" s="504">
        <v>0.75</v>
      </c>
      <c r="F186" s="347">
        <f>'COMP AUX'!G538</f>
        <v>1.04</v>
      </c>
      <c r="G186" s="346">
        <f>TRUNC(E186*F186,2)</f>
        <v>0.78</v>
      </c>
    </row>
    <row r="187" spans="1:8" ht="47.25" customHeight="1">
      <c r="A187" s="543">
        <v>88831</v>
      </c>
      <c r="B187" s="531" t="s">
        <v>500</v>
      </c>
      <c r="C187" s="343" t="s">
        <v>343</v>
      </c>
      <c r="D187" s="504" t="s">
        <v>327</v>
      </c>
      <c r="E187" s="504">
        <v>0.71</v>
      </c>
      <c r="F187" s="347">
        <f>'COMP AUX'!G589</f>
        <v>0.04</v>
      </c>
      <c r="G187" s="346">
        <f>TRUNC(E187*F187,2)</f>
        <v>0.02</v>
      </c>
    </row>
    <row r="188" spans="1:8" ht="22.5">
      <c r="A188" s="407" t="s">
        <v>411</v>
      </c>
      <c r="B188" s="508" t="s">
        <v>412</v>
      </c>
      <c r="C188" s="343" t="s">
        <v>87</v>
      </c>
      <c r="D188" s="506" t="s">
        <v>319</v>
      </c>
      <c r="E188" s="348">
        <v>0.751</v>
      </c>
      <c r="F188" s="506">
        <v>56.25</v>
      </c>
      <c r="G188" s="345">
        <f>TRUNC(E188*F188,2)</f>
        <v>42.24</v>
      </c>
    </row>
    <row r="189" spans="1:8">
      <c r="A189" s="407" t="s">
        <v>413</v>
      </c>
      <c r="B189" s="508" t="s">
        <v>414</v>
      </c>
      <c r="C189" s="343" t="s">
        <v>87</v>
      </c>
      <c r="D189" s="506" t="s">
        <v>313</v>
      </c>
      <c r="E189" s="348">
        <v>362.66</v>
      </c>
      <c r="F189" s="506">
        <v>0.49</v>
      </c>
      <c r="G189" s="346">
        <f t="shared" ref="G189:G190" si="10">TRUNC(E189*F189,2)</f>
        <v>177.7</v>
      </c>
    </row>
    <row r="190" spans="1:8" ht="22.5">
      <c r="A190" s="407" t="s">
        <v>415</v>
      </c>
      <c r="B190" s="508" t="s">
        <v>416</v>
      </c>
      <c r="C190" s="343" t="s">
        <v>87</v>
      </c>
      <c r="D190" s="506" t="s">
        <v>319</v>
      </c>
      <c r="E190" s="348">
        <v>0.59299999999999997</v>
      </c>
      <c r="F190" s="506">
        <v>63.77</v>
      </c>
      <c r="G190" s="346">
        <f t="shared" si="10"/>
        <v>37.81</v>
      </c>
    </row>
    <row r="191" spans="1:8" ht="14.1" customHeight="1">
      <c r="E191" s="517"/>
      <c r="F191" s="518" t="s">
        <v>90</v>
      </c>
      <c r="G191" s="389">
        <f>G182+G184</f>
        <v>34.61</v>
      </c>
    </row>
    <row r="192" spans="1:8" ht="14.1" customHeight="1">
      <c r="E192" s="417"/>
      <c r="F192" s="349" t="s">
        <v>91</v>
      </c>
      <c r="G192" s="346">
        <f>G183+G185+G186+G187+G188+G189+G190</f>
        <v>275.08999999999997</v>
      </c>
    </row>
    <row r="193" spans="1:9" ht="14.1" customHeight="1">
      <c r="A193" s="145" t="s">
        <v>93</v>
      </c>
      <c r="E193" s="417"/>
      <c r="F193" s="349" t="s">
        <v>92</v>
      </c>
      <c r="G193" s="350">
        <f>SUM(G191:G192)</f>
        <v>309.7</v>
      </c>
    </row>
    <row r="194" spans="1:9" ht="14.1" customHeight="1">
      <c r="A194" s="352" t="s">
        <v>94</v>
      </c>
      <c r="B194" s="351">
        <f>G193</f>
        <v>309.7</v>
      </c>
    </row>
    <row r="195" spans="1:9" ht="14.1" customHeight="1">
      <c r="A195" s="352" t="s">
        <v>220</v>
      </c>
      <c r="B195" s="351">
        <f>G191*0.7237</f>
        <v>25.047256999999998</v>
      </c>
    </row>
    <row r="196" spans="1:9" ht="14.1" customHeight="1">
      <c r="A196" s="352" t="s">
        <v>221</v>
      </c>
      <c r="B196" s="351">
        <f>(B194+B195)*0.2457</f>
        <v>82.247401044900002</v>
      </c>
    </row>
    <row r="197" spans="1:9" ht="14.1" customHeight="1">
      <c r="A197" s="352" t="s">
        <v>95</v>
      </c>
      <c r="B197" s="353">
        <f>SUM(B194:B196)</f>
        <v>416.99465804490001</v>
      </c>
      <c r="H197" s="393"/>
      <c r="I197" s="145" t="s">
        <v>816</v>
      </c>
    </row>
    <row r="198" spans="1:9">
      <c r="A198" s="355"/>
      <c r="B198" s="356"/>
      <c r="C198" s="357"/>
      <c r="D198" s="355"/>
      <c r="E198" s="356"/>
      <c r="F198" s="356"/>
      <c r="G198" s="356"/>
      <c r="H198" s="355"/>
    </row>
    <row r="200" spans="1:9">
      <c r="A200" s="145" t="s">
        <v>284</v>
      </c>
    </row>
    <row r="201" spans="1:9" ht="13.5" customHeight="1">
      <c r="A201" s="151" t="s">
        <v>757</v>
      </c>
    </row>
    <row r="202" spans="1:9" ht="15" customHeight="1">
      <c r="A202" s="529" t="s">
        <v>518</v>
      </c>
      <c r="B202" s="631" t="s">
        <v>756</v>
      </c>
      <c r="C202" s="631"/>
      <c r="D202" s="601" t="s">
        <v>319</v>
      </c>
      <c r="E202" s="529"/>
      <c r="F202" s="145"/>
      <c r="G202" s="395"/>
    </row>
    <row r="203" spans="1:9" ht="22.5">
      <c r="A203" s="573" t="s">
        <v>32</v>
      </c>
      <c r="B203" s="371" t="s">
        <v>21</v>
      </c>
      <c r="C203" s="343" t="s">
        <v>81</v>
      </c>
      <c r="D203" s="569" t="s">
        <v>77</v>
      </c>
      <c r="E203" s="569" t="s">
        <v>82</v>
      </c>
      <c r="F203" s="382" t="s">
        <v>83</v>
      </c>
      <c r="G203" s="383" t="s">
        <v>84</v>
      </c>
    </row>
    <row r="204" spans="1:9" ht="15" customHeight="1">
      <c r="A204" s="626" t="s">
        <v>310</v>
      </c>
      <c r="B204" s="639" t="s">
        <v>100</v>
      </c>
      <c r="C204" s="343" t="s">
        <v>98</v>
      </c>
      <c r="D204" s="638" t="s">
        <v>99</v>
      </c>
      <c r="E204" s="642">
        <v>4.5</v>
      </c>
      <c r="F204" s="347">
        <f>G671</f>
        <v>9.35</v>
      </c>
      <c r="G204" s="521">
        <f>TRUNC(E204*F204,2)</f>
        <v>42.07</v>
      </c>
    </row>
    <row r="205" spans="1:9" ht="15" customHeight="1">
      <c r="A205" s="627"/>
      <c r="B205" s="640"/>
      <c r="C205" s="343" t="s">
        <v>87</v>
      </c>
      <c r="D205" s="638"/>
      <c r="E205" s="643"/>
      <c r="F205" s="347">
        <f>G672</f>
        <v>4.5600000000000005</v>
      </c>
      <c r="G205" s="345">
        <f>TRUNC(E204*F205,2)</f>
        <v>20.52</v>
      </c>
    </row>
    <row r="206" spans="1:9" ht="15" customHeight="1">
      <c r="A206" s="650" t="s">
        <v>369</v>
      </c>
      <c r="B206" s="639" t="s">
        <v>105</v>
      </c>
      <c r="C206" s="343" t="s">
        <v>98</v>
      </c>
      <c r="D206" s="658" t="s">
        <v>202</v>
      </c>
      <c r="E206" s="642">
        <v>1.65</v>
      </c>
      <c r="F206" s="347">
        <f>G718</f>
        <v>12.590000000000002</v>
      </c>
      <c r="G206" s="346">
        <f t="shared" ref="G206:G208" si="11">TRUNC(E206*F206,2)</f>
        <v>20.77</v>
      </c>
    </row>
    <row r="207" spans="1:9" ht="15" customHeight="1">
      <c r="A207" s="657"/>
      <c r="B207" s="640"/>
      <c r="C207" s="343" t="s">
        <v>87</v>
      </c>
      <c r="D207" s="659"/>
      <c r="E207" s="643"/>
      <c r="F207" s="347">
        <f>G719</f>
        <v>4.5600000000000005</v>
      </c>
      <c r="G207" s="346">
        <f>TRUNC(E206*F207,2)</f>
        <v>7.52</v>
      </c>
    </row>
    <row r="208" spans="1:9" ht="37.5" customHeight="1">
      <c r="A208" s="602" t="s">
        <v>758</v>
      </c>
      <c r="B208" s="500" t="s">
        <v>789</v>
      </c>
      <c r="C208" s="343" t="s">
        <v>343</v>
      </c>
      <c r="D208" s="382" t="s">
        <v>374</v>
      </c>
      <c r="E208" s="575">
        <v>0.3</v>
      </c>
      <c r="F208" s="347">
        <f>'COMP AUX'!G363</f>
        <v>1.0699999999999998</v>
      </c>
      <c r="G208" s="346">
        <f t="shared" si="11"/>
        <v>0.32</v>
      </c>
    </row>
    <row r="209" spans="1:11" ht="14.1" customHeight="1">
      <c r="E209" s="517"/>
      <c r="F209" s="518" t="s">
        <v>90</v>
      </c>
      <c r="G209" s="389">
        <f>G204+G206</f>
        <v>62.84</v>
      </c>
    </row>
    <row r="210" spans="1:11" ht="14.1" customHeight="1">
      <c r="E210" s="417"/>
      <c r="F210" s="349" t="s">
        <v>91</v>
      </c>
      <c r="G210" s="346">
        <f>G205+G207+G208</f>
        <v>28.36</v>
      </c>
    </row>
    <row r="211" spans="1:11" ht="14.1" customHeight="1">
      <c r="A211" s="145" t="s">
        <v>93</v>
      </c>
      <c r="E211" s="417"/>
      <c r="F211" s="349" t="s">
        <v>92</v>
      </c>
      <c r="G211" s="350">
        <f>SUM(G209:G210)</f>
        <v>91.2</v>
      </c>
    </row>
    <row r="212" spans="1:11" ht="14.1" customHeight="1">
      <c r="A212" s="352" t="s">
        <v>94</v>
      </c>
      <c r="B212" s="351">
        <f>G211</f>
        <v>91.2</v>
      </c>
    </row>
    <row r="213" spans="1:11" ht="14.1" customHeight="1">
      <c r="A213" s="352" t="s">
        <v>220</v>
      </c>
      <c r="B213" s="351">
        <f>G209*0.7237</f>
        <v>45.477308000000001</v>
      </c>
    </row>
    <row r="214" spans="1:11" ht="14.1" customHeight="1">
      <c r="A214" s="352" t="s">
        <v>221</v>
      </c>
      <c r="B214" s="351">
        <f>(B212+B213)*0.2457</f>
        <v>33.5816145756</v>
      </c>
    </row>
    <row r="215" spans="1:11" ht="14.1" customHeight="1">
      <c r="A215" s="352" t="s">
        <v>95</v>
      </c>
      <c r="B215" s="353">
        <f>SUM(B212:B214)</f>
        <v>170.25892257560002</v>
      </c>
      <c r="H215" s="393"/>
      <c r="I215" s="145" t="s">
        <v>816</v>
      </c>
    </row>
    <row r="216" spans="1:11">
      <c r="A216" s="355"/>
      <c r="B216" s="356"/>
      <c r="C216" s="357"/>
      <c r="D216" s="355"/>
      <c r="E216" s="356"/>
      <c r="F216" s="356"/>
      <c r="G216" s="356"/>
      <c r="H216" s="355"/>
    </row>
    <row r="218" spans="1:11">
      <c r="A218" s="145" t="s">
        <v>284</v>
      </c>
    </row>
    <row r="219" spans="1:11">
      <c r="A219" s="151" t="s">
        <v>809</v>
      </c>
    </row>
    <row r="220" spans="1:11" ht="17.25" customHeight="1">
      <c r="A220" s="395" t="s">
        <v>784</v>
      </c>
      <c r="B220" s="631" t="s">
        <v>811</v>
      </c>
      <c r="C220" s="631"/>
      <c r="D220" s="395" t="s">
        <v>280</v>
      </c>
      <c r="E220" s="395"/>
      <c r="F220" s="395"/>
      <c r="G220" s="395"/>
      <c r="K220" s="151" t="s">
        <v>783</v>
      </c>
    </row>
    <row r="221" spans="1:11" ht="22.5">
      <c r="A221" s="515" t="s">
        <v>32</v>
      </c>
      <c r="B221" s="371" t="s">
        <v>21</v>
      </c>
      <c r="C221" s="343" t="s">
        <v>81</v>
      </c>
      <c r="D221" s="344" t="s">
        <v>77</v>
      </c>
      <c r="E221" s="344" t="s">
        <v>82</v>
      </c>
      <c r="F221" s="382" t="s">
        <v>83</v>
      </c>
      <c r="G221" s="383" t="s">
        <v>84</v>
      </c>
    </row>
    <row r="222" spans="1:11" ht="15" customHeight="1">
      <c r="A222" s="644">
        <v>88309</v>
      </c>
      <c r="B222" s="645" t="s">
        <v>105</v>
      </c>
      <c r="C222" s="343" t="s">
        <v>98</v>
      </c>
      <c r="D222" s="638" t="s">
        <v>99</v>
      </c>
      <c r="E222" s="642">
        <v>0.29999999989999998</v>
      </c>
      <c r="F222" s="347">
        <f>G718</f>
        <v>12.590000000000002</v>
      </c>
      <c r="G222" s="383">
        <f>TRUNC(E222*F222,2)</f>
        <v>3.77</v>
      </c>
    </row>
    <row r="223" spans="1:11" ht="15" customHeight="1">
      <c r="A223" s="644"/>
      <c r="B223" s="645"/>
      <c r="C223" s="343" t="s">
        <v>87</v>
      </c>
      <c r="D223" s="638"/>
      <c r="E223" s="643"/>
      <c r="F223" s="347">
        <f>G719</f>
        <v>4.5600000000000005</v>
      </c>
      <c r="G223" s="345">
        <f>TRUNC(E222*F223,2)</f>
        <v>1.36</v>
      </c>
    </row>
    <row r="224" spans="1:11" ht="15" customHeight="1">
      <c r="A224" s="644">
        <v>88316</v>
      </c>
      <c r="B224" s="636" t="s">
        <v>100</v>
      </c>
      <c r="C224" s="343" t="s">
        <v>98</v>
      </c>
      <c r="D224" s="638" t="s">
        <v>99</v>
      </c>
      <c r="E224" s="642">
        <v>0.3</v>
      </c>
      <c r="F224" s="347">
        <f>G671</f>
        <v>9.35</v>
      </c>
      <c r="G224" s="346">
        <f>TRUNC(E224*F224,2)</f>
        <v>2.8</v>
      </c>
    </row>
    <row r="225" spans="1:14" ht="15" customHeight="1">
      <c r="A225" s="644"/>
      <c r="B225" s="637"/>
      <c r="C225" s="343" t="s">
        <v>87</v>
      </c>
      <c r="D225" s="638"/>
      <c r="E225" s="643"/>
      <c r="F225" s="347">
        <f>G672</f>
        <v>4.5600000000000005</v>
      </c>
      <c r="G225" s="345">
        <f>TRUNC(E224*F225,2)</f>
        <v>1.36</v>
      </c>
    </row>
    <row r="226" spans="1:14" ht="27" customHeight="1">
      <c r="A226" s="515" t="s">
        <v>79</v>
      </c>
      <c r="B226" s="342" t="s">
        <v>807</v>
      </c>
      <c r="C226" s="343" t="s">
        <v>87</v>
      </c>
      <c r="D226" s="344" t="s">
        <v>8</v>
      </c>
      <c r="E226" s="348">
        <v>1</v>
      </c>
      <c r="F226" s="347">
        <f>(M227+M226)/2</f>
        <v>138.4036585365854</v>
      </c>
      <c r="G226" s="345">
        <f>TRUNC(E226*F226,2)</f>
        <v>138.4</v>
      </c>
      <c r="K226" s="145" t="s">
        <v>804</v>
      </c>
      <c r="M226" s="351">
        <f>540.91/4.1</f>
        <v>131.92926829268293</v>
      </c>
      <c r="N226" s="541">
        <v>43276</v>
      </c>
    </row>
    <row r="227" spans="1:14" ht="14.1" customHeight="1">
      <c r="E227" s="417"/>
      <c r="F227" s="426" t="s">
        <v>90</v>
      </c>
      <c r="G227" s="346">
        <f>G222+G224</f>
        <v>6.57</v>
      </c>
      <c r="K227" s="145" t="s">
        <v>695</v>
      </c>
      <c r="M227" s="351">
        <f>594/4.1</f>
        <v>144.87804878048783</v>
      </c>
      <c r="N227" s="541">
        <v>43276</v>
      </c>
    </row>
    <row r="228" spans="1:14" ht="14.1" customHeight="1">
      <c r="E228" s="417"/>
      <c r="F228" s="349" t="s">
        <v>91</v>
      </c>
      <c r="G228" s="346">
        <f>G223+G225+G226</f>
        <v>141.12</v>
      </c>
    </row>
    <row r="229" spans="1:14" ht="14.1" customHeight="1">
      <c r="A229" s="145" t="s">
        <v>93</v>
      </c>
      <c r="E229" s="417"/>
      <c r="F229" s="349" t="s">
        <v>92</v>
      </c>
      <c r="G229" s="350">
        <f>SUM(G227:G228)</f>
        <v>147.69</v>
      </c>
    </row>
    <row r="230" spans="1:14" ht="14.1" customHeight="1">
      <c r="A230" s="352" t="s">
        <v>94</v>
      </c>
      <c r="B230" s="351">
        <f>G229</f>
        <v>147.69</v>
      </c>
    </row>
    <row r="231" spans="1:14" ht="14.1" customHeight="1">
      <c r="A231" s="352" t="s">
        <v>220</v>
      </c>
      <c r="B231" s="351">
        <f>G227*0.7237</f>
        <v>4.7547090000000001</v>
      </c>
    </row>
    <row r="232" spans="1:14" ht="14.1" customHeight="1">
      <c r="A232" s="352" t="s">
        <v>221</v>
      </c>
      <c r="B232" s="351">
        <f>(B230+B231)*0.2457</f>
        <v>37.455665001299998</v>
      </c>
    </row>
    <row r="233" spans="1:14" ht="14.1" customHeight="1">
      <c r="A233" s="352" t="s">
        <v>95</v>
      </c>
      <c r="B233" s="353">
        <f>SUM(B230:B232)</f>
        <v>189.90037400129998</v>
      </c>
      <c r="H233" s="393"/>
      <c r="I233" s="145" t="s">
        <v>816</v>
      </c>
    </row>
    <row r="234" spans="1:14">
      <c r="A234" s="355"/>
      <c r="B234" s="356"/>
      <c r="C234" s="357"/>
      <c r="D234" s="355"/>
      <c r="E234" s="356"/>
      <c r="F234" s="356"/>
      <c r="G234" s="356"/>
      <c r="H234" s="355"/>
    </row>
    <row r="236" spans="1:14">
      <c r="A236" s="145" t="s">
        <v>284</v>
      </c>
    </row>
    <row r="237" spans="1:14">
      <c r="A237" s="151" t="s">
        <v>812</v>
      </c>
    </row>
    <row r="238" spans="1:14">
      <c r="A238" s="151" t="s">
        <v>813</v>
      </c>
      <c r="C238" s="604" t="s">
        <v>280</v>
      </c>
      <c r="K238" s="151" t="s">
        <v>281</v>
      </c>
    </row>
    <row r="240" spans="1:14" ht="22.5">
      <c r="A240" s="515" t="s">
        <v>32</v>
      </c>
      <c r="B240" s="371" t="s">
        <v>21</v>
      </c>
      <c r="C240" s="343" t="s">
        <v>81</v>
      </c>
      <c r="D240" s="344" t="s">
        <v>77</v>
      </c>
      <c r="E240" s="344" t="s">
        <v>82</v>
      </c>
      <c r="F240" s="382" t="s">
        <v>83</v>
      </c>
      <c r="G240" s="383" t="s">
        <v>84</v>
      </c>
    </row>
    <row r="241" spans="1:14" ht="15" customHeight="1">
      <c r="A241" s="649">
        <v>88241</v>
      </c>
      <c r="B241" s="639" t="s">
        <v>199</v>
      </c>
      <c r="C241" s="343" t="s">
        <v>98</v>
      </c>
      <c r="D241" s="634" t="s">
        <v>99</v>
      </c>
      <c r="E241" s="634">
        <v>1.1200000000000001</v>
      </c>
      <c r="F241" s="389">
        <f>G637</f>
        <v>9.0499999999999989</v>
      </c>
      <c r="G241" s="383">
        <f>TRUNC(E241*F241,2)</f>
        <v>10.130000000000001</v>
      </c>
    </row>
    <row r="242" spans="1:14" ht="15" customHeight="1">
      <c r="A242" s="648"/>
      <c r="B242" s="640"/>
      <c r="C242" s="343" t="s">
        <v>87</v>
      </c>
      <c r="D242" s="635"/>
      <c r="E242" s="635"/>
      <c r="F242" s="347">
        <f>G638</f>
        <v>4.5600000000000005</v>
      </c>
      <c r="G242" s="346">
        <f>TRUNC(E241*F242,2)</f>
        <v>5.0999999999999996</v>
      </c>
    </row>
    <row r="243" spans="1:14" ht="15" customHeight="1">
      <c r="A243" s="647">
        <v>88262</v>
      </c>
      <c r="B243" s="639" t="s">
        <v>326</v>
      </c>
      <c r="C243" s="343" t="s">
        <v>98</v>
      </c>
      <c r="D243" s="634" t="s">
        <v>99</v>
      </c>
      <c r="E243" s="634">
        <v>1.1200000000000001</v>
      </c>
      <c r="F243" s="347">
        <f>G654</f>
        <v>12.49</v>
      </c>
      <c r="G243" s="346">
        <f>TRUNC(E243*F243,2)</f>
        <v>13.98</v>
      </c>
    </row>
    <row r="244" spans="1:14" ht="15.75" customHeight="1">
      <c r="A244" s="648"/>
      <c r="B244" s="640"/>
      <c r="C244" s="343" t="s">
        <v>87</v>
      </c>
      <c r="D244" s="635"/>
      <c r="E244" s="635"/>
      <c r="F244" s="347">
        <f>G655</f>
        <v>4.5600000000000005</v>
      </c>
      <c r="G244" s="346">
        <f>TRUNC(E243*F244,2)</f>
        <v>5.0999999999999996</v>
      </c>
    </row>
    <row r="245" spans="1:14" ht="16.5" customHeight="1">
      <c r="A245" s="515">
        <v>5061</v>
      </c>
      <c r="B245" s="342" t="s">
        <v>125</v>
      </c>
      <c r="C245" s="343" t="s">
        <v>87</v>
      </c>
      <c r="D245" s="344" t="s">
        <v>97</v>
      </c>
      <c r="E245" s="344">
        <v>7.4999999999999997E-2</v>
      </c>
      <c r="F245" s="347">
        <v>9</v>
      </c>
      <c r="G245" s="345">
        <f>TRUNC(E245*F245,2)</f>
        <v>0.67</v>
      </c>
    </row>
    <row r="246" spans="1:14" ht="33" customHeight="1">
      <c r="A246" s="515" t="s">
        <v>79</v>
      </c>
      <c r="B246" s="408" t="s">
        <v>803</v>
      </c>
      <c r="C246" s="343" t="s">
        <v>87</v>
      </c>
      <c r="D246" s="344" t="s">
        <v>8</v>
      </c>
      <c r="E246" s="344">
        <v>1.05</v>
      </c>
      <c r="F246" s="358">
        <f>(L249+L250)/2</f>
        <v>55.23</v>
      </c>
      <c r="G246" s="345">
        <f>TRUNC(E246*F246,2)</f>
        <v>57.99</v>
      </c>
      <c r="J246" s="539" t="s">
        <v>694</v>
      </c>
      <c r="K246" s="628" t="s">
        <v>200</v>
      </c>
      <c r="L246" s="629"/>
      <c r="M246" s="629"/>
      <c r="N246" s="538">
        <v>17.7</v>
      </c>
    </row>
    <row r="247" spans="1:14" ht="14.1" customHeight="1">
      <c r="E247" s="417"/>
      <c r="F247" s="349" t="s">
        <v>90</v>
      </c>
      <c r="G247" s="346">
        <f>G241+G243</f>
        <v>24.11</v>
      </c>
    </row>
    <row r="248" spans="1:14" ht="14.1" customHeight="1">
      <c r="E248" s="417"/>
      <c r="F248" s="349" t="s">
        <v>91</v>
      </c>
      <c r="G248" s="346">
        <f>G242+G244+G245+G246</f>
        <v>68.86</v>
      </c>
      <c r="J248" s="540"/>
      <c r="L248" s="351"/>
      <c r="M248" s="541"/>
    </row>
    <row r="249" spans="1:14" ht="14.1" customHeight="1">
      <c r="A249" s="145" t="s">
        <v>93</v>
      </c>
      <c r="E249" s="417"/>
      <c r="F249" s="349" t="s">
        <v>92</v>
      </c>
      <c r="G249" s="345">
        <f>SUM(G247:G248)</f>
        <v>92.97</v>
      </c>
      <c r="J249" s="145" t="s">
        <v>804</v>
      </c>
      <c r="L249" s="351">
        <v>65.459999999999994</v>
      </c>
      <c r="M249" s="541">
        <v>43301</v>
      </c>
    </row>
    <row r="250" spans="1:14" ht="14.1" customHeight="1">
      <c r="A250" s="352" t="s">
        <v>94</v>
      </c>
      <c r="B250" s="147">
        <f>G249</f>
        <v>92.97</v>
      </c>
      <c r="J250" s="145" t="s">
        <v>695</v>
      </c>
      <c r="L250" s="351">
        <v>45</v>
      </c>
      <c r="M250" s="541">
        <v>43301</v>
      </c>
    </row>
    <row r="251" spans="1:14" ht="14.1" customHeight="1">
      <c r="A251" s="352" t="s">
        <v>220</v>
      </c>
      <c r="B251" s="351">
        <f>G247*0.7237</f>
        <v>17.448407</v>
      </c>
    </row>
    <row r="252" spans="1:14" ht="14.1" customHeight="1">
      <c r="A252" s="352" t="s">
        <v>221</v>
      </c>
      <c r="B252" s="351">
        <f>(B250+B251)*0.2457</f>
        <v>27.1298025999</v>
      </c>
    </row>
    <row r="253" spans="1:14" ht="14.1" customHeight="1">
      <c r="A253" s="352" t="s">
        <v>95</v>
      </c>
      <c r="B253" s="353">
        <f>SUM(B250:B252)</f>
        <v>137.54820959989999</v>
      </c>
      <c r="H253" s="393"/>
      <c r="I253" s="145" t="s">
        <v>816</v>
      </c>
    </row>
    <row r="254" spans="1:14">
      <c r="A254" s="377"/>
      <c r="B254" s="378"/>
      <c r="C254" s="379"/>
      <c r="D254" s="377"/>
      <c r="E254" s="378"/>
      <c r="F254" s="378"/>
      <c r="G254" s="378"/>
      <c r="H254" s="377"/>
    </row>
    <row r="256" spans="1:14">
      <c r="A256" s="145" t="s">
        <v>284</v>
      </c>
    </row>
    <row r="257" spans="1:7">
      <c r="A257" s="151" t="s">
        <v>569</v>
      </c>
    </row>
    <row r="258" spans="1:7" ht="33.75" customHeight="1">
      <c r="A258" s="529" t="s">
        <v>518</v>
      </c>
      <c r="B258" s="631" t="s">
        <v>570</v>
      </c>
      <c r="C258" s="631"/>
      <c r="D258" s="631"/>
      <c r="E258" s="631"/>
      <c r="F258" s="395" t="s">
        <v>471</v>
      </c>
      <c r="G258" s="395"/>
    </row>
    <row r="259" spans="1:7" ht="22.5">
      <c r="A259" s="515" t="s">
        <v>32</v>
      </c>
      <c r="B259" s="371" t="s">
        <v>21</v>
      </c>
      <c r="C259" s="343" t="s">
        <v>81</v>
      </c>
      <c r="D259" s="506" t="s">
        <v>77</v>
      </c>
      <c r="E259" s="506" t="s">
        <v>82</v>
      </c>
      <c r="F259" s="382" t="s">
        <v>83</v>
      </c>
      <c r="G259" s="383" t="s">
        <v>84</v>
      </c>
    </row>
    <row r="260" spans="1:7">
      <c r="A260" s="626">
        <v>88239</v>
      </c>
      <c r="B260" s="639" t="s">
        <v>472</v>
      </c>
      <c r="C260" s="343" t="s">
        <v>98</v>
      </c>
      <c r="D260" s="638" t="s">
        <v>99</v>
      </c>
      <c r="E260" s="642">
        <v>0.39400000000000002</v>
      </c>
      <c r="F260" s="347">
        <f>G769</f>
        <v>11.71</v>
      </c>
      <c r="G260" s="521">
        <f>TRUNC(E260*F260,2)</f>
        <v>4.6100000000000003</v>
      </c>
    </row>
    <row r="261" spans="1:7">
      <c r="A261" s="627"/>
      <c r="B261" s="640"/>
      <c r="C261" s="343" t="s">
        <v>87</v>
      </c>
      <c r="D261" s="638"/>
      <c r="E261" s="643"/>
      <c r="F261" s="347">
        <f>G770</f>
        <v>4.5600000000000005</v>
      </c>
      <c r="G261" s="345">
        <f>TRUNC(E260*F261,2)</f>
        <v>1.79</v>
      </c>
    </row>
    <row r="262" spans="1:7">
      <c r="A262" s="641">
        <v>88262</v>
      </c>
      <c r="B262" s="636" t="s">
        <v>279</v>
      </c>
      <c r="C262" s="343" t="s">
        <v>98</v>
      </c>
      <c r="D262" s="638" t="s">
        <v>99</v>
      </c>
      <c r="E262" s="642">
        <v>0.36699999999999999</v>
      </c>
      <c r="F262" s="347">
        <f>G654</f>
        <v>12.49</v>
      </c>
      <c r="G262" s="345">
        <f>TRUNC(E262*F262,2)</f>
        <v>4.58</v>
      </c>
    </row>
    <row r="263" spans="1:7">
      <c r="A263" s="641"/>
      <c r="B263" s="637"/>
      <c r="C263" s="343" t="s">
        <v>87</v>
      </c>
      <c r="D263" s="638"/>
      <c r="E263" s="643"/>
      <c r="F263" s="347">
        <f>G655</f>
        <v>4.5600000000000005</v>
      </c>
      <c r="G263" s="345">
        <f>TRUNC(E262*F263,2)</f>
        <v>1.67</v>
      </c>
    </row>
    <row r="264" spans="1:7" ht="18" customHeight="1">
      <c r="A264" s="626" t="s">
        <v>520</v>
      </c>
      <c r="B264" s="636" t="s">
        <v>522</v>
      </c>
      <c r="C264" s="343" t="s">
        <v>98</v>
      </c>
      <c r="D264" s="634" t="s">
        <v>374</v>
      </c>
      <c r="E264" s="634">
        <v>4.1300000000000003E-2</v>
      </c>
      <c r="F264" s="347">
        <f>'COMP AUX'!G602</f>
        <v>9</v>
      </c>
      <c r="G264" s="345">
        <f>TRUNC(E264*F264,2)</f>
        <v>0.37</v>
      </c>
    </row>
    <row r="265" spans="1:7" ht="18" customHeight="1">
      <c r="A265" s="627"/>
      <c r="B265" s="637"/>
      <c r="C265" s="343" t="s">
        <v>343</v>
      </c>
      <c r="D265" s="635"/>
      <c r="E265" s="635"/>
      <c r="F265" s="347">
        <f>'COMP AUX'!G603</f>
        <v>6.7000000000000011</v>
      </c>
      <c r="G265" s="346">
        <f>TRUNC(E264*F265,2)</f>
        <v>0.27</v>
      </c>
    </row>
    <row r="266" spans="1:7" ht="18" customHeight="1">
      <c r="A266" s="626" t="s">
        <v>521</v>
      </c>
      <c r="B266" s="636" t="s">
        <v>523</v>
      </c>
      <c r="C266" s="343" t="s">
        <v>98</v>
      </c>
      <c r="D266" s="634" t="s">
        <v>327</v>
      </c>
      <c r="E266" s="634">
        <v>5.7200000000000001E-2</v>
      </c>
      <c r="F266" s="347">
        <f>'COMP AUX'!G681</f>
        <v>9</v>
      </c>
      <c r="G266" s="346">
        <f>TRUNC(E266*F266,2)</f>
        <v>0.51</v>
      </c>
    </row>
    <row r="267" spans="1:7" ht="18" customHeight="1">
      <c r="A267" s="627"/>
      <c r="B267" s="637"/>
      <c r="C267" s="343" t="s">
        <v>343</v>
      </c>
      <c r="D267" s="635"/>
      <c r="E267" s="635"/>
      <c r="F267" s="347">
        <f>'COMP AUX'!G682</f>
        <v>4.45</v>
      </c>
      <c r="G267" s="346">
        <f>TRUNC(E266*F267,2)</f>
        <v>0.25</v>
      </c>
    </row>
    <row r="268" spans="1:7" ht="33.75">
      <c r="A268" s="407" t="s">
        <v>524</v>
      </c>
      <c r="B268" s="508" t="s">
        <v>525</v>
      </c>
      <c r="C268" s="343" t="s">
        <v>87</v>
      </c>
      <c r="D268" s="506" t="s">
        <v>280</v>
      </c>
      <c r="E268" s="348">
        <v>3.153</v>
      </c>
      <c r="F268" s="506">
        <v>1.1200000000000001</v>
      </c>
      <c r="G268" s="346">
        <f>TRUNC(E268*F268,2)</f>
        <v>3.53</v>
      </c>
    </row>
    <row r="269" spans="1:7" ht="33.75">
      <c r="A269" s="407" t="s">
        <v>526</v>
      </c>
      <c r="B269" s="508" t="s">
        <v>527</v>
      </c>
      <c r="C269" s="343" t="s">
        <v>87</v>
      </c>
      <c r="D269" s="506" t="s">
        <v>280</v>
      </c>
      <c r="E269" s="348">
        <v>0.63100000000000001</v>
      </c>
      <c r="F269" s="347">
        <v>9.9</v>
      </c>
      <c r="G269" s="346">
        <f t="shared" ref="G269:G273" si="12">TRUNC(E269*F269,2)</f>
        <v>6.24</v>
      </c>
    </row>
    <row r="270" spans="1:7" ht="33.75">
      <c r="A270" s="407" t="s">
        <v>528</v>
      </c>
      <c r="B270" s="508" t="s">
        <v>529</v>
      </c>
      <c r="C270" s="343" t="s">
        <v>87</v>
      </c>
      <c r="D270" s="506" t="s">
        <v>280</v>
      </c>
      <c r="E270" s="348">
        <v>1.8740000000000001</v>
      </c>
      <c r="F270" s="506">
        <v>5.1100000000000003</v>
      </c>
      <c r="G270" s="346">
        <f t="shared" si="12"/>
        <v>9.57</v>
      </c>
    </row>
    <row r="271" spans="1:7" ht="22.5">
      <c r="A271" s="407" t="s">
        <v>530</v>
      </c>
      <c r="B271" s="508" t="s">
        <v>531</v>
      </c>
      <c r="C271" s="343" t="s">
        <v>87</v>
      </c>
      <c r="D271" s="506" t="s">
        <v>313</v>
      </c>
      <c r="E271" s="348">
        <v>7.0000000000000007E-2</v>
      </c>
      <c r="F271" s="506">
        <v>10.130000000000001</v>
      </c>
      <c r="G271" s="346">
        <f t="shared" si="12"/>
        <v>0.7</v>
      </c>
    </row>
    <row r="272" spans="1:7" ht="22.5">
      <c r="A272" s="407" t="s">
        <v>532</v>
      </c>
      <c r="B272" s="508" t="s">
        <v>533</v>
      </c>
      <c r="C272" s="343" t="s">
        <v>87</v>
      </c>
      <c r="D272" s="506" t="s">
        <v>313</v>
      </c>
      <c r="E272" s="348">
        <v>0.05</v>
      </c>
      <c r="F272" s="506">
        <v>9.14</v>
      </c>
      <c r="G272" s="346">
        <f t="shared" si="12"/>
        <v>0.45</v>
      </c>
    </row>
    <row r="273" spans="1:9" ht="22.5">
      <c r="A273" s="407" t="s">
        <v>534</v>
      </c>
      <c r="B273" s="508" t="s">
        <v>535</v>
      </c>
      <c r="C273" s="343" t="s">
        <v>87</v>
      </c>
      <c r="D273" s="506" t="s">
        <v>313</v>
      </c>
      <c r="E273" s="348">
        <v>0.03</v>
      </c>
      <c r="F273" s="506">
        <v>9.2200000000000006</v>
      </c>
      <c r="G273" s="346">
        <f t="shared" si="12"/>
        <v>0.27</v>
      </c>
    </row>
    <row r="274" spans="1:9" ht="14.1" customHeight="1">
      <c r="E274" s="517"/>
      <c r="F274" s="518" t="s">
        <v>90</v>
      </c>
      <c r="G274" s="389">
        <f>G260+G262+G264+G266</f>
        <v>10.07</v>
      </c>
    </row>
    <row r="275" spans="1:9" ht="14.1" customHeight="1">
      <c r="E275" s="417"/>
      <c r="F275" s="349" t="s">
        <v>91</v>
      </c>
      <c r="G275" s="346">
        <f>G261+G263+G265+G267+G268+G269+G270+G271+G272+G273</f>
        <v>24.74</v>
      </c>
    </row>
    <row r="276" spans="1:9" ht="14.1" customHeight="1">
      <c r="A276" s="145" t="s">
        <v>93</v>
      </c>
      <c r="E276" s="417"/>
      <c r="F276" s="349" t="s">
        <v>92</v>
      </c>
      <c r="G276" s="350">
        <f>SUM(G274:G275)</f>
        <v>34.81</v>
      </c>
    </row>
    <row r="277" spans="1:9" ht="14.1" customHeight="1">
      <c r="A277" s="352" t="s">
        <v>94</v>
      </c>
      <c r="B277" s="351">
        <f>G276</f>
        <v>34.81</v>
      </c>
    </row>
    <row r="278" spans="1:9" ht="14.1" customHeight="1">
      <c r="A278" s="352" t="s">
        <v>220</v>
      </c>
      <c r="B278" s="351">
        <f>G274*0.7237</f>
        <v>7.2876590000000006</v>
      </c>
    </row>
    <row r="279" spans="1:9" ht="14.1" customHeight="1">
      <c r="A279" s="352" t="s">
        <v>221</v>
      </c>
      <c r="B279" s="351">
        <f>(B277+B278)*0.2457</f>
        <v>10.3433948163</v>
      </c>
    </row>
    <row r="280" spans="1:9" ht="14.1" customHeight="1">
      <c r="A280" s="352" t="s">
        <v>95</v>
      </c>
      <c r="B280" s="353">
        <f>SUM(B277:B279)</f>
        <v>52.441053816299998</v>
      </c>
      <c r="H280" s="393"/>
      <c r="I280" s="145" t="s">
        <v>816</v>
      </c>
    </row>
    <row r="281" spans="1:9">
      <c r="A281" s="355"/>
      <c r="B281" s="356"/>
      <c r="C281" s="357"/>
      <c r="D281" s="355"/>
      <c r="E281" s="356"/>
      <c r="F281" s="356"/>
      <c r="G281" s="356"/>
      <c r="H281" s="355"/>
    </row>
    <row r="283" spans="1:9">
      <c r="A283" s="145" t="s">
        <v>284</v>
      </c>
    </row>
    <row r="284" spans="1:9">
      <c r="A284" s="151" t="s">
        <v>710</v>
      </c>
    </row>
    <row r="285" spans="1:9" ht="23.25" customHeight="1">
      <c r="A285" s="529" t="s">
        <v>518</v>
      </c>
      <c r="B285" s="631" t="s">
        <v>709</v>
      </c>
      <c r="C285" s="631"/>
      <c r="D285" s="631"/>
      <c r="E285" s="395" t="s">
        <v>471</v>
      </c>
      <c r="G285" s="395"/>
    </row>
    <row r="286" spans="1:9" ht="22.5">
      <c r="A286" s="515" t="s">
        <v>32</v>
      </c>
      <c r="B286" s="371" t="s">
        <v>21</v>
      </c>
      <c r="C286" s="343" t="s">
        <v>81</v>
      </c>
      <c r="D286" s="506" t="s">
        <v>77</v>
      </c>
      <c r="E286" s="506" t="s">
        <v>82</v>
      </c>
      <c r="F286" s="382" t="s">
        <v>83</v>
      </c>
      <c r="G286" s="383" t="s">
        <v>84</v>
      </c>
    </row>
    <row r="287" spans="1:9" ht="11.25" customHeight="1">
      <c r="A287" s="626">
        <v>88316</v>
      </c>
      <c r="B287" s="639" t="s">
        <v>100</v>
      </c>
      <c r="C287" s="343" t="s">
        <v>98</v>
      </c>
      <c r="D287" s="638" t="s">
        <v>99</v>
      </c>
      <c r="E287" s="642">
        <v>0.153</v>
      </c>
      <c r="F287" s="347">
        <f>G671</f>
        <v>9.35</v>
      </c>
      <c r="G287" s="521">
        <f>TRUNC(E287*F287,2)</f>
        <v>1.43</v>
      </c>
    </row>
    <row r="288" spans="1:9">
      <c r="A288" s="627"/>
      <c r="B288" s="640"/>
      <c r="C288" s="343" t="s">
        <v>87</v>
      </c>
      <c r="D288" s="638"/>
      <c r="E288" s="643"/>
      <c r="F288" s="347">
        <f>G672</f>
        <v>4.5600000000000005</v>
      </c>
      <c r="G288" s="345">
        <f>TRUNC(E287*F288,2)</f>
        <v>0.69</v>
      </c>
    </row>
    <row r="289" spans="1:9" ht="11.25" customHeight="1">
      <c r="A289" s="641">
        <v>88323</v>
      </c>
      <c r="B289" s="636" t="s">
        <v>564</v>
      </c>
      <c r="C289" s="343" t="s">
        <v>98</v>
      </c>
      <c r="D289" s="638" t="s">
        <v>99</v>
      </c>
      <c r="E289" s="642">
        <v>4.2000000000000003E-2</v>
      </c>
      <c r="F289" s="347">
        <f>G786</f>
        <v>13.629999999999999</v>
      </c>
      <c r="G289" s="345">
        <f>TRUNC(E289*F289,2)</f>
        <v>0.56999999999999995</v>
      </c>
    </row>
    <row r="290" spans="1:9">
      <c r="A290" s="641"/>
      <c r="B290" s="637"/>
      <c r="C290" s="343" t="s">
        <v>87</v>
      </c>
      <c r="D290" s="638"/>
      <c r="E290" s="643"/>
      <c r="F290" s="347">
        <f>G787</f>
        <v>4.5600000000000005</v>
      </c>
      <c r="G290" s="345">
        <f>TRUNC(E289*F290,2)</f>
        <v>0.19</v>
      </c>
    </row>
    <row r="291" spans="1:9" ht="11.25" customHeight="1">
      <c r="A291" s="626" t="s">
        <v>520</v>
      </c>
      <c r="B291" s="636" t="s">
        <v>522</v>
      </c>
      <c r="C291" s="343" t="s">
        <v>98</v>
      </c>
      <c r="D291" s="634" t="s">
        <v>374</v>
      </c>
      <c r="E291" s="634">
        <v>1.55E-2</v>
      </c>
      <c r="F291" s="347">
        <f>'COMP AUX'!G602</f>
        <v>9</v>
      </c>
      <c r="G291" s="345">
        <f>TRUNC(E291*F291,2)</f>
        <v>0.13</v>
      </c>
    </row>
    <row r="292" spans="1:9">
      <c r="A292" s="627"/>
      <c r="B292" s="637"/>
      <c r="C292" s="343" t="s">
        <v>343</v>
      </c>
      <c r="D292" s="635"/>
      <c r="E292" s="635"/>
      <c r="F292" s="347">
        <f>'COMP AUX'!G603</f>
        <v>6.7000000000000011</v>
      </c>
      <c r="G292" s="346">
        <f>TRUNC(E291*F292,2)</f>
        <v>0.1</v>
      </c>
    </row>
    <row r="293" spans="1:9" ht="11.25" customHeight="1">
      <c r="A293" s="626" t="s">
        <v>521</v>
      </c>
      <c r="B293" s="636" t="s">
        <v>523</v>
      </c>
      <c r="C293" s="343" t="s">
        <v>98</v>
      </c>
      <c r="D293" s="634" t="s">
        <v>327</v>
      </c>
      <c r="E293" s="634">
        <v>2.1499999999999998E-2</v>
      </c>
      <c r="F293" s="347">
        <f>'COMP AUX'!G681</f>
        <v>9</v>
      </c>
      <c r="G293" s="346">
        <f>TRUNC(E293*F293,2)</f>
        <v>0.19</v>
      </c>
    </row>
    <row r="294" spans="1:9">
      <c r="A294" s="627"/>
      <c r="B294" s="637"/>
      <c r="C294" s="343" t="s">
        <v>343</v>
      </c>
      <c r="D294" s="635"/>
      <c r="E294" s="635"/>
      <c r="F294" s="347">
        <f>'COMP AUX'!G682</f>
        <v>4.45</v>
      </c>
      <c r="G294" s="346">
        <f>TRUNC(E293*F294,2)</f>
        <v>0.09</v>
      </c>
    </row>
    <row r="295" spans="1:9" ht="33.75">
      <c r="A295" s="407">
        <v>40865</v>
      </c>
      <c r="B295" s="408" t="s">
        <v>711</v>
      </c>
      <c r="C295" s="343" t="s">
        <v>87</v>
      </c>
      <c r="D295" s="506" t="s">
        <v>224</v>
      </c>
      <c r="E295" s="532">
        <v>11.484</v>
      </c>
      <c r="F295" s="414">
        <v>3.03</v>
      </c>
      <c r="G295" s="346">
        <f>TRUNC(E295*F295,2)</f>
        <v>34.79</v>
      </c>
    </row>
    <row r="296" spans="1:9" ht="14.1" customHeight="1">
      <c r="E296" s="517"/>
      <c r="F296" s="518" t="s">
        <v>90</v>
      </c>
      <c r="G296" s="389">
        <f>G287+G289+G291+G293</f>
        <v>2.3199999999999998</v>
      </c>
    </row>
    <row r="297" spans="1:9" ht="14.1" customHeight="1">
      <c r="E297" s="417"/>
      <c r="F297" s="349" t="s">
        <v>91</v>
      </c>
      <c r="G297" s="346">
        <f>G288+G290+G292+G294+G295</f>
        <v>35.86</v>
      </c>
    </row>
    <row r="298" spans="1:9" ht="14.1" customHeight="1">
      <c r="A298" s="145" t="s">
        <v>93</v>
      </c>
      <c r="E298" s="417"/>
      <c r="F298" s="349" t="s">
        <v>92</v>
      </c>
      <c r="G298" s="350">
        <f>SUM(G296:G297)</f>
        <v>38.18</v>
      </c>
    </row>
    <row r="299" spans="1:9" ht="14.1" customHeight="1">
      <c r="A299" s="352" t="s">
        <v>94</v>
      </c>
      <c r="B299" s="351">
        <f>G298</f>
        <v>38.18</v>
      </c>
    </row>
    <row r="300" spans="1:9" ht="14.1" customHeight="1">
      <c r="A300" s="352" t="s">
        <v>220</v>
      </c>
      <c r="B300" s="351">
        <f>G296*0.7237</f>
        <v>1.6789839999999998</v>
      </c>
    </row>
    <row r="301" spans="1:9" ht="14.1" customHeight="1">
      <c r="A301" s="352" t="s">
        <v>221</v>
      </c>
      <c r="B301" s="351">
        <f>(B299+B300)*0.2457</f>
        <v>9.7933523688000008</v>
      </c>
    </row>
    <row r="302" spans="1:9" ht="14.1" customHeight="1">
      <c r="A302" s="352" t="s">
        <v>95</v>
      </c>
      <c r="B302" s="353">
        <f>SUM(B299:B301)</f>
        <v>49.6523363688</v>
      </c>
      <c r="H302" s="393"/>
      <c r="I302" s="145" t="s">
        <v>816</v>
      </c>
    </row>
    <row r="303" spans="1:9">
      <c r="A303" s="355"/>
      <c r="B303" s="356"/>
      <c r="C303" s="357"/>
      <c r="D303" s="355"/>
      <c r="E303" s="356"/>
      <c r="F303" s="356"/>
      <c r="G303" s="356"/>
      <c r="H303" s="355"/>
    </row>
    <row r="304" spans="1:9" s="364" customFormat="1">
      <c r="B304" s="365"/>
      <c r="C304" s="366"/>
      <c r="E304" s="365"/>
      <c r="F304" s="365"/>
      <c r="G304" s="365"/>
    </row>
    <row r="305" spans="1:7" ht="13.5" customHeight="1">
      <c r="A305" s="145" t="s">
        <v>284</v>
      </c>
    </row>
    <row r="306" spans="1:7" ht="13.5" customHeight="1">
      <c r="A306" s="151" t="s">
        <v>580</v>
      </c>
    </row>
    <row r="307" spans="1:7" ht="34.5" customHeight="1">
      <c r="A307" s="529" t="s">
        <v>518</v>
      </c>
      <c r="B307" s="631" t="s">
        <v>582</v>
      </c>
      <c r="C307" s="631"/>
      <c r="D307" s="631"/>
      <c r="E307" s="395" t="s">
        <v>581</v>
      </c>
      <c r="G307" s="395"/>
    </row>
    <row r="308" spans="1:7" ht="25.5" customHeight="1">
      <c r="A308" s="515" t="s">
        <v>32</v>
      </c>
      <c r="B308" s="371" t="s">
        <v>21</v>
      </c>
      <c r="C308" s="343" t="s">
        <v>81</v>
      </c>
      <c r="D308" s="506" t="s">
        <v>77</v>
      </c>
      <c r="E308" s="506" t="s">
        <v>82</v>
      </c>
      <c r="F308" s="382" t="s">
        <v>83</v>
      </c>
      <c r="G308" s="383" t="s">
        <v>84</v>
      </c>
    </row>
    <row r="309" spans="1:7" ht="13.5" customHeight="1">
      <c r="A309" s="626">
        <v>90447</v>
      </c>
      <c r="B309" s="639" t="s">
        <v>591</v>
      </c>
      <c r="C309" s="343" t="s">
        <v>98</v>
      </c>
      <c r="D309" s="638" t="s">
        <v>280</v>
      </c>
      <c r="E309" s="632">
        <v>2.2000000000000002</v>
      </c>
      <c r="F309" s="347">
        <f>G344</f>
        <v>3.15</v>
      </c>
      <c r="G309" s="521">
        <f>TRUNC(E309*F309,2)</f>
        <v>6.93</v>
      </c>
    </row>
    <row r="310" spans="1:7" ht="13.5" customHeight="1">
      <c r="A310" s="627"/>
      <c r="B310" s="640"/>
      <c r="C310" s="343" t="s">
        <v>87</v>
      </c>
      <c r="D310" s="638"/>
      <c r="E310" s="633"/>
      <c r="F310" s="347">
        <f>G345</f>
        <v>1.1299999999999999</v>
      </c>
      <c r="G310" s="346">
        <f>TRUNC(E309*F310,2)</f>
        <v>2.48</v>
      </c>
    </row>
    <row r="311" spans="1:7" ht="14.1" customHeight="1">
      <c r="A311" s="626" t="s">
        <v>583</v>
      </c>
      <c r="B311" s="636" t="s">
        <v>592</v>
      </c>
      <c r="C311" s="343" t="s">
        <v>98</v>
      </c>
      <c r="D311" s="638" t="s">
        <v>581</v>
      </c>
      <c r="E311" s="632">
        <v>1</v>
      </c>
      <c r="F311" s="347">
        <f>G357</f>
        <v>2.08</v>
      </c>
      <c r="G311" s="346">
        <f>TRUNC(E311*F311,2)</f>
        <v>2.08</v>
      </c>
    </row>
    <row r="312" spans="1:7" ht="14.1" customHeight="1">
      <c r="A312" s="627"/>
      <c r="B312" s="637"/>
      <c r="C312" s="343" t="s">
        <v>87</v>
      </c>
      <c r="D312" s="638"/>
      <c r="E312" s="633"/>
      <c r="F312" s="347">
        <f>G358</f>
        <v>0.75</v>
      </c>
      <c r="G312" s="346">
        <f>TRUNC(E311*F312,2)</f>
        <v>0.75</v>
      </c>
    </row>
    <row r="313" spans="1:7" ht="15.95" customHeight="1">
      <c r="A313" s="626" t="s">
        <v>584</v>
      </c>
      <c r="B313" s="636" t="s">
        <v>593</v>
      </c>
      <c r="C313" s="343" t="s">
        <v>98</v>
      </c>
      <c r="D313" s="634" t="s">
        <v>77</v>
      </c>
      <c r="E313" s="632">
        <v>2.2000000000000002</v>
      </c>
      <c r="F313" s="347">
        <f>G372</f>
        <v>0.23</v>
      </c>
      <c r="G313" s="346">
        <f>TRUNC(E313*F313,2)</f>
        <v>0.5</v>
      </c>
    </row>
    <row r="314" spans="1:7" ht="15.95" customHeight="1">
      <c r="A314" s="627"/>
      <c r="B314" s="637"/>
      <c r="C314" s="343" t="s">
        <v>87</v>
      </c>
      <c r="D314" s="635"/>
      <c r="E314" s="633"/>
      <c r="F314" s="347">
        <f>G373</f>
        <v>0.97</v>
      </c>
      <c r="G314" s="346">
        <f>TRUNC(E313*F314,2)</f>
        <v>2.13</v>
      </c>
    </row>
    <row r="315" spans="1:7" ht="18" customHeight="1">
      <c r="A315" s="626" t="s">
        <v>585</v>
      </c>
      <c r="B315" s="636" t="s">
        <v>628</v>
      </c>
      <c r="C315" s="343" t="s">
        <v>98</v>
      </c>
      <c r="D315" s="634" t="s">
        <v>280</v>
      </c>
      <c r="E315" s="632">
        <v>2</v>
      </c>
      <c r="F315" s="347">
        <f>G400</f>
        <v>1.6</v>
      </c>
      <c r="G315" s="346">
        <f>TRUNC(E315*F315,2)</f>
        <v>3.2</v>
      </c>
    </row>
    <row r="316" spans="1:7" ht="18" customHeight="1">
      <c r="A316" s="627"/>
      <c r="B316" s="637"/>
      <c r="C316" s="343" t="s">
        <v>87</v>
      </c>
      <c r="D316" s="635"/>
      <c r="E316" s="633"/>
      <c r="F316" s="347">
        <f>G401</f>
        <v>0.64</v>
      </c>
      <c r="G316" s="346">
        <f>TRUNC(E315*F316,2)</f>
        <v>1.28</v>
      </c>
    </row>
    <row r="317" spans="1:7" ht="18" customHeight="1">
      <c r="A317" s="626" t="s">
        <v>586</v>
      </c>
      <c r="B317" s="636" t="s">
        <v>630</v>
      </c>
      <c r="C317" s="343" t="s">
        <v>98</v>
      </c>
      <c r="D317" s="634" t="s">
        <v>280</v>
      </c>
      <c r="E317" s="632">
        <v>2.2000000000000002</v>
      </c>
      <c r="F317" s="347">
        <f>G414</f>
        <v>2.8899999999999997</v>
      </c>
      <c r="G317" s="346">
        <f>TRUNC(E317*F317,2)</f>
        <v>6.35</v>
      </c>
    </row>
    <row r="318" spans="1:7" ht="18" customHeight="1">
      <c r="A318" s="627"/>
      <c r="B318" s="637"/>
      <c r="C318" s="343" t="s">
        <v>87</v>
      </c>
      <c r="D318" s="635"/>
      <c r="E318" s="633"/>
      <c r="F318" s="347">
        <f>G415</f>
        <v>2.17</v>
      </c>
      <c r="G318" s="346">
        <f>TRUNC(E317*F318,2)</f>
        <v>4.7699999999999996</v>
      </c>
    </row>
    <row r="319" spans="1:7" ht="18" customHeight="1">
      <c r="A319" s="626" t="s">
        <v>587</v>
      </c>
      <c r="B319" s="636" t="s">
        <v>632</v>
      </c>
      <c r="C319" s="343" t="s">
        <v>98</v>
      </c>
      <c r="D319" s="634" t="s">
        <v>280</v>
      </c>
      <c r="E319" s="632">
        <v>12.6</v>
      </c>
      <c r="F319" s="347">
        <f>G429</f>
        <v>0.53</v>
      </c>
      <c r="G319" s="346">
        <f>TRUNC(E319*F319,2)</f>
        <v>6.67</v>
      </c>
    </row>
    <row r="320" spans="1:7" ht="18" customHeight="1">
      <c r="A320" s="627"/>
      <c r="B320" s="637"/>
      <c r="C320" s="343" t="s">
        <v>87</v>
      </c>
      <c r="D320" s="635"/>
      <c r="E320" s="633"/>
      <c r="F320" s="347">
        <f>G430</f>
        <v>1.03</v>
      </c>
      <c r="G320" s="346">
        <f>TRUNC(E319*F320,2)</f>
        <v>12.97</v>
      </c>
    </row>
    <row r="321" spans="1:9" ht="15" customHeight="1">
      <c r="A321" s="626" t="s">
        <v>588</v>
      </c>
      <c r="B321" s="636" t="s">
        <v>638</v>
      </c>
      <c r="C321" s="343" t="s">
        <v>98</v>
      </c>
      <c r="D321" s="634" t="s">
        <v>581</v>
      </c>
      <c r="E321" s="632">
        <v>0.375</v>
      </c>
      <c r="F321" s="347">
        <f>G443</f>
        <v>2.8899999999999997</v>
      </c>
      <c r="G321" s="346">
        <f>TRUNC(E321*F321,2)</f>
        <v>1.08</v>
      </c>
    </row>
    <row r="322" spans="1:9" ht="15" customHeight="1">
      <c r="A322" s="627"/>
      <c r="B322" s="637"/>
      <c r="C322" s="343" t="s">
        <v>87</v>
      </c>
      <c r="D322" s="635"/>
      <c r="E322" s="633"/>
      <c r="F322" s="347">
        <f>G444</f>
        <v>4.13</v>
      </c>
      <c r="G322" s="346">
        <f>TRUNC(E321*F322,2)</f>
        <v>1.54</v>
      </c>
    </row>
    <row r="323" spans="1:9" ht="18" customHeight="1">
      <c r="A323" s="626" t="s">
        <v>589</v>
      </c>
      <c r="B323" s="636" t="s">
        <v>642</v>
      </c>
      <c r="C323" s="343" t="s">
        <v>98</v>
      </c>
      <c r="D323" s="634" t="s">
        <v>581</v>
      </c>
      <c r="E323" s="632">
        <v>1</v>
      </c>
      <c r="F323" s="347">
        <f>G459</f>
        <v>5.6</v>
      </c>
      <c r="G323" s="346">
        <f>TRUNC(E323*F323,2)</f>
        <v>5.6</v>
      </c>
    </row>
    <row r="324" spans="1:9" ht="18" customHeight="1">
      <c r="A324" s="627"/>
      <c r="B324" s="637"/>
      <c r="C324" s="343" t="s">
        <v>87</v>
      </c>
      <c r="D324" s="635"/>
      <c r="E324" s="633"/>
      <c r="F324" s="347">
        <f>G460</f>
        <v>4.1800000000000006</v>
      </c>
      <c r="G324" s="346">
        <f t="shared" ref="G324:G326" si="13">TRUNC(E323*F324,2)</f>
        <v>4.18</v>
      </c>
    </row>
    <row r="325" spans="1:9" ht="18" customHeight="1">
      <c r="A325" s="626" t="s">
        <v>590</v>
      </c>
      <c r="B325" s="636" t="s">
        <v>645</v>
      </c>
      <c r="C325" s="343" t="s">
        <v>98</v>
      </c>
      <c r="D325" s="634" t="s">
        <v>581</v>
      </c>
      <c r="E325" s="632">
        <v>1</v>
      </c>
      <c r="F325" s="347">
        <f>G472</f>
        <v>7.98</v>
      </c>
      <c r="G325" s="346">
        <f>TRUNC(E325*F325,2)</f>
        <v>7.98</v>
      </c>
    </row>
    <row r="326" spans="1:9" ht="18" customHeight="1">
      <c r="A326" s="627"/>
      <c r="B326" s="637"/>
      <c r="C326" s="343" t="s">
        <v>87</v>
      </c>
      <c r="D326" s="635"/>
      <c r="E326" s="633"/>
      <c r="F326" s="347">
        <f>G473</f>
        <v>13.55</v>
      </c>
      <c r="G326" s="346">
        <f t="shared" si="13"/>
        <v>13.55</v>
      </c>
    </row>
    <row r="327" spans="1:9" ht="13.5" customHeight="1">
      <c r="E327" s="517"/>
      <c r="F327" s="518" t="s">
        <v>90</v>
      </c>
      <c r="G327" s="389">
        <f>G309+G311+G313+G315+G317+G319+G321+G323+G325</f>
        <v>40.39</v>
      </c>
    </row>
    <row r="328" spans="1:9" ht="13.5" customHeight="1">
      <c r="E328" s="417"/>
      <c r="F328" s="349" t="s">
        <v>91</v>
      </c>
      <c r="G328" s="346">
        <f>G310+G312+G314+G316+G318+G320+G322+G324+G326</f>
        <v>43.650000000000006</v>
      </c>
    </row>
    <row r="329" spans="1:9" ht="13.5" customHeight="1">
      <c r="A329" s="145" t="s">
        <v>93</v>
      </c>
      <c r="E329" s="417"/>
      <c r="F329" s="349" t="s">
        <v>92</v>
      </c>
      <c r="G329" s="350">
        <f>SUM(G327:G328)</f>
        <v>84.04</v>
      </c>
    </row>
    <row r="330" spans="1:9" ht="13.5" customHeight="1">
      <c r="A330" s="352" t="s">
        <v>94</v>
      </c>
      <c r="B330" s="351">
        <f>G329</f>
        <v>84.04</v>
      </c>
    </row>
    <row r="331" spans="1:9" ht="13.5" customHeight="1">
      <c r="A331" s="352" t="s">
        <v>220</v>
      </c>
      <c r="B331" s="351">
        <f>G327*0.7237</f>
        <v>29.230243000000002</v>
      </c>
    </row>
    <row r="332" spans="1:9" ht="13.5" customHeight="1">
      <c r="A332" s="352" t="s">
        <v>221</v>
      </c>
      <c r="B332" s="351">
        <f>(B330+B331)*0.2457</f>
        <v>27.830498705100002</v>
      </c>
    </row>
    <row r="333" spans="1:9" ht="13.5" customHeight="1">
      <c r="A333" s="352" t="s">
        <v>95</v>
      </c>
      <c r="B333" s="353">
        <f>SUM(B330:B332)</f>
        <v>141.10074170510001</v>
      </c>
      <c r="H333" s="393"/>
      <c r="I333" s="145" t="s">
        <v>816</v>
      </c>
    </row>
    <row r="334" spans="1:9" ht="13.5" customHeight="1">
      <c r="A334" s="355"/>
      <c r="B334" s="356"/>
      <c r="C334" s="357"/>
      <c r="D334" s="355"/>
      <c r="E334" s="356"/>
      <c r="F334" s="356"/>
      <c r="G334" s="356"/>
      <c r="H334" s="355"/>
    </row>
    <row r="335" spans="1:9" ht="13.5" customHeight="1">
      <c r="A335" s="386"/>
      <c r="B335" s="353"/>
      <c r="H335" s="364"/>
    </row>
    <row r="336" spans="1:9" ht="13.5" customHeight="1">
      <c r="A336" s="145" t="s">
        <v>284</v>
      </c>
      <c r="H336" s="364"/>
    </row>
    <row r="337" spans="1:8" ht="13.5" customHeight="1">
      <c r="A337" s="151" t="s">
        <v>594</v>
      </c>
      <c r="H337" s="364"/>
    </row>
    <row r="338" spans="1:8" ht="26.25" customHeight="1">
      <c r="A338" s="529" t="s">
        <v>518</v>
      </c>
      <c r="B338" s="631" t="s">
        <v>595</v>
      </c>
      <c r="C338" s="631"/>
      <c r="D338" s="631"/>
      <c r="E338" s="395" t="s">
        <v>280</v>
      </c>
      <c r="G338" s="395"/>
      <c r="H338" s="364"/>
    </row>
    <row r="339" spans="1:8" ht="23.25" customHeight="1">
      <c r="A339" s="515" t="s">
        <v>32</v>
      </c>
      <c r="B339" s="371" t="s">
        <v>21</v>
      </c>
      <c r="C339" s="343" t="s">
        <v>81</v>
      </c>
      <c r="D339" s="506" t="s">
        <v>77</v>
      </c>
      <c r="E339" s="506" t="s">
        <v>82</v>
      </c>
      <c r="F339" s="382" t="s">
        <v>83</v>
      </c>
      <c r="G339" s="383" t="s">
        <v>84</v>
      </c>
      <c r="H339" s="364"/>
    </row>
    <row r="340" spans="1:8" ht="13.5" customHeight="1">
      <c r="A340" s="626">
        <v>88247</v>
      </c>
      <c r="B340" s="639" t="s">
        <v>596</v>
      </c>
      <c r="C340" s="343" t="s">
        <v>98</v>
      </c>
      <c r="D340" s="638" t="s">
        <v>202</v>
      </c>
      <c r="E340" s="632">
        <v>3.4000000000000002E-2</v>
      </c>
      <c r="F340" s="347">
        <f>G837</f>
        <v>9.26</v>
      </c>
      <c r="G340" s="521">
        <f>TRUNC(E340*F340,2)</f>
        <v>0.31</v>
      </c>
      <c r="H340" s="364"/>
    </row>
    <row r="341" spans="1:8" ht="13.5" customHeight="1">
      <c r="A341" s="627"/>
      <c r="B341" s="640"/>
      <c r="C341" s="343" t="s">
        <v>87</v>
      </c>
      <c r="D341" s="638"/>
      <c r="E341" s="633"/>
      <c r="F341" s="347">
        <f>G838</f>
        <v>4.5600000000000005</v>
      </c>
      <c r="G341" s="346">
        <f>TRUNC(E340*F341,2)</f>
        <v>0.15</v>
      </c>
      <c r="H341" s="364"/>
    </row>
    <row r="342" spans="1:8" ht="13.5" customHeight="1">
      <c r="A342" s="626">
        <v>88264</v>
      </c>
      <c r="B342" s="636" t="s">
        <v>597</v>
      </c>
      <c r="C342" s="343" t="s">
        <v>98</v>
      </c>
      <c r="D342" s="638" t="s">
        <v>202</v>
      </c>
      <c r="E342" s="632">
        <v>0.216</v>
      </c>
      <c r="F342" s="347">
        <f>G820</f>
        <v>13.190000000000001</v>
      </c>
      <c r="G342" s="346">
        <f>TRUNC(E342*F342,2)</f>
        <v>2.84</v>
      </c>
      <c r="H342" s="364"/>
    </row>
    <row r="343" spans="1:8" ht="13.5" customHeight="1">
      <c r="A343" s="627"/>
      <c r="B343" s="637"/>
      <c r="C343" s="343" t="s">
        <v>87</v>
      </c>
      <c r="D343" s="638"/>
      <c r="E343" s="633"/>
      <c r="F343" s="347">
        <f>G821</f>
        <v>4.5600000000000005</v>
      </c>
      <c r="G343" s="346">
        <f>TRUNC(E342*F343,2)</f>
        <v>0.98</v>
      </c>
      <c r="H343" s="364"/>
    </row>
    <row r="344" spans="1:8" ht="13.5" customHeight="1">
      <c r="E344" s="517"/>
      <c r="F344" s="518" t="s">
        <v>90</v>
      </c>
      <c r="G344" s="389">
        <f>G340+G342</f>
        <v>3.15</v>
      </c>
    </row>
    <row r="345" spans="1:8" ht="13.5" customHeight="1">
      <c r="E345" s="417"/>
      <c r="F345" s="349" t="s">
        <v>91</v>
      </c>
      <c r="G345" s="346">
        <f>G341+G343</f>
        <v>1.1299999999999999</v>
      </c>
    </row>
    <row r="346" spans="1:8" ht="13.5" customHeight="1">
      <c r="E346" s="417"/>
      <c r="F346" s="349" t="s">
        <v>92</v>
      </c>
      <c r="G346" s="350">
        <f>SUM(G344:G345)</f>
        <v>4.2799999999999994</v>
      </c>
    </row>
    <row r="347" spans="1:8" ht="13.5" customHeight="1">
      <c r="A347" s="355"/>
      <c r="B347" s="356"/>
      <c r="C347" s="357"/>
      <c r="D347" s="355"/>
      <c r="E347" s="356"/>
      <c r="F347" s="356"/>
      <c r="G347" s="356"/>
      <c r="H347" s="355"/>
    </row>
    <row r="348" spans="1:8" ht="13.5" customHeight="1">
      <c r="A348" s="386"/>
      <c r="B348" s="353"/>
      <c r="H348" s="364"/>
    </row>
    <row r="349" spans="1:8" ht="13.5" customHeight="1">
      <c r="A349" s="145" t="s">
        <v>284</v>
      </c>
      <c r="H349" s="364"/>
    </row>
    <row r="350" spans="1:8" ht="13.5" customHeight="1">
      <c r="A350" s="151" t="s">
        <v>606</v>
      </c>
      <c r="H350" s="364"/>
    </row>
    <row r="351" spans="1:8" ht="24" customHeight="1">
      <c r="A351" s="529" t="s">
        <v>518</v>
      </c>
      <c r="B351" s="529" t="s">
        <v>607</v>
      </c>
      <c r="C351" s="395" t="s">
        <v>581</v>
      </c>
      <c r="D351" s="529"/>
      <c r="E351" s="145"/>
      <c r="G351" s="395"/>
      <c r="H351" s="364"/>
    </row>
    <row r="352" spans="1:8" ht="23.25" customHeight="1">
      <c r="A352" s="515" t="s">
        <v>32</v>
      </c>
      <c r="B352" s="371" t="s">
        <v>21</v>
      </c>
      <c r="C352" s="343" t="s">
        <v>81</v>
      </c>
      <c r="D352" s="506" t="s">
        <v>77</v>
      </c>
      <c r="E352" s="506" t="s">
        <v>82</v>
      </c>
      <c r="F352" s="382" t="s">
        <v>83</v>
      </c>
      <c r="G352" s="383" t="s">
        <v>84</v>
      </c>
      <c r="H352" s="364"/>
    </row>
    <row r="353" spans="1:8" ht="13.5" customHeight="1">
      <c r="A353" s="626">
        <v>88248</v>
      </c>
      <c r="B353" s="639" t="s">
        <v>608</v>
      </c>
      <c r="C353" s="343" t="s">
        <v>98</v>
      </c>
      <c r="D353" s="638" t="s">
        <v>202</v>
      </c>
      <c r="E353" s="632">
        <v>2.3E-2</v>
      </c>
      <c r="F353" s="347">
        <f>G854</f>
        <v>9.1900000000000013</v>
      </c>
      <c r="G353" s="521">
        <f>TRUNC(E353*F353,2)</f>
        <v>0.21</v>
      </c>
      <c r="H353" s="364"/>
    </row>
    <row r="354" spans="1:8" ht="13.5" customHeight="1">
      <c r="A354" s="627"/>
      <c r="B354" s="640"/>
      <c r="C354" s="343" t="s">
        <v>87</v>
      </c>
      <c r="D354" s="638"/>
      <c r="E354" s="633"/>
      <c r="F354" s="347">
        <f>G855</f>
        <v>4.5600000000000005</v>
      </c>
      <c r="G354" s="346">
        <f>TRUNC(E353*F354,2)</f>
        <v>0.1</v>
      </c>
      <c r="H354" s="364"/>
    </row>
    <row r="355" spans="1:8" ht="13.5" customHeight="1">
      <c r="A355" s="626">
        <v>88267</v>
      </c>
      <c r="B355" s="636" t="s">
        <v>609</v>
      </c>
      <c r="C355" s="343" t="s">
        <v>98</v>
      </c>
      <c r="D355" s="638" t="s">
        <v>202</v>
      </c>
      <c r="E355" s="632">
        <v>0.14399999999999999</v>
      </c>
      <c r="F355" s="347">
        <f>G871</f>
        <v>12.99</v>
      </c>
      <c r="G355" s="346">
        <f>TRUNC(E355*F355,2)</f>
        <v>1.87</v>
      </c>
      <c r="H355" s="364"/>
    </row>
    <row r="356" spans="1:8" ht="13.5" customHeight="1">
      <c r="A356" s="627"/>
      <c r="B356" s="637"/>
      <c r="C356" s="343" t="s">
        <v>87</v>
      </c>
      <c r="D356" s="638"/>
      <c r="E356" s="633"/>
      <c r="F356" s="347">
        <f>G872</f>
        <v>4.5600000000000005</v>
      </c>
      <c r="G356" s="346">
        <f>TRUNC(E355*F356,2)</f>
        <v>0.65</v>
      </c>
      <c r="H356" s="364"/>
    </row>
    <row r="357" spans="1:8" ht="13.5" customHeight="1">
      <c r="E357" s="517"/>
      <c r="F357" s="518" t="s">
        <v>90</v>
      </c>
      <c r="G357" s="389">
        <f>G353+G355</f>
        <v>2.08</v>
      </c>
    </row>
    <row r="358" spans="1:8" ht="13.5" customHeight="1">
      <c r="E358" s="417"/>
      <c r="F358" s="349" t="s">
        <v>91</v>
      </c>
      <c r="G358" s="346">
        <f>G354+G356</f>
        <v>0.75</v>
      </c>
    </row>
    <row r="359" spans="1:8" ht="13.5" customHeight="1">
      <c r="E359" s="417"/>
      <c r="F359" s="349" t="s">
        <v>92</v>
      </c>
      <c r="G359" s="350">
        <f>SUM(G357:G358)</f>
        <v>2.83</v>
      </c>
    </row>
    <row r="360" spans="1:8" ht="13.5" customHeight="1">
      <c r="A360" s="355"/>
      <c r="B360" s="356"/>
      <c r="C360" s="357"/>
      <c r="D360" s="355"/>
      <c r="E360" s="356"/>
      <c r="F360" s="356"/>
      <c r="G360" s="356"/>
      <c r="H360" s="355"/>
    </row>
    <row r="361" spans="1:8" ht="13.5" customHeight="1">
      <c r="A361" s="386"/>
      <c r="B361" s="353"/>
      <c r="H361" s="364"/>
    </row>
    <row r="362" spans="1:8" ht="13.5" customHeight="1">
      <c r="A362" s="145" t="s">
        <v>284</v>
      </c>
      <c r="H362" s="364"/>
    </row>
    <row r="363" spans="1:8" ht="13.5" customHeight="1">
      <c r="A363" s="151" t="s">
        <v>618</v>
      </c>
      <c r="H363" s="364"/>
    </row>
    <row r="364" spans="1:8" ht="21.75" customHeight="1">
      <c r="A364" s="529" t="s">
        <v>518</v>
      </c>
      <c r="B364" s="631" t="s">
        <v>593</v>
      </c>
      <c r="C364" s="631"/>
      <c r="D364" s="631"/>
      <c r="E364" s="395" t="s">
        <v>280</v>
      </c>
      <c r="G364" s="395"/>
      <c r="H364" s="364"/>
    </row>
    <row r="365" spans="1:8" ht="23.25" customHeight="1">
      <c r="A365" s="515" t="s">
        <v>32</v>
      </c>
      <c r="B365" s="371" t="s">
        <v>21</v>
      </c>
      <c r="C365" s="343" t="s">
        <v>81</v>
      </c>
      <c r="D365" s="525" t="s">
        <v>77</v>
      </c>
      <c r="E365" s="525" t="s">
        <v>82</v>
      </c>
      <c r="F365" s="382" t="s">
        <v>83</v>
      </c>
      <c r="G365" s="383" t="s">
        <v>84</v>
      </c>
      <c r="H365" s="364"/>
    </row>
    <row r="366" spans="1:8" ht="13.5" customHeight="1">
      <c r="A366" s="626">
        <v>88248</v>
      </c>
      <c r="B366" s="639" t="s">
        <v>608</v>
      </c>
      <c r="C366" s="343" t="s">
        <v>98</v>
      </c>
      <c r="D366" s="638" t="s">
        <v>202</v>
      </c>
      <c r="E366" s="632">
        <v>5.5E-2</v>
      </c>
      <c r="F366" s="347">
        <f>G867</f>
        <v>0.02</v>
      </c>
      <c r="G366" s="521">
        <f>TRUNC(E366*F366,2)</f>
        <v>0</v>
      </c>
      <c r="H366" s="364"/>
    </row>
    <row r="367" spans="1:8" ht="13.5" customHeight="1">
      <c r="A367" s="627"/>
      <c r="B367" s="640"/>
      <c r="C367" s="343" t="s">
        <v>87</v>
      </c>
      <c r="D367" s="638"/>
      <c r="E367" s="633"/>
      <c r="F367" s="347">
        <f>G868</f>
        <v>0.44</v>
      </c>
      <c r="G367" s="346">
        <f>TRUNC(E366*F367,2)</f>
        <v>0.02</v>
      </c>
      <c r="H367" s="364"/>
    </row>
    <row r="368" spans="1:8" ht="13.5" customHeight="1">
      <c r="A368" s="626">
        <v>88267</v>
      </c>
      <c r="B368" s="636" t="s">
        <v>609</v>
      </c>
      <c r="C368" s="343" t="s">
        <v>98</v>
      </c>
      <c r="D368" s="638" t="s">
        <v>202</v>
      </c>
      <c r="E368" s="632">
        <v>0.39100000000000001</v>
      </c>
      <c r="F368" s="347">
        <f>G884</f>
        <v>0</v>
      </c>
      <c r="G368" s="346">
        <f>TRUNC(E368*F368,2)</f>
        <v>0</v>
      </c>
      <c r="H368" s="364"/>
    </row>
    <row r="369" spans="1:8" ht="13.5" customHeight="1">
      <c r="A369" s="627"/>
      <c r="B369" s="637"/>
      <c r="C369" s="343" t="s">
        <v>87</v>
      </c>
      <c r="D369" s="638"/>
      <c r="E369" s="633"/>
      <c r="F369" s="347">
        <f>G885</f>
        <v>0</v>
      </c>
      <c r="G369" s="346">
        <f>TRUNC(E368*F369,2)</f>
        <v>0</v>
      </c>
      <c r="H369" s="364"/>
    </row>
    <row r="370" spans="1:8" ht="14.1" customHeight="1">
      <c r="A370" s="626">
        <v>88629</v>
      </c>
      <c r="B370" s="636" t="s">
        <v>619</v>
      </c>
      <c r="C370" s="343" t="s">
        <v>98</v>
      </c>
      <c r="D370" s="634" t="s">
        <v>319</v>
      </c>
      <c r="E370" s="632">
        <v>3.0000000000000001E-3</v>
      </c>
      <c r="F370" s="347">
        <f>G385</f>
        <v>79.28</v>
      </c>
      <c r="G370" s="346">
        <f>TRUNC(E370*F370,2)</f>
        <v>0.23</v>
      </c>
      <c r="H370" s="364"/>
    </row>
    <row r="371" spans="1:8" ht="14.1" customHeight="1">
      <c r="A371" s="627"/>
      <c r="B371" s="637"/>
      <c r="C371" s="343" t="s">
        <v>87</v>
      </c>
      <c r="D371" s="635"/>
      <c r="E371" s="633"/>
      <c r="F371" s="347">
        <f>G386</f>
        <v>319.67</v>
      </c>
      <c r="G371" s="346">
        <f t="shared" ref="G371" si="14">TRUNC(E370*F371,2)</f>
        <v>0.95</v>
      </c>
      <c r="H371" s="364"/>
    </row>
    <row r="372" spans="1:8" ht="13.5" customHeight="1">
      <c r="E372" s="517"/>
      <c r="F372" s="518" t="s">
        <v>90</v>
      </c>
      <c r="G372" s="389">
        <f>G366+G368+G370</f>
        <v>0.23</v>
      </c>
    </row>
    <row r="373" spans="1:8" ht="13.5" customHeight="1">
      <c r="E373" s="417"/>
      <c r="F373" s="349" t="s">
        <v>91</v>
      </c>
      <c r="G373" s="346">
        <f>G367+G369+G371</f>
        <v>0.97</v>
      </c>
    </row>
    <row r="374" spans="1:8" ht="13.5" customHeight="1">
      <c r="E374" s="417"/>
      <c r="F374" s="349" t="s">
        <v>92</v>
      </c>
      <c r="G374" s="350">
        <f>SUM(G372:G373)</f>
        <v>1.2</v>
      </c>
    </row>
    <row r="375" spans="1:8" ht="13.5" customHeight="1">
      <c r="A375" s="355"/>
      <c r="B375" s="356"/>
      <c r="C375" s="357"/>
      <c r="D375" s="355"/>
      <c r="E375" s="356"/>
      <c r="F375" s="356"/>
      <c r="G375" s="356"/>
      <c r="H375" s="355"/>
    </row>
    <row r="376" spans="1:8" ht="13.5" customHeight="1">
      <c r="A376" s="386"/>
      <c r="B376" s="353"/>
      <c r="H376" s="364"/>
    </row>
    <row r="377" spans="1:8" ht="13.5" customHeight="1">
      <c r="A377" s="145" t="s">
        <v>284</v>
      </c>
      <c r="H377" s="364"/>
    </row>
    <row r="378" spans="1:8" ht="13.5" customHeight="1">
      <c r="A378" s="151" t="s">
        <v>620</v>
      </c>
      <c r="H378" s="364"/>
    </row>
    <row r="379" spans="1:8" ht="18.75" customHeight="1">
      <c r="A379" s="529" t="s">
        <v>518</v>
      </c>
      <c r="B379" s="631" t="s">
        <v>621</v>
      </c>
      <c r="C379" s="631"/>
      <c r="D379" s="631"/>
      <c r="E379" s="395" t="s">
        <v>319</v>
      </c>
      <c r="G379" s="395"/>
      <c r="H379" s="364"/>
    </row>
    <row r="380" spans="1:8" ht="22.5" customHeight="1">
      <c r="A380" s="515" t="s">
        <v>32</v>
      </c>
      <c r="B380" s="371" t="s">
        <v>21</v>
      </c>
      <c r="C380" s="343" t="s">
        <v>81</v>
      </c>
      <c r="D380" s="525" t="s">
        <v>77</v>
      </c>
      <c r="E380" s="525" t="s">
        <v>82</v>
      </c>
      <c r="F380" s="382" t="s">
        <v>83</v>
      </c>
      <c r="G380" s="383" t="s">
        <v>84</v>
      </c>
      <c r="H380" s="364"/>
    </row>
    <row r="381" spans="1:8" ht="13.5" customHeight="1">
      <c r="A381" s="626">
        <v>88262</v>
      </c>
      <c r="B381" s="639" t="s">
        <v>575</v>
      </c>
      <c r="C381" s="343" t="s">
        <v>98</v>
      </c>
      <c r="D381" s="638" t="s">
        <v>99</v>
      </c>
      <c r="E381" s="632">
        <v>8.48</v>
      </c>
      <c r="F381" s="347">
        <f>G671</f>
        <v>9.35</v>
      </c>
      <c r="G381" s="521">
        <f>TRUNC(E381*F381,2)</f>
        <v>79.28</v>
      </c>
      <c r="H381" s="364"/>
    </row>
    <row r="382" spans="1:8" ht="13.5" customHeight="1">
      <c r="A382" s="627"/>
      <c r="B382" s="640"/>
      <c r="C382" s="343" t="s">
        <v>87</v>
      </c>
      <c r="D382" s="638"/>
      <c r="E382" s="633"/>
      <c r="F382" s="347">
        <f>G672</f>
        <v>4.5600000000000005</v>
      </c>
      <c r="G382" s="345">
        <f>TRUNC(E381*F382,2)</f>
        <v>38.659999999999997</v>
      </c>
      <c r="H382" s="364"/>
    </row>
    <row r="383" spans="1:8" ht="21" customHeight="1">
      <c r="A383" s="515" t="s">
        <v>411</v>
      </c>
      <c r="B383" s="533" t="s">
        <v>412</v>
      </c>
      <c r="C383" s="343" t="s">
        <v>87</v>
      </c>
      <c r="D383" s="525" t="s">
        <v>319</v>
      </c>
      <c r="E383" s="525">
        <v>1.1499999999999999</v>
      </c>
      <c r="F383" s="525">
        <v>56.25</v>
      </c>
      <c r="G383" s="345">
        <f>TRUNC(E383*F383,2)</f>
        <v>64.680000000000007</v>
      </c>
      <c r="H383" s="364"/>
    </row>
    <row r="384" spans="1:8" ht="13.5" customHeight="1">
      <c r="A384" s="515" t="s">
        <v>413</v>
      </c>
      <c r="B384" s="534" t="s">
        <v>414</v>
      </c>
      <c r="C384" s="343" t="s">
        <v>87</v>
      </c>
      <c r="D384" s="525" t="s">
        <v>313</v>
      </c>
      <c r="E384" s="525">
        <v>441.51</v>
      </c>
      <c r="F384" s="525">
        <v>0.49</v>
      </c>
      <c r="G384" s="345">
        <f>TRUNC(E384*F384,2)</f>
        <v>216.33</v>
      </c>
      <c r="H384" s="364"/>
    </row>
    <row r="385" spans="1:8" ht="13.5" customHeight="1">
      <c r="E385" s="517"/>
      <c r="F385" s="518" t="s">
        <v>90</v>
      </c>
      <c r="G385" s="389">
        <f>G381</f>
        <v>79.28</v>
      </c>
    </row>
    <row r="386" spans="1:8" ht="13.5" customHeight="1">
      <c r="E386" s="417"/>
      <c r="F386" s="349" t="s">
        <v>91</v>
      </c>
      <c r="G386" s="346">
        <f>G382+G383+G384</f>
        <v>319.67</v>
      </c>
    </row>
    <row r="387" spans="1:8" ht="13.5" customHeight="1">
      <c r="E387" s="417"/>
      <c r="F387" s="349" t="s">
        <v>92</v>
      </c>
      <c r="G387" s="350">
        <f>SUM(G385:G386)</f>
        <v>398.95000000000005</v>
      </c>
    </row>
    <row r="388" spans="1:8" ht="13.5" customHeight="1">
      <c r="A388" s="355"/>
      <c r="B388" s="356"/>
      <c r="C388" s="357"/>
      <c r="D388" s="355"/>
      <c r="E388" s="356"/>
      <c r="F388" s="356"/>
      <c r="G388" s="356"/>
      <c r="H388" s="355"/>
    </row>
    <row r="389" spans="1:8" ht="13.5" customHeight="1">
      <c r="A389" s="386"/>
      <c r="B389" s="353"/>
      <c r="H389" s="364"/>
    </row>
    <row r="390" spans="1:8" ht="13.5" customHeight="1">
      <c r="A390" s="145" t="s">
        <v>284</v>
      </c>
      <c r="H390" s="364"/>
    </row>
    <row r="391" spans="1:8" ht="13.5" customHeight="1">
      <c r="A391" s="151" t="s">
        <v>622</v>
      </c>
      <c r="H391" s="364"/>
    </row>
    <row r="392" spans="1:8" ht="24" customHeight="1">
      <c r="A392" s="529" t="s">
        <v>518</v>
      </c>
      <c r="B392" s="631" t="s">
        <v>623</v>
      </c>
      <c r="C392" s="631"/>
      <c r="D392" s="631"/>
      <c r="E392" s="395" t="s">
        <v>280</v>
      </c>
      <c r="G392" s="395"/>
      <c r="H392" s="364"/>
    </row>
    <row r="393" spans="1:8" ht="23.25" customHeight="1">
      <c r="A393" s="515" t="s">
        <v>32</v>
      </c>
      <c r="B393" s="371" t="s">
        <v>21</v>
      </c>
      <c r="C393" s="343" t="s">
        <v>81</v>
      </c>
      <c r="D393" s="525" t="s">
        <v>77</v>
      </c>
      <c r="E393" s="525" t="s">
        <v>82</v>
      </c>
      <c r="F393" s="382" t="s">
        <v>83</v>
      </c>
      <c r="G393" s="383" t="s">
        <v>84</v>
      </c>
      <c r="H393" s="364"/>
    </row>
    <row r="394" spans="1:8" ht="23.25" customHeight="1">
      <c r="A394" s="542" t="s">
        <v>624</v>
      </c>
      <c r="B394" s="527" t="s">
        <v>625</v>
      </c>
      <c r="C394" s="343" t="s">
        <v>87</v>
      </c>
      <c r="D394" s="525" t="s">
        <v>280</v>
      </c>
      <c r="E394" s="526">
        <v>1.1000000000000001</v>
      </c>
      <c r="F394" s="513">
        <v>1</v>
      </c>
      <c r="G394" s="521">
        <f t="shared" ref="G394:G395" si="15">TRUNC(E394*F394,2)</f>
        <v>1.1000000000000001</v>
      </c>
      <c r="H394" s="364"/>
    </row>
    <row r="395" spans="1:8" ht="13.5" customHeight="1">
      <c r="A395" s="542" t="s">
        <v>626</v>
      </c>
      <c r="B395" s="535" t="s">
        <v>627</v>
      </c>
      <c r="C395" s="343" t="s">
        <v>87</v>
      </c>
      <c r="D395" s="525" t="s">
        <v>313</v>
      </c>
      <c r="E395" s="522">
        <v>1.6000000000000001E-3</v>
      </c>
      <c r="F395" s="382">
        <v>8.92</v>
      </c>
      <c r="G395" s="521">
        <f t="shared" si="15"/>
        <v>0.01</v>
      </c>
      <c r="H395" s="364"/>
    </row>
    <row r="396" spans="1:8" ht="13.5" customHeight="1">
      <c r="A396" s="626">
        <v>88247</v>
      </c>
      <c r="B396" s="639" t="s">
        <v>596</v>
      </c>
      <c r="C396" s="343" t="s">
        <v>98</v>
      </c>
      <c r="D396" s="638" t="s">
        <v>202</v>
      </c>
      <c r="E396" s="632">
        <v>7.1999999999999995E-2</v>
      </c>
      <c r="F396" s="347">
        <f>G837</f>
        <v>9.26</v>
      </c>
      <c r="G396" s="521">
        <f>TRUNC(E396*F396,2)</f>
        <v>0.66</v>
      </c>
      <c r="H396" s="364"/>
    </row>
    <row r="397" spans="1:8" ht="13.5" customHeight="1">
      <c r="A397" s="627"/>
      <c r="B397" s="640"/>
      <c r="C397" s="343" t="s">
        <v>87</v>
      </c>
      <c r="D397" s="638"/>
      <c r="E397" s="633"/>
      <c r="F397" s="347">
        <f>G838</f>
        <v>4.5600000000000005</v>
      </c>
      <c r="G397" s="346">
        <f>TRUNC(E396*F397,2)</f>
        <v>0.32</v>
      </c>
      <c r="H397" s="364"/>
    </row>
    <row r="398" spans="1:8" ht="13.5" customHeight="1">
      <c r="A398" s="626">
        <v>88264</v>
      </c>
      <c r="B398" s="636" t="s">
        <v>597</v>
      </c>
      <c r="C398" s="343" t="s">
        <v>98</v>
      </c>
      <c r="D398" s="638" t="s">
        <v>202</v>
      </c>
      <c r="E398" s="632">
        <v>7.1999999999999995E-2</v>
      </c>
      <c r="F398" s="347">
        <f>G820</f>
        <v>13.190000000000001</v>
      </c>
      <c r="G398" s="346">
        <f>TRUNC(E398*F398,2)</f>
        <v>0.94</v>
      </c>
      <c r="H398" s="364"/>
    </row>
    <row r="399" spans="1:8" ht="13.5" customHeight="1">
      <c r="A399" s="627"/>
      <c r="B399" s="637"/>
      <c r="C399" s="343" t="s">
        <v>87</v>
      </c>
      <c r="D399" s="638"/>
      <c r="E399" s="633"/>
      <c r="F399" s="347">
        <f>G821</f>
        <v>4.5600000000000005</v>
      </c>
      <c r="G399" s="346">
        <f>TRUNC(E398*F399,2)</f>
        <v>0.32</v>
      </c>
      <c r="H399" s="364"/>
    </row>
    <row r="400" spans="1:8" ht="13.5" customHeight="1">
      <c r="E400" s="517"/>
      <c r="F400" s="518" t="s">
        <v>90</v>
      </c>
      <c r="G400" s="389">
        <f>G396+G398</f>
        <v>1.6</v>
      </c>
    </row>
    <row r="401" spans="1:8" ht="13.5" customHeight="1">
      <c r="E401" s="417"/>
      <c r="F401" s="349" t="s">
        <v>91</v>
      </c>
      <c r="G401" s="346">
        <f>G397+G399</f>
        <v>0.64</v>
      </c>
    </row>
    <row r="402" spans="1:8" ht="13.5" customHeight="1">
      <c r="E402" s="417"/>
      <c r="F402" s="349" t="s">
        <v>92</v>
      </c>
      <c r="G402" s="350">
        <f>SUM(G400:G401)</f>
        <v>2.2400000000000002</v>
      </c>
    </row>
    <row r="403" spans="1:8" ht="13.5" customHeight="1">
      <c r="A403" s="355"/>
      <c r="B403" s="356"/>
      <c r="C403" s="357"/>
      <c r="D403" s="355"/>
      <c r="E403" s="356"/>
      <c r="F403" s="356"/>
      <c r="G403" s="356"/>
      <c r="H403" s="355"/>
    </row>
    <row r="404" spans="1:8" ht="13.5" customHeight="1">
      <c r="A404" s="386"/>
      <c r="B404" s="353"/>
      <c r="H404" s="364"/>
    </row>
    <row r="405" spans="1:8" ht="13.5" customHeight="1">
      <c r="A405" s="145" t="s">
        <v>284</v>
      </c>
      <c r="H405" s="364"/>
    </row>
    <row r="406" spans="1:8" ht="13.5" customHeight="1">
      <c r="A406" s="151" t="s">
        <v>629</v>
      </c>
      <c r="H406" s="364"/>
    </row>
    <row r="407" spans="1:8" ht="25.5" customHeight="1">
      <c r="A407" s="529" t="s">
        <v>518</v>
      </c>
      <c r="B407" s="631" t="s">
        <v>630</v>
      </c>
      <c r="C407" s="631"/>
      <c r="D407" s="631"/>
      <c r="E407" s="395" t="s">
        <v>280</v>
      </c>
      <c r="G407" s="395"/>
      <c r="H407" s="364"/>
    </row>
    <row r="408" spans="1:8" ht="25.5" customHeight="1">
      <c r="A408" s="515" t="s">
        <v>32</v>
      </c>
      <c r="B408" s="371" t="s">
        <v>21</v>
      </c>
      <c r="C408" s="343" t="s">
        <v>81</v>
      </c>
      <c r="D408" s="525" t="s">
        <v>77</v>
      </c>
      <c r="E408" s="525" t="s">
        <v>82</v>
      </c>
      <c r="F408" s="382" t="s">
        <v>83</v>
      </c>
      <c r="G408" s="383" t="s">
        <v>84</v>
      </c>
      <c r="H408" s="364"/>
    </row>
    <row r="409" spans="1:8" ht="22.5" customHeight="1">
      <c r="A409" s="542" t="s">
        <v>624</v>
      </c>
      <c r="B409" s="527" t="s">
        <v>625</v>
      </c>
      <c r="C409" s="343" t="s">
        <v>87</v>
      </c>
      <c r="D409" s="525" t="s">
        <v>280</v>
      </c>
      <c r="E409" s="526">
        <v>1.0169999999999999</v>
      </c>
      <c r="F409" s="513">
        <v>1</v>
      </c>
      <c r="G409" s="521">
        <f t="shared" ref="G409" si="16">TRUNC(E409*F409,2)</f>
        <v>1.01</v>
      </c>
      <c r="H409" s="364"/>
    </row>
    <row r="410" spans="1:8" ht="13.5" customHeight="1">
      <c r="A410" s="626">
        <v>88247</v>
      </c>
      <c r="B410" s="639" t="s">
        <v>596</v>
      </c>
      <c r="C410" s="343" t="s">
        <v>98</v>
      </c>
      <c r="D410" s="638" t="s">
        <v>202</v>
      </c>
      <c r="E410" s="642">
        <v>0.129</v>
      </c>
      <c r="F410" s="347">
        <f>G837</f>
        <v>9.26</v>
      </c>
      <c r="G410" s="521">
        <f>TRUNC(E410*F410,2)</f>
        <v>1.19</v>
      </c>
      <c r="H410" s="364"/>
    </row>
    <row r="411" spans="1:8" ht="13.5" customHeight="1">
      <c r="A411" s="627"/>
      <c r="B411" s="640"/>
      <c r="C411" s="343" t="s">
        <v>87</v>
      </c>
      <c r="D411" s="638"/>
      <c r="E411" s="643"/>
      <c r="F411" s="347">
        <f>G838</f>
        <v>4.5600000000000005</v>
      </c>
      <c r="G411" s="346">
        <f>TRUNC(E410*F411,2)</f>
        <v>0.57999999999999996</v>
      </c>
      <c r="H411" s="364"/>
    </row>
    <row r="412" spans="1:8" ht="13.5" customHeight="1">
      <c r="A412" s="626">
        <v>88264</v>
      </c>
      <c r="B412" s="636" t="s">
        <v>597</v>
      </c>
      <c r="C412" s="343" t="s">
        <v>98</v>
      </c>
      <c r="D412" s="638" t="s">
        <v>202</v>
      </c>
      <c r="E412" s="642">
        <v>0.129</v>
      </c>
      <c r="F412" s="347">
        <f>G820</f>
        <v>13.190000000000001</v>
      </c>
      <c r="G412" s="346">
        <f>TRUNC(E412*F412,2)</f>
        <v>1.7</v>
      </c>
      <c r="H412" s="364"/>
    </row>
    <row r="413" spans="1:8" ht="13.5" customHeight="1">
      <c r="A413" s="627"/>
      <c r="B413" s="637"/>
      <c r="C413" s="343" t="s">
        <v>87</v>
      </c>
      <c r="D413" s="638"/>
      <c r="E413" s="643"/>
      <c r="F413" s="347">
        <f>G821</f>
        <v>4.5600000000000005</v>
      </c>
      <c r="G413" s="346">
        <f>TRUNC(E412*F413,2)</f>
        <v>0.57999999999999996</v>
      </c>
      <c r="H413" s="364"/>
    </row>
    <row r="414" spans="1:8" ht="13.5" customHeight="1">
      <c r="E414" s="517"/>
      <c r="F414" s="518" t="s">
        <v>90</v>
      </c>
      <c r="G414" s="389">
        <f>G410+G412</f>
        <v>2.8899999999999997</v>
      </c>
    </row>
    <row r="415" spans="1:8" ht="13.5" customHeight="1">
      <c r="E415" s="417"/>
      <c r="F415" s="349" t="s">
        <v>91</v>
      </c>
      <c r="G415" s="346">
        <f>G409+G411+G413</f>
        <v>2.17</v>
      </c>
    </row>
    <row r="416" spans="1:8" ht="13.5" customHeight="1">
      <c r="E416" s="417"/>
      <c r="F416" s="349" t="s">
        <v>92</v>
      </c>
      <c r="G416" s="350">
        <f>SUM(G414:G415)</f>
        <v>5.0599999999999996</v>
      </c>
    </row>
    <row r="417" spans="1:8" s="364" customFormat="1" ht="12" customHeight="1">
      <c r="A417" s="355"/>
      <c r="B417" s="356"/>
      <c r="C417" s="357"/>
      <c r="D417" s="355"/>
      <c r="E417" s="356"/>
      <c r="F417" s="356"/>
      <c r="G417" s="356"/>
      <c r="H417" s="355"/>
    </row>
    <row r="418" spans="1:8" s="364" customFormat="1" ht="14.1" customHeight="1">
      <c r="B418" s="365"/>
      <c r="C418" s="366"/>
      <c r="E418" s="365"/>
      <c r="F418" s="365"/>
      <c r="G418" s="365"/>
    </row>
    <row r="419" spans="1:8" s="364" customFormat="1" ht="14.1" customHeight="1">
      <c r="A419" s="145" t="s">
        <v>284</v>
      </c>
      <c r="B419" s="147"/>
      <c r="C419" s="146"/>
      <c r="D419" s="145"/>
      <c r="E419" s="147"/>
      <c r="F419" s="147"/>
      <c r="G419" s="147"/>
    </row>
    <row r="420" spans="1:8" s="364" customFormat="1" ht="14.1" customHeight="1">
      <c r="A420" s="151" t="s">
        <v>631</v>
      </c>
      <c r="B420" s="147"/>
      <c r="C420" s="146"/>
      <c r="D420" s="145"/>
      <c r="E420" s="147"/>
      <c r="F420" s="147"/>
      <c r="G420" s="147"/>
    </row>
    <row r="421" spans="1:8" s="364" customFormat="1" ht="23.25" customHeight="1">
      <c r="A421" s="529" t="s">
        <v>518</v>
      </c>
      <c r="B421" s="631" t="s">
        <v>632</v>
      </c>
      <c r="C421" s="631"/>
      <c r="D421" s="631"/>
      <c r="E421" s="395" t="s">
        <v>280</v>
      </c>
      <c r="F421" s="147"/>
      <c r="G421" s="395"/>
    </row>
    <row r="422" spans="1:8" s="364" customFormat="1" ht="24.75" customHeight="1">
      <c r="A422" s="515" t="s">
        <v>32</v>
      </c>
      <c r="B422" s="371" t="s">
        <v>21</v>
      </c>
      <c r="C422" s="343" t="s">
        <v>81</v>
      </c>
      <c r="D422" s="525" t="s">
        <v>77</v>
      </c>
      <c r="E422" s="525" t="s">
        <v>82</v>
      </c>
      <c r="F422" s="382" t="s">
        <v>83</v>
      </c>
      <c r="G422" s="383" t="s">
        <v>84</v>
      </c>
    </row>
    <row r="423" spans="1:8" s="364" customFormat="1" ht="32.25" customHeight="1">
      <c r="A423" s="542" t="s">
        <v>633</v>
      </c>
      <c r="B423" s="527" t="s">
        <v>634</v>
      </c>
      <c r="C423" s="343" t="s">
        <v>87</v>
      </c>
      <c r="D423" s="525" t="s">
        <v>280</v>
      </c>
      <c r="E423" s="526">
        <v>1.19</v>
      </c>
      <c r="F423" s="513">
        <v>0.68</v>
      </c>
      <c r="G423" s="521">
        <f t="shared" ref="G423:G424" si="17">TRUNC(E423*F423,2)</f>
        <v>0.8</v>
      </c>
    </row>
    <row r="424" spans="1:8" s="364" customFormat="1" ht="22.5" customHeight="1">
      <c r="A424" s="542" t="s">
        <v>635</v>
      </c>
      <c r="B424" s="527" t="s">
        <v>636</v>
      </c>
      <c r="C424" s="343" t="s">
        <v>87</v>
      </c>
      <c r="D424" s="525" t="s">
        <v>224</v>
      </c>
      <c r="E424" s="522">
        <v>8.9999999999999993E-3</v>
      </c>
      <c r="F424" s="513">
        <v>3.4</v>
      </c>
      <c r="G424" s="521">
        <f t="shared" si="17"/>
        <v>0.03</v>
      </c>
    </row>
    <row r="425" spans="1:8" s="364" customFormat="1" ht="15" customHeight="1">
      <c r="A425" s="626">
        <v>88247</v>
      </c>
      <c r="B425" s="639" t="s">
        <v>596</v>
      </c>
      <c r="C425" s="343" t="s">
        <v>98</v>
      </c>
      <c r="D425" s="638" t="s">
        <v>202</v>
      </c>
      <c r="E425" s="632">
        <v>2.4E-2</v>
      </c>
      <c r="F425" s="347">
        <f>G837</f>
        <v>9.26</v>
      </c>
      <c r="G425" s="521">
        <f>TRUNC(E425*F425,2)</f>
        <v>0.22</v>
      </c>
    </row>
    <row r="426" spans="1:8" s="364" customFormat="1" ht="15" customHeight="1">
      <c r="A426" s="627"/>
      <c r="B426" s="640"/>
      <c r="C426" s="343" t="s">
        <v>87</v>
      </c>
      <c r="D426" s="638"/>
      <c r="E426" s="633"/>
      <c r="F426" s="347">
        <f>G838</f>
        <v>4.5600000000000005</v>
      </c>
      <c r="G426" s="346">
        <f>TRUNC(E425*F426,2)</f>
        <v>0.1</v>
      </c>
    </row>
    <row r="427" spans="1:8" s="364" customFormat="1" ht="15" customHeight="1">
      <c r="A427" s="626">
        <v>88264</v>
      </c>
      <c r="B427" s="636" t="s">
        <v>597</v>
      </c>
      <c r="C427" s="343" t="s">
        <v>98</v>
      </c>
      <c r="D427" s="638" t="s">
        <v>202</v>
      </c>
      <c r="E427" s="632">
        <v>2.4E-2</v>
      </c>
      <c r="F427" s="347">
        <f>G820</f>
        <v>13.190000000000001</v>
      </c>
      <c r="G427" s="346">
        <f>TRUNC(E427*F427,2)</f>
        <v>0.31</v>
      </c>
    </row>
    <row r="428" spans="1:8" s="364" customFormat="1" ht="15" customHeight="1">
      <c r="A428" s="627"/>
      <c r="B428" s="637"/>
      <c r="C428" s="343" t="s">
        <v>87</v>
      </c>
      <c r="D428" s="638"/>
      <c r="E428" s="633"/>
      <c r="F428" s="347">
        <f>G821</f>
        <v>4.5600000000000005</v>
      </c>
      <c r="G428" s="346">
        <f>TRUNC(E427*F428,2)</f>
        <v>0.1</v>
      </c>
    </row>
    <row r="429" spans="1:8" s="364" customFormat="1" ht="14.1" customHeight="1">
      <c r="A429" s="145"/>
      <c r="B429" s="147"/>
      <c r="C429" s="146"/>
      <c r="D429" s="145"/>
      <c r="E429" s="517"/>
      <c r="F429" s="518" t="s">
        <v>90</v>
      </c>
      <c r="G429" s="389">
        <f>G425+G427</f>
        <v>0.53</v>
      </c>
      <c r="H429" s="145"/>
    </row>
    <row r="430" spans="1:8" s="364" customFormat="1" ht="14.1" customHeight="1">
      <c r="A430" s="145"/>
      <c r="B430" s="147"/>
      <c r="C430" s="146"/>
      <c r="D430" s="145"/>
      <c r="E430" s="417"/>
      <c r="F430" s="349" t="s">
        <v>91</v>
      </c>
      <c r="G430" s="346">
        <f>G423+G424+G426+G428</f>
        <v>1.03</v>
      </c>
      <c r="H430" s="145"/>
    </row>
    <row r="431" spans="1:8" s="364" customFormat="1" ht="18" customHeight="1">
      <c r="A431" s="145"/>
      <c r="B431" s="147"/>
      <c r="C431" s="146"/>
      <c r="D431" s="145"/>
      <c r="E431" s="417"/>
      <c r="F431" s="349" t="s">
        <v>92</v>
      </c>
      <c r="G431" s="350">
        <f>SUM(G429:G430)</f>
        <v>1.56</v>
      </c>
      <c r="H431" s="145"/>
    </row>
    <row r="432" spans="1:8" s="364" customFormat="1" ht="14.1" customHeight="1">
      <c r="A432" s="355"/>
      <c r="B432" s="356"/>
      <c r="C432" s="357"/>
      <c r="D432" s="355"/>
      <c r="E432" s="356"/>
      <c r="F432" s="356"/>
      <c r="G432" s="356"/>
      <c r="H432" s="355"/>
    </row>
    <row r="433" spans="1:8" s="364" customFormat="1" ht="14.1" customHeight="1">
      <c r="B433" s="365"/>
      <c r="C433" s="366"/>
      <c r="E433" s="365"/>
      <c r="F433" s="365"/>
      <c r="G433" s="365"/>
    </row>
    <row r="434" spans="1:8" s="364" customFormat="1" ht="14.1" customHeight="1">
      <c r="A434" s="145" t="s">
        <v>284</v>
      </c>
      <c r="B434" s="147"/>
      <c r="C434" s="146"/>
      <c r="D434" s="145"/>
      <c r="E434" s="147"/>
      <c r="F434" s="147"/>
      <c r="G434" s="147"/>
    </row>
    <row r="435" spans="1:8" s="364" customFormat="1" ht="14.1" customHeight="1">
      <c r="A435" s="151" t="s">
        <v>637</v>
      </c>
      <c r="B435" s="147"/>
      <c r="C435" s="146"/>
      <c r="D435" s="145"/>
      <c r="E435" s="147"/>
      <c r="F435" s="147"/>
      <c r="G435" s="147"/>
    </row>
    <row r="436" spans="1:8" s="364" customFormat="1" ht="21" customHeight="1">
      <c r="A436" s="529" t="s">
        <v>518</v>
      </c>
      <c r="B436" s="631" t="s">
        <v>638</v>
      </c>
      <c r="C436" s="631"/>
      <c r="D436" s="631"/>
      <c r="E436" s="395" t="s">
        <v>581</v>
      </c>
      <c r="F436" s="147"/>
      <c r="G436" s="395"/>
    </row>
    <row r="437" spans="1:8" s="364" customFormat="1" ht="26.25" customHeight="1">
      <c r="A437" s="515" t="s">
        <v>32</v>
      </c>
      <c r="B437" s="371" t="s">
        <v>21</v>
      </c>
      <c r="C437" s="343" t="s">
        <v>81</v>
      </c>
      <c r="D437" s="525" t="s">
        <v>77</v>
      </c>
      <c r="E437" s="525" t="s">
        <v>82</v>
      </c>
      <c r="F437" s="382" t="s">
        <v>83</v>
      </c>
      <c r="G437" s="383" t="s">
        <v>84</v>
      </c>
    </row>
    <row r="438" spans="1:8" s="364" customFormat="1" ht="23.25" customHeight="1">
      <c r="A438" s="542" t="s">
        <v>639</v>
      </c>
      <c r="B438" s="527" t="s">
        <v>640</v>
      </c>
      <c r="C438" s="343" t="s">
        <v>87</v>
      </c>
      <c r="D438" s="525" t="s">
        <v>77</v>
      </c>
      <c r="E438" s="526">
        <v>1</v>
      </c>
      <c r="F438" s="513">
        <v>2.97</v>
      </c>
      <c r="G438" s="521">
        <f t="shared" ref="G438" si="18">TRUNC(E438*F438,2)</f>
        <v>2.97</v>
      </c>
    </row>
    <row r="439" spans="1:8" s="364" customFormat="1" ht="14.1" customHeight="1">
      <c r="A439" s="626">
        <v>88247</v>
      </c>
      <c r="B439" s="639" t="s">
        <v>596</v>
      </c>
      <c r="C439" s="343" t="s">
        <v>98</v>
      </c>
      <c r="D439" s="638" t="s">
        <v>202</v>
      </c>
      <c r="E439" s="642">
        <v>0.129</v>
      </c>
      <c r="F439" s="347">
        <f>G837</f>
        <v>9.26</v>
      </c>
      <c r="G439" s="521">
        <f>TRUNC(E439*F439,2)</f>
        <v>1.19</v>
      </c>
    </row>
    <row r="440" spans="1:8" s="364" customFormat="1" ht="14.1" customHeight="1">
      <c r="A440" s="627"/>
      <c r="B440" s="640"/>
      <c r="C440" s="343" t="s">
        <v>87</v>
      </c>
      <c r="D440" s="638"/>
      <c r="E440" s="643"/>
      <c r="F440" s="347">
        <f>G838</f>
        <v>4.5600000000000005</v>
      </c>
      <c r="G440" s="346">
        <f>TRUNC(E439*F440,2)</f>
        <v>0.57999999999999996</v>
      </c>
    </row>
    <row r="441" spans="1:8" s="364" customFormat="1" ht="14.1" customHeight="1">
      <c r="A441" s="626">
        <v>88264</v>
      </c>
      <c r="B441" s="636" t="s">
        <v>597</v>
      </c>
      <c r="C441" s="343" t="s">
        <v>98</v>
      </c>
      <c r="D441" s="638" t="s">
        <v>202</v>
      </c>
      <c r="E441" s="642">
        <v>0.129</v>
      </c>
      <c r="F441" s="347">
        <f>G820</f>
        <v>13.190000000000001</v>
      </c>
      <c r="G441" s="346">
        <f>TRUNC(E441*F441,2)</f>
        <v>1.7</v>
      </c>
    </row>
    <row r="442" spans="1:8" s="364" customFormat="1" ht="14.1" customHeight="1">
      <c r="A442" s="627"/>
      <c r="B442" s="637"/>
      <c r="C442" s="343" t="s">
        <v>87</v>
      </c>
      <c r="D442" s="638"/>
      <c r="E442" s="643"/>
      <c r="F442" s="347">
        <f>G821</f>
        <v>4.5600000000000005</v>
      </c>
      <c r="G442" s="346">
        <f>TRUNC(E441*F442,2)</f>
        <v>0.57999999999999996</v>
      </c>
    </row>
    <row r="443" spans="1:8" s="364" customFormat="1" ht="14.1" customHeight="1">
      <c r="A443" s="145"/>
      <c r="B443" s="147"/>
      <c r="C443" s="146"/>
      <c r="D443" s="145"/>
      <c r="E443" s="517"/>
      <c r="F443" s="518" t="s">
        <v>90</v>
      </c>
      <c r="G443" s="389">
        <f>G439+G441</f>
        <v>2.8899999999999997</v>
      </c>
      <c r="H443" s="145"/>
    </row>
    <row r="444" spans="1:8" s="364" customFormat="1" ht="14.1" customHeight="1">
      <c r="A444" s="145"/>
      <c r="B444" s="147"/>
      <c r="C444" s="146"/>
      <c r="D444" s="145"/>
      <c r="E444" s="417"/>
      <c r="F444" s="349" t="s">
        <v>91</v>
      </c>
      <c r="G444" s="346">
        <f>G438+G440+G442</f>
        <v>4.13</v>
      </c>
      <c r="H444" s="145"/>
    </row>
    <row r="445" spans="1:8" s="364" customFormat="1" ht="14.1" customHeight="1">
      <c r="A445" s="145"/>
      <c r="B445" s="147"/>
      <c r="C445" s="146"/>
      <c r="D445" s="145"/>
      <c r="E445" s="417"/>
      <c r="F445" s="349" t="s">
        <v>92</v>
      </c>
      <c r="G445" s="350">
        <f>SUM(G443:G444)</f>
        <v>7.02</v>
      </c>
      <c r="H445" s="145"/>
    </row>
    <row r="446" spans="1:8" s="364" customFormat="1" ht="14.1" customHeight="1">
      <c r="A446" s="355"/>
      <c r="B446" s="356"/>
      <c r="C446" s="357"/>
      <c r="D446" s="355"/>
      <c r="E446" s="356"/>
      <c r="F446" s="356"/>
      <c r="G446" s="356"/>
      <c r="H446" s="355"/>
    </row>
    <row r="447" spans="1:8" s="364" customFormat="1" ht="14.1" customHeight="1">
      <c r="B447" s="365"/>
      <c r="C447" s="366"/>
      <c r="E447" s="365"/>
      <c r="F447" s="365"/>
      <c r="G447" s="365"/>
    </row>
    <row r="448" spans="1:8" s="364" customFormat="1" ht="14.1" customHeight="1">
      <c r="A448" s="145" t="s">
        <v>284</v>
      </c>
      <c r="B448" s="147"/>
      <c r="C448" s="146"/>
      <c r="D448" s="145"/>
      <c r="E448" s="147"/>
      <c r="F448" s="147"/>
      <c r="G448" s="147"/>
    </row>
    <row r="449" spans="1:8" s="364" customFormat="1" ht="14.1" customHeight="1">
      <c r="A449" s="151" t="s">
        <v>641</v>
      </c>
      <c r="B449" s="147"/>
      <c r="C449" s="146"/>
      <c r="D449" s="145"/>
      <c r="E449" s="147"/>
      <c r="F449" s="147"/>
      <c r="G449" s="147"/>
    </row>
    <row r="450" spans="1:8" s="364" customFormat="1" ht="21" customHeight="1">
      <c r="A450" s="529" t="s">
        <v>518</v>
      </c>
      <c r="B450" s="631" t="s">
        <v>642</v>
      </c>
      <c r="C450" s="631"/>
      <c r="D450" s="631"/>
      <c r="E450" s="395" t="s">
        <v>581</v>
      </c>
      <c r="F450" s="147"/>
      <c r="G450" s="395"/>
    </row>
    <row r="451" spans="1:8" s="364" customFormat="1" ht="23.25" customHeight="1">
      <c r="A451" s="515" t="s">
        <v>32</v>
      </c>
      <c r="B451" s="371" t="s">
        <v>21</v>
      </c>
      <c r="C451" s="343" t="s">
        <v>81</v>
      </c>
      <c r="D451" s="525" t="s">
        <v>77</v>
      </c>
      <c r="E451" s="525" t="s">
        <v>82</v>
      </c>
      <c r="F451" s="382" t="s">
        <v>83</v>
      </c>
      <c r="G451" s="383" t="s">
        <v>84</v>
      </c>
    </row>
    <row r="452" spans="1:8" s="364" customFormat="1" ht="23.25" customHeight="1">
      <c r="A452" s="542" t="s">
        <v>643</v>
      </c>
      <c r="B452" s="527" t="s">
        <v>644</v>
      </c>
      <c r="C452" s="343" t="s">
        <v>87</v>
      </c>
      <c r="D452" s="525" t="s">
        <v>77</v>
      </c>
      <c r="E452" s="528">
        <v>1</v>
      </c>
      <c r="F452" s="382">
        <v>1.66</v>
      </c>
      <c r="G452" s="383">
        <f>TRUNC(E452*F452,2)</f>
        <v>1.66</v>
      </c>
    </row>
    <row r="453" spans="1:8" s="364" customFormat="1" ht="14.1" customHeight="1">
      <c r="A453" s="626">
        <v>88247</v>
      </c>
      <c r="B453" s="639" t="s">
        <v>596</v>
      </c>
      <c r="C453" s="343" t="s">
        <v>98</v>
      </c>
      <c r="D453" s="638" t="s">
        <v>202</v>
      </c>
      <c r="E453" s="632">
        <v>0.247</v>
      </c>
      <c r="F453" s="347">
        <f>G837</f>
        <v>9.26</v>
      </c>
      <c r="G453" s="521">
        <f>TRUNC(E453*F453,2)</f>
        <v>2.2799999999999998</v>
      </c>
    </row>
    <row r="454" spans="1:8" s="364" customFormat="1" ht="14.1" customHeight="1">
      <c r="A454" s="627"/>
      <c r="B454" s="640"/>
      <c r="C454" s="343" t="s">
        <v>87</v>
      </c>
      <c r="D454" s="638"/>
      <c r="E454" s="633"/>
      <c r="F454" s="347">
        <f>G838</f>
        <v>4.5600000000000005</v>
      </c>
      <c r="G454" s="346">
        <f>TRUNC(E453*F454,2)</f>
        <v>1.1200000000000001</v>
      </c>
    </row>
    <row r="455" spans="1:8" s="364" customFormat="1" ht="14.1" customHeight="1">
      <c r="A455" s="626">
        <v>88264</v>
      </c>
      <c r="B455" s="636" t="s">
        <v>597</v>
      </c>
      <c r="C455" s="343" t="s">
        <v>98</v>
      </c>
      <c r="D455" s="638" t="s">
        <v>202</v>
      </c>
      <c r="E455" s="632">
        <v>0.247</v>
      </c>
      <c r="F455" s="347">
        <f>G820</f>
        <v>13.190000000000001</v>
      </c>
      <c r="G455" s="346">
        <f>TRUNC(E455*F455,2)</f>
        <v>3.25</v>
      </c>
    </row>
    <row r="456" spans="1:8" s="364" customFormat="1" ht="14.1" customHeight="1">
      <c r="A456" s="627"/>
      <c r="B456" s="637"/>
      <c r="C456" s="343" t="s">
        <v>87</v>
      </c>
      <c r="D456" s="638"/>
      <c r="E456" s="633"/>
      <c r="F456" s="347">
        <f>G821</f>
        <v>4.5600000000000005</v>
      </c>
      <c r="G456" s="346">
        <f>TRUNC(E455*F456,2)</f>
        <v>1.1200000000000001</v>
      </c>
    </row>
    <row r="457" spans="1:8" s="364" customFormat="1" ht="14.1" customHeight="1">
      <c r="A457" s="626">
        <v>88629</v>
      </c>
      <c r="B457" s="636" t="s">
        <v>658</v>
      </c>
      <c r="C457" s="343" t="s">
        <v>98</v>
      </c>
      <c r="D457" s="634" t="s">
        <v>319</v>
      </c>
      <c r="E457" s="632">
        <v>8.9999999999999998E-4</v>
      </c>
      <c r="F457" s="347">
        <f>G385</f>
        <v>79.28</v>
      </c>
      <c r="G457" s="346">
        <f>TRUNC(E457*F457,2)</f>
        <v>7.0000000000000007E-2</v>
      </c>
    </row>
    <row r="458" spans="1:8" s="364" customFormat="1" ht="14.1" customHeight="1">
      <c r="A458" s="627"/>
      <c r="B458" s="637"/>
      <c r="C458" s="343" t="s">
        <v>87</v>
      </c>
      <c r="D458" s="635"/>
      <c r="E458" s="633"/>
      <c r="F458" s="347">
        <f>G386</f>
        <v>319.67</v>
      </c>
      <c r="G458" s="346">
        <f t="shared" ref="G458" si="19">TRUNC(E457*F458,2)</f>
        <v>0.28000000000000003</v>
      </c>
    </row>
    <row r="459" spans="1:8" s="364" customFormat="1" ht="14.1" customHeight="1">
      <c r="A459" s="145"/>
      <c r="B459" s="147"/>
      <c r="C459" s="146"/>
      <c r="D459" s="145"/>
      <c r="E459" s="517"/>
      <c r="F459" s="518" t="s">
        <v>90</v>
      </c>
      <c r="G459" s="389">
        <f>G453+G455+G457</f>
        <v>5.6</v>
      </c>
      <c r="H459" s="145"/>
    </row>
    <row r="460" spans="1:8" s="364" customFormat="1" ht="14.1" customHeight="1">
      <c r="A460" s="145"/>
      <c r="B460" s="147"/>
      <c r="C460" s="146"/>
      <c r="D460" s="145"/>
      <c r="E460" s="417"/>
      <c r="F460" s="349" t="s">
        <v>91</v>
      </c>
      <c r="G460" s="346">
        <f>G452+G454+G456+G458</f>
        <v>4.1800000000000006</v>
      </c>
      <c r="H460" s="145"/>
    </row>
    <row r="461" spans="1:8" s="364" customFormat="1" ht="14.1" customHeight="1">
      <c r="A461" s="145"/>
      <c r="B461" s="147"/>
      <c r="C461" s="146"/>
      <c r="D461" s="145"/>
      <c r="E461" s="417"/>
      <c r="F461" s="349" t="s">
        <v>92</v>
      </c>
      <c r="G461" s="350">
        <f>SUM(G459:G460)</f>
        <v>9.7800000000000011</v>
      </c>
      <c r="H461" s="145"/>
    </row>
    <row r="462" spans="1:8" s="364" customFormat="1" ht="14.1" customHeight="1">
      <c r="A462" s="355"/>
      <c r="B462" s="356"/>
      <c r="C462" s="357"/>
      <c r="D462" s="355"/>
      <c r="E462" s="356"/>
      <c r="F462" s="356"/>
      <c r="G462" s="356"/>
      <c r="H462" s="355"/>
    </row>
    <row r="463" spans="1:8" s="364" customFormat="1" ht="14.1" customHeight="1">
      <c r="B463" s="365"/>
      <c r="C463" s="366"/>
      <c r="E463" s="365"/>
      <c r="F463" s="365"/>
      <c r="G463" s="365"/>
    </row>
    <row r="464" spans="1:8" s="364" customFormat="1" ht="14.1" customHeight="1">
      <c r="A464" s="145" t="s">
        <v>284</v>
      </c>
      <c r="B464" s="147"/>
      <c r="C464" s="146"/>
      <c r="D464" s="145"/>
      <c r="E464" s="147"/>
      <c r="F464" s="147"/>
      <c r="G464" s="147"/>
    </row>
    <row r="465" spans="1:8" s="364" customFormat="1" ht="14.1" customHeight="1">
      <c r="A465" s="151" t="s">
        <v>646</v>
      </c>
      <c r="B465" s="147"/>
      <c r="C465" s="146"/>
      <c r="D465" s="145"/>
      <c r="E465" s="147"/>
      <c r="F465" s="147"/>
      <c r="G465" s="147"/>
    </row>
    <row r="466" spans="1:8" s="364" customFormat="1" ht="25.5" customHeight="1">
      <c r="A466" s="529" t="s">
        <v>518</v>
      </c>
      <c r="B466" s="631" t="s">
        <v>645</v>
      </c>
      <c r="C466" s="631"/>
      <c r="D466" s="631"/>
      <c r="E466" s="395" t="s">
        <v>581</v>
      </c>
      <c r="F466" s="147"/>
      <c r="G466" s="395"/>
    </row>
    <row r="467" spans="1:8" s="364" customFormat="1" ht="24.75" customHeight="1">
      <c r="A467" s="515" t="s">
        <v>32</v>
      </c>
      <c r="B467" s="371" t="s">
        <v>21</v>
      </c>
      <c r="C467" s="343" t="s">
        <v>81</v>
      </c>
      <c r="D467" s="525" t="s">
        <v>77</v>
      </c>
      <c r="E467" s="525" t="s">
        <v>82</v>
      </c>
      <c r="F467" s="382" t="s">
        <v>83</v>
      </c>
      <c r="G467" s="383" t="s">
        <v>84</v>
      </c>
    </row>
    <row r="468" spans="1:8" s="364" customFormat="1" ht="18" customHeight="1">
      <c r="A468" s="626">
        <v>91946</v>
      </c>
      <c r="B468" s="639" t="s">
        <v>647</v>
      </c>
      <c r="C468" s="343" t="s">
        <v>98</v>
      </c>
      <c r="D468" s="638" t="s">
        <v>77</v>
      </c>
      <c r="E468" s="632">
        <v>1</v>
      </c>
      <c r="F468" s="347">
        <f>'COMP AUX'!G764</f>
        <v>2.4500000000000002</v>
      </c>
      <c r="G468" s="521">
        <f>TRUNC(E468*F468,2)</f>
        <v>2.4500000000000002</v>
      </c>
    </row>
    <row r="469" spans="1:8" s="364" customFormat="1" ht="18" customHeight="1">
      <c r="A469" s="627"/>
      <c r="B469" s="640"/>
      <c r="C469" s="343" t="s">
        <v>87</v>
      </c>
      <c r="D469" s="638"/>
      <c r="E469" s="633"/>
      <c r="F469" s="347">
        <f>'COMP AUX'!G765</f>
        <v>3.3899999999999997</v>
      </c>
      <c r="G469" s="346">
        <f>TRUNC(E468*F469,2)</f>
        <v>3.39</v>
      </c>
    </row>
    <row r="470" spans="1:8" s="364" customFormat="1" ht="18" customHeight="1">
      <c r="A470" s="626">
        <v>91958</v>
      </c>
      <c r="B470" s="636" t="s">
        <v>648</v>
      </c>
      <c r="C470" s="343" t="s">
        <v>98</v>
      </c>
      <c r="D470" s="638" t="s">
        <v>77</v>
      </c>
      <c r="E470" s="632">
        <v>1</v>
      </c>
      <c r="F470" s="347">
        <f>'COMP AUX'!G778</f>
        <v>5.5299999999999994</v>
      </c>
      <c r="G470" s="346">
        <f>TRUNC(E470*F470,2)</f>
        <v>5.53</v>
      </c>
    </row>
    <row r="471" spans="1:8" s="364" customFormat="1" ht="18" customHeight="1">
      <c r="A471" s="627"/>
      <c r="B471" s="637"/>
      <c r="C471" s="343" t="s">
        <v>87</v>
      </c>
      <c r="D471" s="638"/>
      <c r="E471" s="633"/>
      <c r="F471" s="347">
        <f>'COMP AUX'!G779</f>
        <v>10.16</v>
      </c>
      <c r="G471" s="346">
        <f>TRUNC(E470*F471,2)</f>
        <v>10.16</v>
      </c>
    </row>
    <row r="472" spans="1:8" s="364" customFormat="1" ht="14.1" customHeight="1">
      <c r="A472" s="145"/>
      <c r="B472" s="147"/>
      <c r="C472" s="146"/>
      <c r="D472" s="145"/>
      <c r="E472" s="517"/>
      <c r="F472" s="518" t="s">
        <v>90</v>
      </c>
      <c r="G472" s="389">
        <f>G468+G470</f>
        <v>7.98</v>
      </c>
      <c r="H472" s="145"/>
    </row>
    <row r="473" spans="1:8" s="364" customFormat="1" ht="14.1" customHeight="1">
      <c r="A473" s="145"/>
      <c r="B473" s="147"/>
      <c r="C473" s="146"/>
      <c r="D473" s="145"/>
      <c r="E473" s="417"/>
      <c r="F473" s="349" t="s">
        <v>91</v>
      </c>
      <c r="G473" s="346">
        <f>G469+G471</f>
        <v>13.55</v>
      </c>
      <c r="H473" s="145"/>
    </row>
    <row r="474" spans="1:8" s="364" customFormat="1" ht="14.1" customHeight="1">
      <c r="A474" s="145"/>
      <c r="B474" s="147"/>
      <c r="C474" s="146"/>
      <c r="D474" s="145"/>
      <c r="E474" s="417"/>
      <c r="F474" s="349" t="s">
        <v>92</v>
      </c>
      <c r="G474" s="350">
        <f>SUM(G472:G473)</f>
        <v>21.53</v>
      </c>
      <c r="H474" s="145"/>
    </row>
    <row r="475" spans="1:8" s="364" customFormat="1" ht="10.5" customHeight="1">
      <c r="A475" s="355"/>
      <c r="B475" s="356"/>
      <c r="C475" s="357"/>
      <c r="D475" s="355"/>
      <c r="E475" s="356"/>
      <c r="F475" s="356"/>
      <c r="G475" s="356"/>
      <c r="H475" s="355"/>
    </row>
    <row r="476" spans="1:8" s="364" customFormat="1" ht="10.5" customHeight="1">
      <c r="B476" s="365"/>
      <c r="C476" s="366"/>
      <c r="E476" s="365"/>
      <c r="F476" s="365"/>
      <c r="G476" s="365"/>
    </row>
    <row r="477" spans="1:8" s="364" customFormat="1" ht="10.5" customHeight="1">
      <c r="A477" s="145" t="s">
        <v>284</v>
      </c>
      <c r="B477" s="147"/>
      <c r="C477" s="146"/>
      <c r="D477" s="145"/>
      <c r="E477" s="147"/>
      <c r="F477" s="147"/>
      <c r="G477" s="147"/>
      <c r="H477" s="145"/>
    </row>
    <row r="478" spans="1:8" s="364" customFormat="1" ht="10.5" customHeight="1">
      <c r="A478" s="151" t="s">
        <v>659</v>
      </c>
      <c r="B478" s="147"/>
      <c r="C478" s="146"/>
      <c r="D478" s="145"/>
      <c r="E478" s="147"/>
      <c r="F478" s="147"/>
      <c r="G478" s="147"/>
      <c r="H478" s="145"/>
    </row>
    <row r="479" spans="1:8" s="364" customFormat="1" ht="25.5" customHeight="1">
      <c r="A479" s="529" t="s">
        <v>518</v>
      </c>
      <c r="B479" s="631" t="s">
        <v>184</v>
      </c>
      <c r="C479" s="631"/>
      <c r="D479" s="631"/>
      <c r="E479" s="395" t="s">
        <v>581</v>
      </c>
      <c r="F479" s="147"/>
      <c r="G479" s="395"/>
      <c r="H479" s="145"/>
    </row>
    <row r="480" spans="1:8" s="364" customFormat="1" ht="23.25" customHeight="1">
      <c r="A480" s="515" t="s">
        <v>32</v>
      </c>
      <c r="B480" s="371" t="s">
        <v>21</v>
      </c>
      <c r="C480" s="343" t="s">
        <v>81</v>
      </c>
      <c r="D480" s="525" t="s">
        <v>77</v>
      </c>
      <c r="E480" s="525" t="s">
        <v>82</v>
      </c>
      <c r="F480" s="382" t="s">
        <v>83</v>
      </c>
      <c r="G480" s="383" t="s">
        <v>84</v>
      </c>
      <c r="H480" s="145"/>
    </row>
    <row r="481" spans="1:8" s="364" customFormat="1" ht="15" customHeight="1">
      <c r="A481" s="626">
        <v>90447</v>
      </c>
      <c r="B481" s="639" t="s">
        <v>591</v>
      </c>
      <c r="C481" s="343" t="s">
        <v>98</v>
      </c>
      <c r="D481" s="638" t="s">
        <v>280</v>
      </c>
      <c r="E481" s="632">
        <v>2.2000000000000002</v>
      </c>
      <c r="F481" s="347">
        <f>G344</f>
        <v>3.15</v>
      </c>
      <c r="G481" s="521">
        <f>TRUNC(E481*F481,2)</f>
        <v>6.93</v>
      </c>
      <c r="H481" s="145"/>
    </row>
    <row r="482" spans="1:8" s="364" customFormat="1" ht="15" customHeight="1">
      <c r="A482" s="627"/>
      <c r="B482" s="640"/>
      <c r="C482" s="343" t="s">
        <v>87</v>
      </c>
      <c r="D482" s="638"/>
      <c r="E482" s="633"/>
      <c r="F482" s="347">
        <f>G345</f>
        <v>1.1299999999999999</v>
      </c>
      <c r="G482" s="346">
        <f>TRUNC(E481*F482,2)</f>
        <v>2.48</v>
      </c>
      <c r="H482" s="145"/>
    </row>
    <row r="483" spans="1:8" s="364" customFormat="1" ht="15" customHeight="1">
      <c r="A483" s="626" t="s">
        <v>583</v>
      </c>
      <c r="B483" s="636" t="s">
        <v>592</v>
      </c>
      <c r="C483" s="343" t="s">
        <v>98</v>
      </c>
      <c r="D483" s="638" t="s">
        <v>581</v>
      </c>
      <c r="E483" s="632">
        <v>1</v>
      </c>
      <c r="F483" s="347">
        <f>G357</f>
        <v>2.08</v>
      </c>
      <c r="G483" s="346">
        <f>TRUNC(E483*F483,2)</f>
        <v>2.08</v>
      </c>
      <c r="H483" s="145"/>
    </row>
    <row r="484" spans="1:8" s="364" customFormat="1" ht="15" customHeight="1">
      <c r="A484" s="627"/>
      <c r="B484" s="637"/>
      <c r="C484" s="343" t="s">
        <v>87</v>
      </c>
      <c r="D484" s="638"/>
      <c r="E484" s="633"/>
      <c r="F484" s="347">
        <f>G358</f>
        <v>0.75</v>
      </c>
      <c r="G484" s="346">
        <f>TRUNC(E483*F484,2)</f>
        <v>0.75</v>
      </c>
      <c r="H484" s="145"/>
    </row>
    <row r="485" spans="1:8" s="364" customFormat="1" ht="18" customHeight="1">
      <c r="A485" s="626" t="s">
        <v>584</v>
      </c>
      <c r="B485" s="636" t="s">
        <v>593</v>
      </c>
      <c r="C485" s="343" t="s">
        <v>98</v>
      </c>
      <c r="D485" s="634" t="s">
        <v>77</v>
      </c>
      <c r="E485" s="632">
        <v>2.2000000000000002</v>
      </c>
      <c r="F485" s="347">
        <f>G372</f>
        <v>0.23</v>
      </c>
      <c r="G485" s="346">
        <f>TRUNC(E485*F485,2)</f>
        <v>0.5</v>
      </c>
      <c r="H485" s="145"/>
    </row>
    <row r="486" spans="1:8" s="364" customFormat="1" ht="18" customHeight="1">
      <c r="A486" s="627"/>
      <c r="B486" s="637"/>
      <c r="C486" s="343" t="s">
        <v>87</v>
      </c>
      <c r="D486" s="635"/>
      <c r="E486" s="633"/>
      <c r="F486" s="347">
        <f>G373</f>
        <v>0.97</v>
      </c>
      <c r="G486" s="346">
        <f>TRUNC(E485*F486,2)</f>
        <v>2.13</v>
      </c>
      <c r="H486" s="145"/>
    </row>
    <row r="487" spans="1:8" s="364" customFormat="1" ht="18" customHeight="1">
      <c r="A487" s="626" t="s">
        <v>585</v>
      </c>
      <c r="B487" s="636" t="s">
        <v>628</v>
      </c>
      <c r="C487" s="343" t="s">
        <v>98</v>
      </c>
      <c r="D487" s="634" t="s">
        <v>280</v>
      </c>
      <c r="E487" s="632">
        <v>2</v>
      </c>
      <c r="F487" s="347">
        <f>G400</f>
        <v>1.6</v>
      </c>
      <c r="G487" s="346">
        <f>TRUNC(E487*F487,2)</f>
        <v>3.2</v>
      </c>
      <c r="H487" s="145"/>
    </row>
    <row r="488" spans="1:8" s="364" customFormat="1" ht="18" customHeight="1">
      <c r="A488" s="627"/>
      <c r="B488" s="637"/>
      <c r="C488" s="343" t="s">
        <v>87</v>
      </c>
      <c r="D488" s="635"/>
      <c r="E488" s="633"/>
      <c r="F488" s="347">
        <f>G401</f>
        <v>0.64</v>
      </c>
      <c r="G488" s="346">
        <f>TRUNC(E487*F488,2)</f>
        <v>1.28</v>
      </c>
      <c r="H488" s="145"/>
    </row>
    <row r="489" spans="1:8" s="364" customFormat="1" ht="18" customHeight="1">
      <c r="A489" s="626" t="s">
        <v>586</v>
      </c>
      <c r="B489" s="636" t="s">
        <v>630</v>
      </c>
      <c r="C489" s="343" t="s">
        <v>98</v>
      </c>
      <c r="D489" s="634" t="s">
        <v>280</v>
      </c>
      <c r="E489" s="632">
        <v>2.2000000000000002</v>
      </c>
      <c r="F489" s="347">
        <f>G414</f>
        <v>2.8899999999999997</v>
      </c>
      <c r="G489" s="346">
        <f>TRUNC(E489*F489,2)</f>
        <v>6.35</v>
      </c>
      <c r="H489" s="145"/>
    </row>
    <row r="490" spans="1:8" s="364" customFormat="1" ht="18" customHeight="1">
      <c r="A490" s="627"/>
      <c r="B490" s="637"/>
      <c r="C490" s="343" t="s">
        <v>87</v>
      </c>
      <c r="D490" s="635"/>
      <c r="E490" s="633"/>
      <c r="F490" s="347">
        <f>G415</f>
        <v>2.17</v>
      </c>
      <c r="G490" s="346">
        <f>TRUNC(E489*F490,2)</f>
        <v>4.7699999999999996</v>
      </c>
      <c r="H490" s="145"/>
    </row>
    <row r="491" spans="1:8" s="364" customFormat="1" ht="18" customHeight="1">
      <c r="A491" s="626">
        <v>91926</v>
      </c>
      <c r="B491" s="636" t="s">
        <v>660</v>
      </c>
      <c r="C491" s="343" t="s">
        <v>98</v>
      </c>
      <c r="D491" s="634" t="s">
        <v>280</v>
      </c>
      <c r="E491" s="632">
        <v>12.6</v>
      </c>
      <c r="F491" s="347">
        <f>G518</f>
        <v>0.66</v>
      </c>
      <c r="G491" s="346">
        <f>TRUNC(E491*F491,2)</f>
        <v>8.31</v>
      </c>
      <c r="H491" s="145"/>
    </row>
    <row r="492" spans="1:8" s="364" customFormat="1" ht="18" customHeight="1">
      <c r="A492" s="627"/>
      <c r="B492" s="637"/>
      <c r="C492" s="343" t="s">
        <v>87</v>
      </c>
      <c r="D492" s="635"/>
      <c r="E492" s="633"/>
      <c r="F492" s="347">
        <f>G519</f>
        <v>1.63</v>
      </c>
      <c r="G492" s="346">
        <f>TRUNC(E491*F492,2)</f>
        <v>20.53</v>
      </c>
      <c r="H492" s="145"/>
    </row>
    <row r="493" spans="1:8" s="364" customFormat="1" ht="15" customHeight="1">
      <c r="A493" s="626" t="s">
        <v>588</v>
      </c>
      <c r="B493" s="636" t="s">
        <v>638</v>
      </c>
      <c r="C493" s="343" t="s">
        <v>98</v>
      </c>
      <c r="D493" s="634" t="s">
        <v>581</v>
      </c>
      <c r="E493" s="632">
        <v>0.375</v>
      </c>
      <c r="F493" s="347">
        <f>G443</f>
        <v>2.8899999999999997</v>
      </c>
      <c r="G493" s="346">
        <f>TRUNC(E493*F493,2)</f>
        <v>1.08</v>
      </c>
      <c r="H493" s="145"/>
    </row>
    <row r="494" spans="1:8" s="364" customFormat="1" ht="15" customHeight="1">
      <c r="A494" s="627"/>
      <c r="B494" s="637"/>
      <c r="C494" s="343" t="s">
        <v>87</v>
      </c>
      <c r="D494" s="635"/>
      <c r="E494" s="633"/>
      <c r="F494" s="347">
        <f>G444</f>
        <v>4.13</v>
      </c>
      <c r="G494" s="346">
        <f>TRUNC(E493*F494,2)</f>
        <v>1.54</v>
      </c>
      <c r="H494" s="145"/>
    </row>
    <row r="495" spans="1:8" s="364" customFormat="1" ht="18" customHeight="1">
      <c r="A495" s="626" t="s">
        <v>589</v>
      </c>
      <c r="B495" s="636" t="s">
        <v>642</v>
      </c>
      <c r="C495" s="343" t="s">
        <v>98</v>
      </c>
      <c r="D495" s="634" t="s">
        <v>581</v>
      </c>
      <c r="E495" s="632">
        <v>1</v>
      </c>
      <c r="F495" s="347">
        <f>G459</f>
        <v>5.6</v>
      </c>
      <c r="G495" s="346">
        <f>TRUNC(E495*F495,2)</f>
        <v>5.6</v>
      </c>
      <c r="H495" s="145"/>
    </row>
    <row r="496" spans="1:8" s="364" customFormat="1" ht="18" customHeight="1">
      <c r="A496" s="627"/>
      <c r="B496" s="637"/>
      <c r="C496" s="343" t="s">
        <v>87</v>
      </c>
      <c r="D496" s="635"/>
      <c r="E496" s="633"/>
      <c r="F496" s="347">
        <f>G460</f>
        <v>4.1800000000000006</v>
      </c>
      <c r="G496" s="346">
        <f t="shared" ref="G496" si="20">TRUNC(E495*F496,2)</f>
        <v>4.18</v>
      </c>
      <c r="H496" s="145"/>
    </row>
    <row r="497" spans="1:9" s="364" customFormat="1" ht="18" customHeight="1">
      <c r="A497" s="626">
        <v>91996</v>
      </c>
      <c r="B497" s="636" t="s">
        <v>665</v>
      </c>
      <c r="C497" s="343" t="s">
        <v>98</v>
      </c>
      <c r="D497" s="634" t="s">
        <v>581</v>
      </c>
      <c r="E497" s="632">
        <v>1</v>
      </c>
      <c r="F497" s="347">
        <f>G531</f>
        <v>9.36</v>
      </c>
      <c r="G497" s="346">
        <f>TRUNC(E497*F497,2)</f>
        <v>9.36</v>
      </c>
      <c r="H497" s="145"/>
    </row>
    <row r="498" spans="1:9" s="364" customFormat="1" ht="18" customHeight="1">
      <c r="A498" s="627"/>
      <c r="B498" s="637"/>
      <c r="C498" s="343" t="s">
        <v>87</v>
      </c>
      <c r="D498" s="635"/>
      <c r="E498" s="633"/>
      <c r="F498" s="347">
        <f>G532</f>
        <v>10.7</v>
      </c>
      <c r="G498" s="346">
        <f t="shared" ref="G498" si="21">TRUNC(E497*F498,2)</f>
        <v>10.7</v>
      </c>
      <c r="H498" s="145"/>
    </row>
    <row r="499" spans="1:9" s="364" customFormat="1" ht="14.1" customHeight="1">
      <c r="A499" s="145"/>
      <c r="B499" s="147"/>
      <c r="C499" s="146"/>
      <c r="D499" s="145"/>
      <c r="E499" s="517"/>
      <c r="F499" s="518" t="s">
        <v>90</v>
      </c>
      <c r="G499" s="389">
        <f>G481+G483+G485+G487+G489+G491+G493+G495+G497</f>
        <v>43.410000000000004</v>
      </c>
      <c r="H499" s="145"/>
    </row>
    <row r="500" spans="1:9" s="364" customFormat="1" ht="14.1" customHeight="1">
      <c r="A500" s="145"/>
      <c r="B500" s="147"/>
      <c r="C500" s="146"/>
      <c r="D500" s="145"/>
      <c r="E500" s="417"/>
      <c r="F500" s="349" t="s">
        <v>91</v>
      </c>
      <c r="G500" s="346">
        <f>G482+G484+G486+G488+G490+G492+G494+G496+G498</f>
        <v>48.36</v>
      </c>
      <c r="H500" s="145"/>
    </row>
    <row r="501" spans="1:9" s="364" customFormat="1" ht="14.1" customHeight="1">
      <c r="A501" s="145" t="s">
        <v>93</v>
      </c>
      <c r="B501" s="147"/>
      <c r="C501" s="146"/>
      <c r="D501" s="145"/>
      <c r="E501" s="417"/>
      <c r="F501" s="349" t="s">
        <v>92</v>
      </c>
      <c r="G501" s="350">
        <f>SUM(G499:G500)</f>
        <v>91.77000000000001</v>
      </c>
      <c r="H501" s="145"/>
    </row>
    <row r="502" spans="1:9" s="364" customFormat="1" ht="14.1" customHeight="1">
      <c r="A502" s="352" t="s">
        <v>94</v>
      </c>
      <c r="B502" s="351">
        <f>G501</f>
        <v>91.77000000000001</v>
      </c>
      <c r="C502" s="146"/>
      <c r="D502" s="145"/>
      <c r="E502" s="147"/>
      <c r="F502" s="147"/>
      <c r="G502" s="147"/>
      <c r="H502" s="145"/>
    </row>
    <row r="503" spans="1:9" s="364" customFormat="1" ht="14.1" customHeight="1">
      <c r="A503" s="352" t="s">
        <v>220</v>
      </c>
      <c r="B503" s="351">
        <f>G499*0.7237</f>
        <v>31.415817000000004</v>
      </c>
      <c r="C503" s="146"/>
      <c r="D503" s="145"/>
      <c r="E503" s="147"/>
      <c r="F503" s="147"/>
      <c r="G503" s="147"/>
      <c r="H503" s="145"/>
    </row>
    <row r="504" spans="1:9" s="364" customFormat="1" ht="14.1" customHeight="1">
      <c r="A504" s="352" t="s">
        <v>221</v>
      </c>
      <c r="B504" s="351">
        <f>(B502+B503)*0.2457</f>
        <v>30.266755236900003</v>
      </c>
      <c r="C504" s="146"/>
      <c r="D504" s="145"/>
      <c r="E504" s="147"/>
      <c r="F504" s="147"/>
      <c r="G504" s="147"/>
      <c r="H504" s="145"/>
    </row>
    <row r="505" spans="1:9" s="364" customFormat="1" ht="14.1" customHeight="1">
      <c r="A505" s="352" t="s">
        <v>95</v>
      </c>
      <c r="B505" s="353">
        <f>SUM(B502:B504)</f>
        <v>153.45257223690001</v>
      </c>
      <c r="C505" s="146"/>
      <c r="D505" s="145"/>
      <c r="E505" s="147"/>
      <c r="F505" s="147"/>
      <c r="G505" s="147"/>
      <c r="H505" s="393"/>
      <c r="I505" s="364" t="s">
        <v>816</v>
      </c>
    </row>
    <row r="506" spans="1:9" s="364" customFormat="1" ht="10.5" customHeight="1">
      <c r="A506" s="355"/>
      <c r="B506" s="356"/>
      <c r="C506" s="357"/>
      <c r="D506" s="355"/>
      <c r="E506" s="356"/>
      <c r="F506" s="356"/>
      <c r="G506" s="356"/>
      <c r="H506" s="355"/>
    </row>
    <row r="507" spans="1:9" s="364" customFormat="1" ht="10.5" customHeight="1">
      <c r="B507" s="365"/>
      <c r="C507" s="366"/>
      <c r="E507" s="365"/>
      <c r="F507" s="365"/>
      <c r="G507" s="365"/>
    </row>
    <row r="508" spans="1:9" s="364" customFormat="1" ht="10.5" customHeight="1">
      <c r="A508" s="145" t="s">
        <v>284</v>
      </c>
      <c r="B508" s="147"/>
      <c r="C508" s="146"/>
      <c r="D508" s="145"/>
      <c r="E508" s="147"/>
      <c r="F508" s="147"/>
      <c r="G508" s="147"/>
    </row>
    <row r="509" spans="1:9" s="364" customFormat="1" ht="10.5" customHeight="1">
      <c r="A509" s="151" t="s">
        <v>661</v>
      </c>
      <c r="B509" s="147"/>
      <c r="C509" s="146"/>
      <c r="D509" s="145"/>
      <c r="E509" s="147"/>
      <c r="F509" s="147"/>
      <c r="G509" s="147"/>
    </row>
    <row r="510" spans="1:9" s="364" customFormat="1" ht="21" customHeight="1">
      <c r="A510" s="529" t="s">
        <v>518</v>
      </c>
      <c r="B510" s="631" t="s">
        <v>660</v>
      </c>
      <c r="C510" s="631"/>
      <c r="D510" s="631"/>
      <c r="E510" s="395" t="s">
        <v>280</v>
      </c>
      <c r="F510" s="147"/>
      <c r="G510" s="395"/>
    </row>
    <row r="511" spans="1:9" s="364" customFormat="1" ht="24.75" customHeight="1">
      <c r="A511" s="515" t="s">
        <v>32</v>
      </c>
      <c r="B511" s="371" t="s">
        <v>21</v>
      </c>
      <c r="C511" s="343" t="s">
        <v>81</v>
      </c>
      <c r="D511" s="525" t="s">
        <v>77</v>
      </c>
      <c r="E511" s="525" t="s">
        <v>82</v>
      </c>
      <c r="F511" s="382" t="s">
        <v>83</v>
      </c>
      <c r="G511" s="383" t="s">
        <v>84</v>
      </c>
    </row>
    <row r="512" spans="1:9" s="364" customFormat="1" ht="34.5" customHeight="1">
      <c r="A512" s="542" t="s">
        <v>662</v>
      </c>
      <c r="B512" s="527" t="s">
        <v>663</v>
      </c>
      <c r="C512" s="343" t="s">
        <v>87</v>
      </c>
      <c r="D512" s="525" t="s">
        <v>280</v>
      </c>
      <c r="E512" s="526">
        <v>1.19</v>
      </c>
      <c r="F512" s="513">
        <v>1.1299999999999999</v>
      </c>
      <c r="G512" s="521">
        <f t="shared" ref="G512:G513" si="22">TRUNC(E512*F512,2)</f>
        <v>1.34</v>
      </c>
    </row>
    <row r="513" spans="1:8" s="364" customFormat="1" ht="23.25" customHeight="1">
      <c r="A513" s="542" t="s">
        <v>635</v>
      </c>
      <c r="B513" s="527" t="s">
        <v>636</v>
      </c>
      <c r="C513" s="343" t="s">
        <v>87</v>
      </c>
      <c r="D513" s="525" t="s">
        <v>224</v>
      </c>
      <c r="E513" s="522">
        <v>8.9999999999999993E-3</v>
      </c>
      <c r="F513" s="513">
        <v>3.4</v>
      </c>
      <c r="G513" s="521">
        <f t="shared" si="22"/>
        <v>0.03</v>
      </c>
    </row>
    <row r="514" spans="1:8" s="364" customFormat="1" ht="14.1" customHeight="1">
      <c r="A514" s="626">
        <v>88247</v>
      </c>
      <c r="B514" s="639" t="s">
        <v>596</v>
      </c>
      <c r="C514" s="343" t="s">
        <v>98</v>
      </c>
      <c r="D514" s="638" t="s">
        <v>202</v>
      </c>
      <c r="E514" s="632">
        <v>0.03</v>
      </c>
      <c r="F514" s="347">
        <f>G837</f>
        <v>9.26</v>
      </c>
      <c r="G514" s="521">
        <f>TRUNC(E514*F514,2)</f>
        <v>0.27</v>
      </c>
    </row>
    <row r="515" spans="1:8" s="364" customFormat="1" ht="14.1" customHeight="1">
      <c r="A515" s="627"/>
      <c r="B515" s="640"/>
      <c r="C515" s="343" t="s">
        <v>87</v>
      </c>
      <c r="D515" s="638"/>
      <c r="E515" s="633"/>
      <c r="F515" s="347">
        <f>G838</f>
        <v>4.5600000000000005</v>
      </c>
      <c r="G515" s="346">
        <f>TRUNC(E514*F515,2)</f>
        <v>0.13</v>
      </c>
    </row>
    <row r="516" spans="1:8" s="364" customFormat="1" ht="14.1" customHeight="1">
      <c r="A516" s="626">
        <v>88264</v>
      </c>
      <c r="B516" s="636" t="s">
        <v>597</v>
      </c>
      <c r="C516" s="343" t="s">
        <v>98</v>
      </c>
      <c r="D516" s="638" t="s">
        <v>202</v>
      </c>
      <c r="E516" s="632">
        <v>0.03</v>
      </c>
      <c r="F516" s="347">
        <f>G820</f>
        <v>13.190000000000001</v>
      </c>
      <c r="G516" s="346">
        <f>TRUNC(E516*F516,2)</f>
        <v>0.39</v>
      </c>
    </row>
    <row r="517" spans="1:8" s="364" customFormat="1" ht="14.1" customHeight="1">
      <c r="A517" s="627"/>
      <c r="B517" s="637"/>
      <c r="C517" s="343" t="s">
        <v>87</v>
      </c>
      <c r="D517" s="638"/>
      <c r="E517" s="633"/>
      <c r="F517" s="347">
        <f>G821</f>
        <v>4.5600000000000005</v>
      </c>
      <c r="G517" s="346">
        <f>TRUNC(E516*F517,2)</f>
        <v>0.13</v>
      </c>
    </row>
    <row r="518" spans="1:8" s="364" customFormat="1" ht="14.1" customHeight="1">
      <c r="A518" s="145"/>
      <c r="B518" s="147"/>
      <c r="C518" s="146"/>
      <c r="D518" s="145"/>
      <c r="E518" s="517"/>
      <c r="F518" s="518" t="s">
        <v>90</v>
      </c>
      <c r="G518" s="389">
        <f>G514+G516</f>
        <v>0.66</v>
      </c>
      <c r="H518" s="145"/>
    </row>
    <row r="519" spans="1:8" s="364" customFormat="1" ht="14.1" customHeight="1">
      <c r="A519" s="145"/>
      <c r="B519" s="147"/>
      <c r="C519" s="146"/>
      <c r="D519" s="145"/>
      <c r="E519" s="417"/>
      <c r="F519" s="349" t="s">
        <v>91</v>
      </c>
      <c r="G519" s="346">
        <f>G512+G513+G515+G517</f>
        <v>1.63</v>
      </c>
      <c r="H519" s="145"/>
    </row>
    <row r="520" spans="1:8" s="364" customFormat="1" ht="14.1" customHeight="1">
      <c r="A520" s="145"/>
      <c r="B520" s="147"/>
      <c r="C520" s="146"/>
      <c r="D520" s="145"/>
      <c r="E520" s="417"/>
      <c r="F520" s="349" t="s">
        <v>92</v>
      </c>
      <c r="G520" s="350">
        <f>SUM(G518:G519)</f>
        <v>2.29</v>
      </c>
      <c r="H520" s="145"/>
    </row>
    <row r="521" spans="1:8" s="364" customFormat="1" ht="10.5" customHeight="1">
      <c r="A521" s="355"/>
      <c r="B521" s="356"/>
      <c r="C521" s="357"/>
      <c r="D521" s="355"/>
      <c r="E521" s="356"/>
      <c r="F521" s="356"/>
      <c r="G521" s="356"/>
      <c r="H521" s="355"/>
    </row>
    <row r="522" spans="1:8" s="364" customFormat="1" ht="10.5" customHeight="1">
      <c r="B522" s="365"/>
      <c r="C522" s="366"/>
      <c r="E522" s="365"/>
      <c r="F522" s="365"/>
      <c r="G522" s="365"/>
    </row>
    <row r="523" spans="1:8" s="364" customFormat="1" ht="10.5" customHeight="1">
      <c r="A523" s="145" t="s">
        <v>284</v>
      </c>
      <c r="B523" s="147"/>
      <c r="C523" s="146"/>
      <c r="D523" s="145"/>
      <c r="E523" s="147"/>
      <c r="F523" s="147"/>
      <c r="G523" s="147"/>
    </row>
    <row r="524" spans="1:8" s="364" customFormat="1" ht="10.5" customHeight="1">
      <c r="A524" s="151" t="s">
        <v>664</v>
      </c>
      <c r="B524" s="147"/>
      <c r="C524" s="146"/>
      <c r="D524" s="145"/>
      <c r="E524" s="147"/>
      <c r="F524" s="147"/>
      <c r="G524" s="147"/>
    </row>
    <row r="525" spans="1:8" s="364" customFormat="1" ht="24" customHeight="1">
      <c r="A525" s="529" t="s">
        <v>518</v>
      </c>
      <c r="B525" s="631" t="s">
        <v>666</v>
      </c>
      <c r="C525" s="631"/>
      <c r="D525" s="631"/>
      <c r="E525" s="395" t="s">
        <v>581</v>
      </c>
      <c r="F525" s="147"/>
      <c r="G525" s="395"/>
    </row>
    <row r="526" spans="1:8" s="364" customFormat="1" ht="24.75" customHeight="1">
      <c r="A526" s="515" t="s">
        <v>32</v>
      </c>
      <c r="B526" s="371" t="s">
        <v>21</v>
      </c>
      <c r="C526" s="343" t="s">
        <v>81</v>
      </c>
      <c r="D526" s="525" t="s">
        <v>77</v>
      </c>
      <c r="E526" s="525" t="s">
        <v>82</v>
      </c>
      <c r="F526" s="382" t="s">
        <v>83</v>
      </c>
      <c r="G526" s="383" t="s">
        <v>84</v>
      </c>
    </row>
    <row r="527" spans="1:8" s="364" customFormat="1" ht="18" customHeight="1">
      <c r="A527" s="626">
        <v>91946</v>
      </c>
      <c r="B527" s="639" t="s">
        <v>647</v>
      </c>
      <c r="C527" s="343" t="s">
        <v>98</v>
      </c>
      <c r="D527" s="638" t="s">
        <v>77</v>
      </c>
      <c r="E527" s="632">
        <v>1</v>
      </c>
      <c r="F527" s="347">
        <f>'COMP AUX'!G764</f>
        <v>2.4500000000000002</v>
      </c>
      <c r="G527" s="521">
        <f>TRUNC(E527*F527,2)</f>
        <v>2.4500000000000002</v>
      </c>
    </row>
    <row r="528" spans="1:8" s="364" customFormat="1" ht="18" customHeight="1">
      <c r="A528" s="627"/>
      <c r="B528" s="640"/>
      <c r="C528" s="343" t="s">
        <v>87</v>
      </c>
      <c r="D528" s="638"/>
      <c r="E528" s="633"/>
      <c r="F528" s="347">
        <f>'COMP AUX'!G765</f>
        <v>3.3899999999999997</v>
      </c>
      <c r="G528" s="346">
        <f>TRUNC(E527*F528,2)</f>
        <v>3.39</v>
      </c>
    </row>
    <row r="529" spans="1:14" s="364" customFormat="1" ht="18" customHeight="1">
      <c r="A529" s="626">
        <v>91994</v>
      </c>
      <c r="B529" s="636" t="s">
        <v>667</v>
      </c>
      <c r="C529" s="343" t="s">
        <v>98</v>
      </c>
      <c r="D529" s="638" t="s">
        <v>77</v>
      </c>
      <c r="E529" s="632">
        <v>1</v>
      </c>
      <c r="F529" s="347">
        <f>'COMP AUX'!G792</f>
        <v>6.91</v>
      </c>
      <c r="G529" s="346">
        <f>TRUNC(E529*F529,2)</f>
        <v>6.91</v>
      </c>
    </row>
    <row r="530" spans="1:14" s="364" customFormat="1" ht="18" customHeight="1">
      <c r="A530" s="627"/>
      <c r="B530" s="637"/>
      <c r="C530" s="343" t="s">
        <v>87</v>
      </c>
      <c r="D530" s="638"/>
      <c r="E530" s="633"/>
      <c r="F530" s="347">
        <f>'COMP AUX'!G793</f>
        <v>7.31</v>
      </c>
      <c r="G530" s="346">
        <f>TRUNC(E529*F530,2)</f>
        <v>7.31</v>
      </c>
    </row>
    <row r="531" spans="1:14" s="364" customFormat="1" ht="10.5" customHeight="1">
      <c r="A531" s="145"/>
      <c r="B531" s="147"/>
      <c r="C531" s="146"/>
      <c r="D531" s="145"/>
      <c r="E531" s="517"/>
      <c r="F531" s="518" t="s">
        <v>90</v>
      </c>
      <c r="G531" s="389">
        <f>G527+G529</f>
        <v>9.36</v>
      </c>
      <c r="H531" s="145"/>
    </row>
    <row r="532" spans="1:14" s="364" customFormat="1" ht="10.5" customHeight="1">
      <c r="A532" s="145"/>
      <c r="B532" s="147"/>
      <c r="C532" s="146"/>
      <c r="D532" s="145"/>
      <c r="E532" s="417"/>
      <c r="F532" s="349" t="s">
        <v>91</v>
      </c>
      <c r="G532" s="346">
        <f>G528+G530</f>
        <v>10.7</v>
      </c>
      <c r="H532" s="145"/>
    </row>
    <row r="533" spans="1:14" s="364" customFormat="1" ht="10.5" customHeight="1">
      <c r="A533" s="145"/>
      <c r="B533" s="147"/>
      <c r="C533" s="146"/>
      <c r="D533" s="145"/>
      <c r="E533" s="417"/>
      <c r="F533" s="349" t="s">
        <v>92</v>
      </c>
      <c r="G533" s="350">
        <f>SUM(G531:G532)</f>
        <v>20.059999999999999</v>
      </c>
      <c r="H533" s="145"/>
    </row>
    <row r="534" spans="1:14" s="364" customFormat="1" ht="10.5" customHeight="1">
      <c r="A534" s="355"/>
      <c r="B534" s="356"/>
      <c r="C534" s="357"/>
      <c r="D534" s="355"/>
      <c r="E534" s="356"/>
      <c r="F534" s="356"/>
      <c r="G534" s="356"/>
      <c r="H534" s="355"/>
    </row>
    <row r="535" spans="1:14" s="364" customFormat="1" ht="10.5" customHeight="1">
      <c r="B535" s="365"/>
      <c r="C535" s="366"/>
      <c r="E535" s="365"/>
      <c r="F535" s="365"/>
      <c r="G535" s="365"/>
    </row>
    <row r="536" spans="1:14" s="364" customFormat="1" ht="10.5" customHeight="1">
      <c r="A536" s="145" t="s">
        <v>284</v>
      </c>
      <c r="B536" s="147"/>
      <c r="C536" s="146"/>
      <c r="D536" s="145"/>
      <c r="E536" s="147"/>
      <c r="F536" s="147"/>
      <c r="G536" s="147"/>
    </row>
    <row r="537" spans="1:14" s="364" customFormat="1" ht="12.75" customHeight="1">
      <c r="A537" s="151" t="s">
        <v>817</v>
      </c>
      <c r="B537" s="147"/>
      <c r="C537" s="146"/>
      <c r="D537" s="145"/>
      <c r="E537" s="147"/>
      <c r="F537" s="147"/>
      <c r="G537" s="147"/>
    </row>
    <row r="538" spans="1:14" s="364" customFormat="1" ht="27" customHeight="1">
      <c r="A538" s="529" t="s">
        <v>518</v>
      </c>
      <c r="B538" s="529" t="s">
        <v>819</v>
      </c>
      <c r="C538" s="395" t="s">
        <v>581</v>
      </c>
      <c r="D538" s="529"/>
      <c r="F538" s="147"/>
      <c r="G538" s="395"/>
      <c r="J538" s="151" t="s">
        <v>671</v>
      </c>
    </row>
    <row r="539" spans="1:14" s="364" customFormat="1" ht="21.75" customHeight="1">
      <c r="A539" s="515" t="s">
        <v>32</v>
      </c>
      <c r="B539" s="371" t="s">
        <v>21</v>
      </c>
      <c r="C539" s="343" t="s">
        <v>81</v>
      </c>
      <c r="D539" s="525" t="s">
        <v>77</v>
      </c>
      <c r="E539" s="525" t="s">
        <v>82</v>
      </c>
      <c r="F539" s="382" t="s">
        <v>83</v>
      </c>
      <c r="G539" s="383" t="s">
        <v>84</v>
      </c>
    </row>
    <row r="540" spans="1:14" s="364" customFormat="1" ht="24.75" customHeight="1">
      <c r="A540" s="542" t="s">
        <v>672</v>
      </c>
      <c r="B540" s="553" t="s">
        <v>673</v>
      </c>
      <c r="C540" s="409" t="s">
        <v>87</v>
      </c>
      <c r="D540" s="414" t="s">
        <v>224</v>
      </c>
      <c r="E540" s="554">
        <v>2</v>
      </c>
      <c r="F540" s="558">
        <v>16.940000000000001</v>
      </c>
      <c r="G540" s="521">
        <f t="shared" ref="G540:G541" si="23">TRUNC(E540*F540,2)</f>
        <v>33.880000000000003</v>
      </c>
    </row>
    <row r="541" spans="1:14" s="364" customFormat="1" ht="18.75" customHeight="1">
      <c r="A541" s="542" t="s">
        <v>79</v>
      </c>
      <c r="B541" s="571" t="s">
        <v>820</v>
      </c>
      <c r="C541" s="343" t="s">
        <v>87</v>
      </c>
      <c r="D541" s="525" t="s">
        <v>224</v>
      </c>
      <c r="E541" s="526">
        <v>1</v>
      </c>
      <c r="F541" s="558">
        <f>(K541+K542)/2</f>
        <v>279.62</v>
      </c>
      <c r="G541" s="521">
        <f t="shared" si="23"/>
        <v>279.62</v>
      </c>
      <c r="J541" s="364" t="s">
        <v>700</v>
      </c>
      <c r="K541" s="551">
        <v>92</v>
      </c>
      <c r="L541" s="364" t="s">
        <v>703</v>
      </c>
      <c r="N541" s="364" t="s">
        <v>721</v>
      </c>
    </row>
    <row r="542" spans="1:14" s="364" customFormat="1" ht="15" customHeight="1">
      <c r="A542" s="626">
        <v>88247</v>
      </c>
      <c r="B542" s="639" t="s">
        <v>596</v>
      </c>
      <c r="C542" s="343" t="s">
        <v>98</v>
      </c>
      <c r="D542" s="638" t="s">
        <v>202</v>
      </c>
      <c r="E542" s="632">
        <v>0.22989999999999999</v>
      </c>
      <c r="F542" s="347">
        <f>G837</f>
        <v>9.26</v>
      </c>
      <c r="G542" s="521">
        <f>TRUNC(E542*F542,2)</f>
        <v>2.12</v>
      </c>
      <c r="J542" s="364" t="s">
        <v>701</v>
      </c>
      <c r="K542" s="551">
        <v>467.24</v>
      </c>
      <c r="L542" s="364" t="s">
        <v>702</v>
      </c>
      <c r="N542" s="364" t="s">
        <v>722</v>
      </c>
    </row>
    <row r="543" spans="1:14" s="364" customFormat="1" ht="15" customHeight="1">
      <c r="A543" s="627"/>
      <c r="B543" s="640"/>
      <c r="C543" s="343" t="s">
        <v>87</v>
      </c>
      <c r="D543" s="638"/>
      <c r="E543" s="633"/>
      <c r="F543" s="347">
        <f>G838</f>
        <v>4.5600000000000005</v>
      </c>
      <c r="G543" s="346">
        <f>TRUNC(E542*F543,2)</f>
        <v>1.04</v>
      </c>
      <c r="J543" s="364" t="s">
        <v>705</v>
      </c>
      <c r="K543" s="551"/>
      <c r="L543" s="364" t="s">
        <v>704</v>
      </c>
      <c r="N543" s="364" t="s">
        <v>723</v>
      </c>
    </row>
    <row r="544" spans="1:14" s="364" customFormat="1" ht="15" customHeight="1">
      <c r="A544" s="626">
        <v>88264</v>
      </c>
      <c r="B544" s="636" t="s">
        <v>597</v>
      </c>
      <c r="C544" s="343" t="s">
        <v>98</v>
      </c>
      <c r="D544" s="638" t="s">
        <v>202</v>
      </c>
      <c r="E544" s="632">
        <v>0.55179999999999996</v>
      </c>
      <c r="F544" s="347">
        <f>G820</f>
        <v>13.190000000000001</v>
      </c>
      <c r="G544" s="346">
        <f>TRUNC(E544*F544,2)</f>
        <v>7.27</v>
      </c>
    </row>
    <row r="545" spans="1:12" s="364" customFormat="1" ht="15" customHeight="1">
      <c r="A545" s="627"/>
      <c r="B545" s="637"/>
      <c r="C545" s="343" t="s">
        <v>87</v>
      </c>
      <c r="D545" s="638"/>
      <c r="E545" s="633"/>
      <c r="F545" s="347">
        <f>G821</f>
        <v>4.5600000000000005</v>
      </c>
      <c r="G545" s="346">
        <f>TRUNC(E544*F545,2)</f>
        <v>2.5099999999999998</v>
      </c>
    </row>
    <row r="546" spans="1:12" s="364" customFormat="1" ht="14.1" customHeight="1">
      <c r="A546" s="145"/>
      <c r="B546" s="147"/>
      <c r="C546" s="146"/>
      <c r="D546" s="145"/>
      <c r="E546" s="517"/>
      <c r="F546" s="518" t="s">
        <v>90</v>
      </c>
      <c r="G546" s="389">
        <f>G542+G544</f>
        <v>9.39</v>
      </c>
      <c r="H546" s="145"/>
      <c r="J546" s="364" t="s">
        <v>674</v>
      </c>
    </row>
    <row r="547" spans="1:12" s="364" customFormat="1" ht="14.1" customHeight="1">
      <c r="A547" s="145"/>
      <c r="B547" s="147"/>
      <c r="C547" s="146"/>
      <c r="D547" s="145"/>
      <c r="E547" s="417"/>
      <c r="F547" s="349" t="s">
        <v>91</v>
      </c>
      <c r="G547" s="346">
        <f>G540+G541+G543+G545</f>
        <v>317.05</v>
      </c>
      <c r="H547" s="145"/>
      <c r="J547" s="364" t="s">
        <v>708</v>
      </c>
      <c r="K547" s="552">
        <v>37.6</v>
      </c>
    </row>
    <row r="548" spans="1:12" s="364" customFormat="1" ht="14.1" customHeight="1">
      <c r="A548" s="145" t="s">
        <v>93</v>
      </c>
      <c r="B548" s="147"/>
      <c r="C548" s="146"/>
      <c r="D548" s="145"/>
      <c r="E548" s="417"/>
      <c r="F548" s="349" t="s">
        <v>92</v>
      </c>
      <c r="G548" s="350">
        <f>SUM(G546:G547)</f>
        <v>326.44</v>
      </c>
      <c r="H548" s="145"/>
    </row>
    <row r="549" spans="1:12" s="364" customFormat="1" ht="14.1" customHeight="1">
      <c r="A549" s="352" t="s">
        <v>94</v>
      </c>
      <c r="B549" s="351">
        <f>G548</f>
        <v>326.44</v>
      </c>
      <c r="C549" s="146"/>
      <c r="D549" s="145"/>
      <c r="E549" s="385"/>
      <c r="F549" s="536"/>
      <c r="G549" s="537"/>
      <c r="H549" s="145"/>
    </row>
    <row r="550" spans="1:12" s="364" customFormat="1" ht="14.1" customHeight="1">
      <c r="A550" s="352" t="s">
        <v>220</v>
      </c>
      <c r="B550" s="351">
        <f>G546*0.7237</f>
        <v>6.7955430000000003</v>
      </c>
      <c r="C550" s="146"/>
      <c r="D550" s="145"/>
      <c r="E550" s="385"/>
      <c r="F550" s="536"/>
      <c r="G550" s="537"/>
      <c r="H550" s="145"/>
    </row>
    <row r="551" spans="1:12" s="364" customFormat="1" ht="14.1" customHeight="1">
      <c r="A551" s="352" t="s">
        <v>221</v>
      </c>
      <c r="B551" s="351">
        <f>(B549+B550)*0.2457</f>
        <v>81.875972915100007</v>
      </c>
      <c r="C551" s="146"/>
      <c r="D551" s="145"/>
      <c r="E551" s="385"/>
      <c r="F551" s="536"/>
      <c r="G551" s="537"/>
      <c r="H551" s="145"/>
    </row>
    <row r="552" spans="1:12" s="364" customFormat="1" ht="14.1" customHeight="1">
      <c r="A552" s="352" t="s">
        <v>95</v>
      </c>
      <c r="B552" s="353">
        <f>SUM(B549:B551)</f>
        <v>415.11151591510003</v>
      </c>
      <c r="C552" s="146"/>
      <c r="D552" s="145"/>
      <c r="E552" s="385"/>
      <c r="F552" s="536"/>
      <c r="G552" s="537"/>
      <c r="H552" s="393"/>
      <c r="I552" s="364" t="s">
        <v>816</v>
      </c>
    </row>
    <row r="553" spans="1:12" s="364" customFormat="1" ht="10.5" customHeight="1">
      <c r="A553" s="355"/>
      <c r="B553" s="356"/>
      <c r="C553" s="357"/>
      <c r="D553" s="355"/>
      <c r="E553" s="356"/>
      <c r="F553" s="356"/>
      <c r="G553" s="356"/>
      <c r="H553" s="355"/>
    </row>
    <row r="554" spans="1:12" s="364" customFormat="1" ht="10.5" customHeight="1">
      <c r="B554" s="365"/>
      <c r="C554" s="366"/>
      <c r="E554" s="365"/>
      <c r="F554" s="365"/>
      <c r="G554" s="365"/>
    </row>
    <row r="555" spans="1:12" s="364" customFormat="1" ht="10.5" customHeight="1">
      <c r="A555" s="145" t="s">
        <v>284</v>
      </c>
      <c r="B555" s="147"/>
      <c r="C555" s="146"/>
      <c r="D555" s="145"/>
      <c r="E555" s="147"/>
      <c r="F555" s="147"/>
      <c r="G555" s="147"/>
    </row>
    <row r="556" spans="1:12" s="364" customFormat="1" ht="12.75" customHeight="1">
      <c r="A556" s="151" t="s">
        <v>821</v>
      </c>
      <c r="B556" s="147"/>
      <c r="C556" s="146"/>
      <c r="D556" s="145"/>
      <c r="E556" s="147"/>
      <c r="F556" s="147"/>
      <c r="G556" s="147"/>
    </row>
    <row r="557" spans="1:12" s="364" customFormat="1" ht="27" customHeight="1">
      <c r="A557" s="529" t="s">
        <v>518</v>
      </c>
      <c r="B557" s="529" t="s">
        <v>824</v>
      </c>
      <c r="C557" s="395" t="s">
        <v>581</v>
      </c>
      <c r="D557" s="529"/>
      <c r="F557" s="147"/>
      <c r="G557" s="395"/>
      <c r="J557" s="151" t="s">
        <v>675</v>
      </c>
    </row>
    <row r="558" spans="1:12" s="364" customFormat="1" ht="25.5" customHeight="1">
      <c r="A558" s="515" t="s">
        <v>32</v>
      </c>
      <c r="B558" s="371" t="s">
        <v>21</v>
      </c>
      <c r="C558" s="343" t="s">
        <v>81</v>
      </c>
      <c r="D558" s="525" t="s">
        <v>77</v>
      </c>
      <c r="E558" s="525" t="s">
        <v>82</v>
      </c>
      <c r="F558" s="382" t="s">
        <v>83</v>
      </c>
      <c r="G558" s="383" t="s">
        <v>84</v>
      </c>
    </row>
    <row r="559" spans="1:12" s="364" customFormat="1" ht="28.5" customHeight="1">
      <c r="A559" s="542" t="s">
        <v>79</v>
      </c>
      <c r="B559" s="553" t="s">
        <v>707</v>
      </c>
      <c r="C559" s="409" t="s">
        <v>87</v>
      </c>
      <c r="D559" s="414" t="s">
        <v>77</v>
      </c>
      <c r="E559" s="554">
        <v>1</v>
      </c>
      <c r="F559" s="558">
        <f>(K559+K560)/2</f>
        <v>326.60000000000002</v>
      </c>
      <c r="G559" s="521">
        <f t="shared" ref="G559" si="24">TRUNC(E559*F559,2)</f>
        <v>326.60000000000002</v>
      </c>
      <c r="J559" s="364" t="s">
        <v>700</v>
      </c>
      <c r="K559" s="551">
        <f>256+15</f>
        <v>271</v>
      </c>
      <c r="L559" s="364" t="s">
        <v>703</v>
      </c>
    </row>
    <row r="560" spans="1:12" s="364" customFormat="1" ht="14.1" customHeight="1">
      <c r="A560" s="626">
        <v>88247</v>
      </c>
      <c r="B560" s="639" t="s">
        <v>596</v>
      </c>
      <c r="C560" s="343" t="s">
        <v>98</v>
      </c>
      <c r="D560" s="638" t="s">
        <v>202</v>
      </c>
      <c r="E560" s="642">
        <v>0.129</v>
      </c>
      <c r="F560" s="347">
        <f>G837</f>
        <v>9.26</v>
      </c>
      <c r="G560" s="521">
        <f>TRUNC(E560*F560,2)</f>
        <v>1.19</v>
      </c>
      <c r="J560" s="364" t="s">
        <v>701</v>
      </c>
      <c r="K560" s="551">
        <f>337+45.2</f>
        <v>382.2</v>
      </c>
      <c r="L560" s="364" t="s">
        <v>702</v>
      </c>
    </row>
    <row r="561" spans="1:14" s="364" customFormat="1" ht="14.1" customHeight="1">
      <c r="A561" s="627"/>
      <c r="B561" s="640"/>
      <c r="C561" s="343" t="s">
        <v>87</v>
      </c>
      <c r="D561" s="638"/>
      <c r="E561" s="643"/>
      <c r="F561" s="347">
        <f>G838</f>
        <v>4.5600000000000005</v>
      </c>
      <c r="G561" s="346">
        <f>TRUNC(E560*F561,2)</f>
        <v>0.57999999999999996</v>
      </c>
      <c r="J561" s="364" t="s">
        <v>705</v>
      </c>
      <c r="K561" s="551"/>
      <c r="L561" s="364" t="s">
        <v>704</v>
      </c>
      <c r="N561" s="364" t="s">
        <v>723</v>
      </c>
    </row>
    <row r="562" spans="1:14" s="364" customFormat="1" ht="14.1" customHeight="1">
      <c r="A562" s="626">
        <v>88264</v>
      </c>
      <c r="B562" s="636" t="s">
        <v>597</v>
      </c>
      <c r="C562" s="343" t="s">
        <v>98</v>
      </c>
      <c r="D562" s="638" t="s">
        <v>202</v>
      </c>
      <c r="E562" s="642">
        <v>0.129</v>
      </c>
      <c r="F562" s="347">
        <f>G820</f>
        <v>13.190000000000001</v>
      </c>
      <c r="G562" s="346">
        <f>TRUNC(E562*F562,2)</f>
        <v>1.7</v>
      </c>
    </row>
    <row r="563" spans="1:14" s="364" customFormat="1" ht="14.1" customHeight="1">
      <c r="A563" s="627"/>
      <c r="B563" s="637"/>
      <c r="C563" s="343" t="s">
        <v>87</v>
      </c>
      <c r="D563" s="638"/>
      <c r="E563" s="643"/>
      <c r="F563" s="347">
        <f>G821</f>
        <v>4.5600000000000005</v>
      </c>
      <c r="G563" s="346">
        <f>TRUNC(E562*F563,2)</f>
        <v>0.57999999999999996</v>
      </c>
    </row>
    <row r="564" spans="1:14" s="364" customFormat="1" ht="14.1" customHeight="1">
      <c r="A564" s="145"/>
      <c r="B564" s="147"/>
      <c r="C564" s="146"/>
      <c r="D564" s="145"/>
      <c r="E564" s="517"/>
      <c r="F564" s="518" t="s">
        <v>90</v>
      </c>
      <c r="G564" s="389">
        <f>G560+G562</f>
        <v>2.8899999999999997</v>
      </c>
      <c r="H564" s="145"/>
      <c r="J564" s="364" t="s">
        <v>676</v>
      </c>
    </row>
    <row r="565" spans="1:14" s="364" customFormat="1" ht="14.1" customHeight="1">
      <c r="A565" s="145"/>
      <c r="B565" s="147"/>
      <c r="C565" s="146"/>
      <c r="D565" s="145"/>
      <c r="E565" s="417"/>
      <c r="F565" s="349" t="s">
        <v>91</v>
      </c>
      <c r="G565" s="346">
        <f>G559+G561+G563</f>
        <v>327.76</v>
      </c>
      <c r="H565" s="145"/>
      <c r="J565" s="364" t="s">
        <v>706</v>
      </c>
      <c r="K565" s="552">
        <v>75.14</v>
      </c>
    </row>
    <row r="566" spans="1:14" s="364" customFormat="1" ht="14.1" customHeight="1">
      <c r="A566" s="145" t="s">
        <v>93</v>
      </c>
      <c r="B566" s="147"/>
      <c r="C566" s="146"/>
      <c r="D566" s="145"/>
      <c r="E566" s="417"/>
      <c r="F566" s="349" t="s">
        <v>92</v>
      </c>
      <c r="G566" s="350">
        <f>SUM(G564:G565)</f>
        <v>330.65</v>
      </c>
      <c r="H566" s="145"/>
    </row>
    <row r="567" spans="1:14" s="364" customFormat="1" ht="14.1" customHeight="1">
      <c r="A567" s="352" t="s">
        <v>94</v>
      </c>
      <c r="B567" s="351">
        <f>G566</f>
        <v>330.65</v>
      </c>
      <c r="C567" s="366"/>
      <c r="E567" s="365"/>
      <c r="F567" s="365"/>
      <c r="G567" s="365"/>
    </row>
    <row r="568" spans="1:14" s="364" customFormat="1" ht="14.1" customHeight="1">
      <c r="A568" s="352" t="s">
        <v>220</v>
      </c>
      <c r="B568" s="351">
        <f>G564*0.7237</f>
        <v>2.0914929999999998</v>
      </c>
      <c r="C568" s="366"/>
      <c r="E568" s="365"/>
      <c r="F568" s="365"/>
      <c r="G568" s="365"/>
    </row>
    <row r="569" spans="1:14" s="364" customFormat="1" ht="14.1" customHeight="1">
      <c r="A569" s="352" t="s">
        <v>221</v>
      </c>
      <c r="B569" s="351">
        <f>(B567+B568)*0.2457</f>
        <v>81.754584830100001</v>
      </c>
      <c r="C569" s="366"/>
      <c r="E569" s="365"/>
      <c r="F569" s="365"/>
      <c r="G569" s="365"/>
    </row>
    <row r="570" spans="1:14" s="364" customFormat="1" ht="14.1" customHeight="1">
      <c r="A570" s="352" t="s">
        <v>95</v>
      </c>
      <c r="B570" s="353">
        <f>SUM(B567:B569)</f>
        <v>414.49607783009998</v>
      </c>
      <c r="C570" s="366"/>
      <c r="E570" s="365"/>
      <c r="F570" s="365"/>
      <c r="G570" s="365"/>
    </row>
    <row r="571" spans="1:14" s="364" customFormat="1" ht="10.5" customHeight="1">
      <c r="A571" s="356"/>
      <c r="B571" s="356"/>
      <c r="C571" s="356"/>
      <c r="D571" s="356"/>
      <c r="E571" s="356"/>
      <c r="F571" s="356"/>
      <c r="G571" s="356"/>
      <c r="H571" s="356"/>
    </row>
    <row r="572" spans="1:14" s="364" customFormat="1" ht="10.5" customHeight="1">
      <c r="B572" s="365"/>
      <c r="C572" s="366"/>
      <c r="E572" s="365"/>
      <c r="F572" s="365"/>
      <c r="G572" s="365"/>
    </row>
    <row r="573" spans="1:14" s="364" customFormat="1" ht="10.5" customHeight="1">
      <c r="A573" s="145" t="s">
        <v>284</v>
      </c>
      <c r="B573" s="147"/>
      <c r="C573" s="146"/>
      <c r="D573" s="145"/>
      <c r="E573" s="147"/>
      <c r="F573" s="147"/>
      <c r="G573" s="147"/>
    </row>
    <row r="574" spans="1:14" s="364" customFormat="1" ht="14.25" customHeight="1">
      <c r="A574" s="151" t="s">
        <v>677</v>
      </c>
      <c r="B574" s="147"/>
      <c r="C574" s="146"/>
      <c r="D574" s="145"/>
      <c r="E574" s="147"/>
      <c r="F574" s="147"/>
      <c r="G574" s="147"/>
    </row>
    <row r="575" spans="1:14" s="364" customFormat="1" ht="26.25" customHeight="1">
      <c r="A575" s="529" t="s">
        <v>518</v>
      </c>
      <c r="B575" s="631" t="s">
        <v>678</v>
      </c>
      <c r="C575" s="631"/>
      <c r="D575" s="631"/>
      <c r="E575" s="395" t="s">
        <v>471</v>
      </c>
      <c r="F575" s="147"/>
      <c r="G575" s="395"/>
    </row>
    <row r="576" spans="1:14" s="364" customFormat="1" ht="27" customHeight="1">
      <c r="A576" s="515" t="s">
        <v>32</v>
      </c>
      <c r="B576" s="371" t="s">
        <v>21</v>
      </c>
      <c r="C576" s="343" t="s">
        <v>81</v>
      </c>
      <c r="D576" s="525" t="s">
        <v>77</v>
      </c>
      <c r="E576" s="525" t="s">
        <v>82</v>
      </c>
      <c r="F576" s="382" t="s">
        <v>83</v>
      </c>
      <c r="G576" s="383" t="s">
        <v>84</v>
      </c>
    </row>
    <row r="577" spans="1:8" s="364" customFormat="1" ht="14.1" customHeight="1">
      <c r="A577" s="542" t="s">
        <v>679</v>
      </c>
      <c r="B577" s="527" t="s">
        <v>680</v>
      </c>
      <c r="C577" s="343" t="s">
        <v>87</v>
      </c>
      <c r="D577" s="525" t="s">
        <v>313</v>
      </c>
      <c r="E577" s="528">
        <v>1.468</v>
      </c>
      <c r="F577" s="382">
        <v>2.92</v>
      </c>
      <c r="G577" s="383">
        <f>TRUNC(E577*F577,2)</f>
        <v>4.28</v>
      </c>
    </row>
    <row r="578" spans="1:8" s="364" customFormat="1" ht="44.25" customHeight="1">
      <c r="A578" s="542" t="s">
        <v>681</v>
      </c>
      <c r="B578" s="527" t="s">
        <v>682</v>
      </c>
      <c r="C578" s="343" t="s">
        <v>87</v>
      </c>
      <c r="D578" s="525" t="s">
        <v>471</v>
      </c>
      <c r="E578" s="528">
        <v>1.05</v>
      </c>
      <c r="F578" s="382">
        <v>146.21</v>
      </c>
      <c r="G578" s="521">
        <f>TRUNC(E578*F578,2)</f>
        <v>153.52000000000001</v>
      </c>
    </row>
    <row r="579" spans="1:8" s="364" customFormat="1" ht="14.1" customHeight="1">
      <c r="A579" s="626">
        <v>88316</v>
      </c>
      <c r="B579" s="639" t="s">
        <v>100</v>
      </c>
      <c r="C579" s="343" t="s">
        <v>98</v>
      </c>
      <c r="D579" s="638" t="s">
        <v>202</v>
      </c>
      <c r="E579" s="632">
        <v>0.4</v>
      </c>
      <c r="F579" s="347">
        <f>G671</f>
        <v>9.35</v>
      </c>
      <c r="G579" s="521">
        <f>TRUNC(E579*F579,2)</f>
        <v>3.74</v>
      </c>
    </row>
    <row r="580" spans="1:8" s="364" customFormat="1" ht="14.1" customHeight="1">
      <c r="A580" s="627"/>
      <c r="B580" s="640"/>
      <c r="C580" s="343" t="s">
        <v>87</v>
      </c>
      <c r="D580" s="638"/>
      <c r="E580" s="633"/>
      <c r="F580" s="347">
        <f>G672</f>
        <v>4.5600000000000005</v>
      </c>
      <c r="G580" s="346">
        <f>TRUNC(E579*F580,2)</f>
        <v>1.82</v>
      </c>
    </row>
    <row r="581" spans="1:8" s="364" customFormat="1" ht="14.1" customHeight="1">
      <c r="A581" s="626">
        <v>88309</v>
      </c>
      <c r="B581" s="636" t="s">
        <v>105</v>
      </c>
      <c r="C581" s="343" t="s">
        <v>98</v>
      </c>
      <c r="D581" s="638" t="s">
        <v>202</v>
      </c>
      <c r="E581" s="632">
        <v>0.8</v>
      </c>
      <c r="F581" s="347">
        <f>G718</f>
        <v>12.590000000000002</v>
      </c>
      <c r="G581" s="346">
        <f>TRUNC(E581*F581,2)</f>
        <v>10.07</v>
      </c>
    </row>
    <row r="582" spans="1:8" s="364" customFormat="1" ht="14.1" customHeight="1">
      <c r="A582" s="627"/>
      <c r="B582" s="637"/>
      <c r="C582" s="343" t="s">
        <v>87</v>
      </c>
      <c r="D582" s="638"/>
      <c r="E582" s="633"/>
      <c r="F582" s="347">
        <f>G719</f>
        <v>4.5600000000000005</v>
      </c>
      <c r="G582" s="346">
        <f>TRUNC(E581*F582,2)</f>
        <v>3.64</v>
      </c>
    </row>
    <row r="583" spans="1:8" s="364" customFormat="1" ht="14.1" customHeight="1">
      <c r="A583" s="626">
        <v>88629</v>
      </c>
      <c r="B583" s="636" t="s">
        <v>658</v>
      </c>
      <c r="C583" s="343" t="s">
        <v>98</v>
      </c>
      <c r="D583" s="634" t="s">
        <v>319</v>
      </c>
      <c r="E583" s="632">
        <v>0.03</v>
      </c>
      <c r="F583" s="347">
        <f>G385</f>
        <v>79.28</v>
      </c>
      <c r="G583" s="346">
        <f>TRUNC(E583*F583,2)</f>
        <v>2.37</v>
      </c>
    </row>
    <row r="584" spans="1:8" s="364" customFormat="1" ht="14.1" customHeight="1">
      <c r="A584" s="627"/>
      <c r="B584" s="637"/>
      <c r="C584" s="343" t="s">
        <v>87</v>
      </c>
      <c r="D584" s="635"/>
      <c r="E584" s="633"/>
      <c r="F584" s="347">
        <f>G386</f>
        <v>319.67</v>
      </c>
      <c r="G584" s="346">
        <f t="shared" ref="G584" si="25">TRUNC(E583*F584,2)</f>
        <v>9.59</v>
      </c>
    </row>
    <row r="585" spans="1:8" s="364" customFormat="1" ht="14.1" customHeight="1">
      <c r="A585" s="145"/>
      <c r="B585" s="147"/>
      <c r="C585" s="146"/>
      <c r="D585" s="145"/>
      <c r="E585" s="517"/>
      <c r="F585" s="518" t="s">
        <v>90</v>
      </c>
      <c r="G585" s="389">
        <f>G579+G581+G583</f>
        <v>16.18</v>
      </c>
      <c r="H585" s="145"/>
    </row>
    <row r="586" spans="1:8" s="364" customFormat="1" ht="14.1" customHeight="1">
      <c r="A586" s="145"/>
      <c r="B586" s="147"/>
      <c r="C586" s="146"/>
      <c r="D586" s="145"/>
      <c r="E586" s="417"/>
      <c r="F586" s="349" t="s">
        <v>91</v>
      </c>
      <c r="G586" s="346">
        <f>G577+G578+G580+G582+G584</f>
        <v>172.85</v>
      </c>
      <c r="H586" s="145"/>
    </row>
    <row r="587" spans="1:8" s="364" customFormat="1" ht="14.1" customHeight="1">
      <c r="A587" s="145" t="s">
        <v>93</v>
      </c>
      <c r="B587" s="147"/>
      <c r="C587" s="146"/>
      <c r="D587" s="145"/>
      <c r="E587" s="417"/>
      <c r="F587" s="349" t="s">
        <v>92</v>
      </c>
      <c r="G587" s="350">
        <f>SUM(G585:G586)</f>
        <v>189.03</v>
      </c>
      <c r="H587" s="145"/>
    </row>
    <row r="588" spans="1:8" s="364" customFormat="1" ht="14.1" customHeight="1">
      <c r="A588" s="352" t="s">
        <v>94</v>
      </c>
      <c r="B588" s="351">
        <f>G587</f>
        <v>189.03</v>
      </c>
      <c r="C588" s="146"/>
      <c r="D588" s="145"/>
      <c r="E588" s="385"/>
      <c r="F588" s="536"/>
      <c r="G588" s="537"/>
      <c r="H588" s="145"/>
    </row>
    <row r="589" spans="1:8" s="364" customFormat="1" ht="14.1" customHeight="1">
      <c r="A589" s="352" t="s">
        <v>220</v>
      </c>
      <c r="B589" s="351">
        <f>G585*0.7237</f>
        <v>11.709466000000001</v>
      </c>
      <c r="C589" s="146"/>
      <c r="D589" s="145"/>
      <c r="E589" s="385"/>
      <c r="F589" s="536"/>
      <c r="G589" s="537"/>
      <c r="H589" s="145"/>
    </row>
    <row r="590" spans="1:8" s="364" customFormat="1" ht="14.1" customHeight="1">
      <c r="A590" s="352" t="s">
        <v>221</v>
      </c>
      <c r="B590" s="351">
        <f>(B588+B589)*0.2457</f>
        <v>49.321686796199998</v>
      </c>
      <c r="C590" s="146"/>
      <c r="D590" s="145"/>
      <c r="E590" s="385"/>
      <c r="F590" s="536"/>
      <c r="G590" s="537"/>
      <c r="H590" s="145"/>
    </row>
    <row r="591" spans="1:8" s="364" customFormat="1" ht="14.1" customHeight="1">
      <c r="A591" s="352" t="s">
        <v>95</v>
      </c>
      <c r="B591" s="353">
        <f>SUM(B588:B590)</f>
        <v>250.06115279619999</v>
      </c>
      <c r="C591" s="146"/>
      <c r="D591" s="145"/>
      <c r="E591" s="385"/>
      <c r="F591" s="536"/>
      <c r="G591" s="537"/>
      <c r="H591" s="145"/>
    </row>
    <row r="592" spans="1:8" s="364" customFormat="1" ht="10.5" customHeight="1">
      <c r="A592" s="355"/>
      <c r="B592" s="356"/>
      <c r="C592" s="357"/>
      <c r="D592" s="355"/>
      <c r="E592" s="356"/>
      <c r="F592" s="356"/>
      <c r="G592" s="356"/>
      <c r="H592" s="355"/>
    </row>
    <row r="593" spans="1:8" s="364" customFormat="1" ht="10.5" customHeight="1">
      <c r="B593" s="365"/>
      <c r="C593" s="366"/>
      <c r="E593" s="365"/>
      <c r="F593" s="365"/>
      <c r="G593" s="365"/>
    </row>
    <row r="594" spans="1:8" s="364" customFormat="1" ht="10.5" customHeight="1">
      <c r="A594" s="145" t="s">
        <v>284</v>
      </c>
      <c r="B594" s="147"/>
      <c r="C594" s="146"/>
      <c r="D594" s="145"/>
      <c r="E594" s="147"/>
      <c r="F594" s="147"/>
      <c r="G594" s="147"/>
    </row>
    <row r="595" spans="1:8" s="364" customFormat="1" ht="10.5" customHeight="1">
      <c r="A595" s="145" t="s">
        <v>683</v>
      </c>
      <c r="B595" s="147"/>
      <c r="C595" s="146"/>
      <c r="D595" s="145"/>
      <c r="E595" s="147"/>
      <c r="F595" s="147"/>
      <c r="G595" s="147"/>
    </row>
    <row r="596" spans="1:8" s="364" customFormat="1" ht="13.5" customHeight="1">
      <c r="A596" s="529" t="s">
        <v>518</v>
      </c>
      <c r="B596" s="529" t="s">
        <v>192</v>
      </c>
      <c r="C596" s="395" t="s">
        <v>471</v>
      </c>
      <c r="D596" s="529"/>
      <c r="F596" s="147"/>
      <c r="G596" s="395"/>
    </row>
    <row r="597" spans="1:8" s="364" customFormat="1" ht="21" customHeight="1">
      <c r="A597" s="515" t="s">
        <v>32</v>
      </c>
      <c r="B597" s="371" t="s">
        <v>21</v>
      </c>
      <c r="C597" s="343" t="s">
        <v>81</v>
      </c>
      <c r="D597" s="525" t="s">
        <v>77</v>
      </c>
      <c r="E597" s="525" t="s">
        <v>82</v>
      </c>
      <c r="F597" s="382" t="s">
        <v>83</v>
      </c>
      <c r="G597" s="383" t="s">
        <v>84</v>
      </c>
    </row>
    <row r="598" spans="1:8" s="364" customFormat="1" ht="24" customHeight="1">
      <c r="A598" s="542" t="s">
        <v>684</v>
      </c>
      <c r="B598" s="527" t="s">
        <v>685</v>
      </c>
      <c r="C598" s="343" t="s">
        <v>87</v>
      </c>
      <c r="D598" s="525" t="s">
        <v>313</v>
      </c>
      <c r="E598" s="605">
        <v>0.05</v>
      </c>
      <c r="F598" s="513">
        <v>3.26</v>
      </c>
      <c r="G598" s="383">
        <f>TRUNC(E598*F598,2)</f>
        <v>0.16</v>
      </c>
    </row>
    <row r="599" spans="1:8" s="364" customFormat="1" ht="10.5" customHeight="1">
      <c r="A599" s="626">
        <v>88316</v>
      </c>
      <c r="B599" s="639" t="s">
        <v>100</v>
      </c>
      <c r="C599" s="343" t="s">
        <v>98</v>
      </c>
      <c r="D599" s="638" t="s">
        <v>202</v>
      </c>
      <c r="E599" s="632">
        <v>0.23</v>
      </c>
      <c r="F599" s="347">
        <f>G671</f>
        <v>9.35</v>
      </c>
      <c r="G599" s="521">
        <f>TRUNC(E599*F599,2)</f>
        <v>2.15</v>
      </c>
    </row>
    <row r="600" spans="1:8" s="364" customFormat="1" ht="10.5" customHeight="1">
      <c r="A600" s="627"/>
      <c r="B600" s="640"/>
      <c r="C600" s="343" t="s">
        <v>87</v>
      </c>
      <c r="D600" s="638"/>
      <c r="E600" s="633"/>
      <c r="F600" s="347">
        <f>G672</f>
        <v>4.5600000000000005</v>
      </c>
      <c r="G600" s="346">
        <f>TRUNC(E599*F600,2)</f>
        <v>1.04</v>
      </c>
    </row>
    <row r="601" spans="1:8" s="364" customFormat="1" ht="14.1" customHeight="1">
      <c r="A601" s="145"/>
      <c r="B601" s="147"/>
      <c r="C601" s="146"/>
      <c r="D601" s="145"/>
      <c r="E601" s="517"/>
      <c r="F601" s="518" t="s">
        <v>90</v>
      </c>
      <c r="G601" s="389">
        <f>G599</f>
        <v>2.15</v>
      </c>
      <c r="H601" s="145"/>
    </row>
    <row r="602" spans="1:8" s="364" customFormat="1" ht="14.1" customHeight="1">
      <c r="A602" s="145"/>
      <c r="B602" s="147"/>
      <c r="C602" s="146"/>
      <c r="D602" s="145"/>
      <c r="E602" s="417"/>
      <c r="F602" s="349" t="s">
        <v>91</v>
      </c>
      <c r="G602" s="346">
        <f>G598+G600</f>
        <v>1.2</v>
      </c>
      <c r="H602" s="145"/>
    </row>
    <row r="603" spans="1:8" s="364" customFormat="1" ht="14.1" customHeight="1">
      <c r="A603" s="145" t="s">
        <v>93</v>
      </c>
      <c r="B603" s="147"/>
      <c r="C603" s="146"/>
      <c r="D603" s="145"/>
      <c r="E603" s="417"/>
      <c r="F603" s="349" t="s">
        <v>92</v>
      </c>
      <c r="G603" s="350">
        <f>SUM(G601:G602)</f>
        <v>3.3499999999999996</v>
      </c>
      <c r="H603" s="145"/>
    </row>
    <row r="604" spans="1:8" s="364" customFormat="1" ht="14.1" customHeight="1">
      <c r="A604" s="352" t="s">
        <v>94</v>
      </c>
      <c r="B604" s="351">
        <f>G603</f>
        <v>3.3499999999999996</v>
      </c>
      <c r="C604" s="146"/>
      <c r="D604" s="145"/>
      <c r="E604" s="385"/>
      <c r="F604" s="536"/>
      <c r="G604" s="537"/>
      <c r="H604" s="145"/>
    </row>
    <row r="605" spans="1:8" s="364" customFormat="1" ht="14.1" customHeight="1">
      <c r="A605" s="352" t="s">
        <v>220</v>
      </c>
      <c r="B605" s="351">
        <f>G601*0.7237</f>
        <v>1.555955</v>
      </c>
      <c r="C605" s="146"/>
      <c r="D605" s="145"/>
      <c r="E605" s="385"/>
      <c r="F605" s="536"/>
      <c r="G605" s="537"/>
      <c r="H605" s="145"/>
    </row>
    <row r="606" spans="1:8" s="364" customFormat="1" ht="14.1" customHeight="1">
      <c r="A606" s="352" t="s">
        <v>221</v>
      </c>
      <c r="B606" s="351">
        <f>(B604+B605)*0.2457</f>
        <v>1.2053931434999998</v>
      </c>
      <c r="C606" s="146"/>
      <c r="D606" s="145"/>
      <c r="E606" s="385"/>
      <c r="F606" s="536"/>
      <c r="G606" s="537"/>
      <c r="H606" s="145"/>
    </row>
    <row r="607" spans="1:8" s="364" customFormat="1" ht="14.1" customHeight="1">
      <c r="A607" s="352" t="s">
        <v>95</v>
      </c>
      <c r="B607" s="353">
        <f>SUM(B604:B606)</f>
        <v>6.111348143499999</v>
      </c>
      <c r="C607" s="146"/>
      <c r="D607" s="145"/>
      <c r="E607" s="385"/>
      <c r="F607" s="536"/>
      <c r="G607" s="537"/>
      <c r="H607" s="145"/>
    </row>
    <row r="608" spans="1:8" s="364" customFormat="1" ht="10.5" customHeight="1">
      <c r="A608" s="355"/>
      <c r="B608" s="356"/>
      <c r="C608" s="357"/>
      <c r="D608" s="355"/>
      <c r="E608" s="356"/>
      <c r="F608" s="356"/>
      <c r="G608" s="356"/>
      <c r="H608" s="355"/>
    </row>
    <row r="609" spans="1:8" s="364" customFormat="1" ht="10.5" customHeight="1">
      <c r="B609" s="365"/>
      <c r="C609" s="366"/>
      <c r="E609" s="365"/>
      <c r="F609" s="365"/>
      <c r="G609" s="365"/>
    </row>
    <row r="610" spans="1:8" s="364" customFormat="1" ht="10.5" customHeight="1">
      <c r="A610" s="145" t="s">
        <v>284</v>
      </c>
      <c r="B610" s="147"/>
      <c r="C610" s="146"/>
      <c r="D610" s="145"/>
      <c r="E610" s="147"/>
      <c r="F610" s="147"/>
      <c r="G610" s="147"/>
    </row>
    <row r="611" spans="1:8" s="364" customFormat="1" ht="10.5" customHeight="1">
      <c r="A611" s="145" t="s">
        <v>687</v>
      </c>
      <c r="B611" s="147"/>
      <c r="C611" s="146"/>
      <c r="D611" s="145"/>
      <c r="E611" s="147"/>
      <c r="F611" s="147"/>
      <c r="G611" s="147"/>
    </row>
    <row r="612" spans="1:8" s="364" customFormat="1" ht="15.75" customHeight="1">
      <c r="A612" s="529" t="s">
        <v>518</v>
      </c>
      <c r="B612" s="631" t="s">
        <v>686</v>
      </c>
      <c r="C612" s="631"/>
      <c r="D612" s="395" t="s">
        <v>471</v>
      </c>
      <c r="F612" s="147"/>
      <c r="G612" s="395"/>
    </row>
    <row r="613" spans="1:8" s="364" customFormat="1" ht="21.75" customHeight="1">
      <c r="A613" s="515" t="s">
        <v>32</v>
      </c>
      <c r="B613" s="371" t="s">
        <v>21</v>
      </c>
      <c r="C613" s="343" t="s">
        <v>81</v>
      </c>
      <c r="D613" s="525" t="s">
        <v>77</v>
      </c>
      <c r="E613" s="525" t="s">
        <v>82</v>
      </c>
      <c r="F613" s="382" t="s">
        <v>83</v>
      </c>
      <c r="G613" s="383" t="s">
        <v>84</v>
      </c>
    </row>
    <row r="614" spans="1:8" s="364" customFormat="1" ht="14.1" customHeight="1">
      <c r="A614" s="626">
        <v>88316</v>
      </c>
      <c r="B614" s="639" t="s">
        <v>100</v>
      </c>
      <c r="C614" s="343" t="s">
        <v>98</v>
      </c>
      <c r="D614" s="638" t="s">
        <v>202</v>
      </c>
      <c r="E614" s="632">
        <v>0.25</v>
      </c>
      <c r="F614" s="347">
        <f>G671</f>
        <v>9.35</v>
      </c>
      <c r="G614" s="521">
        <f>TRUNC(E614*F614,2)</f>
        <v>2.33</v>
      </c>
    </row>
    <row r="615" spans="1:8" s="364" customFormat="1" ht="14.1" customHeight="1">
      <c r="A615" s="627"/>
      <c r="B615" s="640"/>
      <c r="C615" s="343" t="s">
        <v>87</v>
      </c>
      <c r="D615" s="638"/>
      <c r="E615" s="633"/>
      <c r="F615" s="347">
        <f>G672</f>
        <v>4.5600000000000005</v>
      </c>
      <c r="G615" s="346">
        <f>TRUNC(E614*F615,2)</f>
        <v>1.1399999999999999</v>
      </c>
    </row>
    <row r="616" spans="1:8" s="364" customFormat="1" ht="14.1" customHeight="1">
      <c r="A616" s="145"/>
      <c r="B616" s="147"/>
      <c r="C616" s="146"/>
      <c r="D616" s="145"/>
      <c r="E616" s="517"/>
      <c r="F616" s="518" t="s">
        <v>90</v>
      </c>
      <c r="G616" s="389">
        <f>G614</f>
        <v>2.33</v>
      </c>
      <c r="H616" s="145"/>
    </row>
    <row r="617" spans="1:8" s="364" customFormat="1" ht="14.1" customHeight="1">
      <c r="A617" s="145"/>
      <c r="B617" s="147"/>
      <c r="C617" s="146"/>
      <c r="D617" s="145"/>
      <c r="E617" s="417"/>
      <c r="F617" s="349" t="s">
        <v>91</v>
      </c>
      <c r="G617" s="346">
        <f>G615</f>
        <v>1.1399999999999999</v>
      </c>
      <c r="H617" s="145"/>
    </row>
    <row r="618" spans="1:8" s="364" customFormat="1" ht="14.1" customHeight="1">
      <c r="A618" s="145" t="s">
        <v>93</v>
      </c>
      <c r="B618" s="147"/>
      <c r="C618" s="146"/>
      <c r="D618" s="145"/>
      <c r="E618" s="417"/>
      <c r="F618" s="349" t="s">
        <v>92</v>
      </c>
      <c r="G618" s="350">
        <f>SUM(G616:G617)</f>
        <v>3.4699999999999998</v>
      </c>
      <c r="H618" s="145"/>
    </row>
    <row r="619" spans="1:8" s="364" customFormat="1" ht="14.1" customHeight="1">
      <c r="A619" s="352" t="s">
        <v>94</v>
      </c>
      <c r="B619" s="351">
        <f>G618</f>
        <v>3.4699999999999998</v>
      </c>
      <c r="C619" s="146"/>
      <c r="D619" s="145"/>
      <c r="E619" s="385"/>
      <c r="F619" s="536"/>
      <c r="G619" s="537"/>
      <c r="H619" s="145"/>
    </row>
    <row r="620" spans="1:8" s="364" customFormat="1" ht="14.1" customHeight="1">
      <c r="A620" s="352" t="s">
        <v>220</v>
      </c>
      <c r="B620" s="351">
        <f>G616*0.7237</f>
        <v>1.686221</v>
      </c>
      <c r="C620" s="146"/>
      <c r="D620" s="145"/>
      <c r="E620" s="385"/>
      <c r="F620" s="536"/>
      <c r="G620" s="537"/>
      <c r="H620" s="145"/>
    </row>
    <row r="621" spans="1:8" s="364" customFormat="1" ht="14.1" customHeight="1">
      <c r="A621" s="352" t="s">
        <v>221</v>
      </c>
      <c r="B621" s="351">
        <f>(B619+B620)*0.2457</f>
        <v>1.2668834996999998</v>
      </c>
      <c r="C621" s="146"/>
      <c r="D621" s="145"/>
      <c r="E621" s="385"/>
      <c r="F621" s="536"/>
      <c r="G621" s="537"/>
      <c r="H621" s="145"/>
    </row>
    <row r="622" spans="1:8" s="364" customFormat="1" ht="14.1" customHeight="1">
      <c r="A622" s="352" t="s">
        <v>95</v>
      </c>
      <c r="B622" s="353">
        <f>SUM(B619:B621)</f>
        <v>6.4231044996999991</v>
      </c>
      <c r="C622" s="146"/>
      <c r="D622" s="145"/>
      <c r="E622" s="385"/>
      <c r="F622" s="536"/>
      <c r="G622" s="537"/>
      <c r="H622" s="145"/>
    </row>
    <row r="623" spans="1:8" s="364" customFormat="1" ht="10.5" customHeight="1">
      <c r="A623" s="355"/>
      <c r="B623" s="356"/>
      <c r="C623" s="357"/>
      <c r="D623" s="355"/>
      <c r="E623" s="356"/>
      <c r="F623" s="356"/>
      <c r="G623" s="356"/>
      <c r="H623" s="355"/>
    </row>
    <row r="624" spans="1:8" s="364" customFormat="1" ht="10.5" customHeight="1">
      <c r="B624" s="365"/>
      <c r="C624" s="366"/>
      <c r="E624" s="365"/>
      <c r="F624" s="365"/>
      <c r="G624" s="365"/>
    </row>
    <row r="625" spans="1:8" s="364" customFormat="1" ht="14.1" customHeight="1">
      <c r="A625" s="145" t="s">
        <v>284</v>
      </c>
      <c r="B625" s="147"/>
      <c r="C625" s="146"/>
      <c r="D625" s="145"/>
      <c r="E625" s="147"/>
      <c r="F625" s="147"/>
      <c r="G625" s="147"/>
    </row>
    <row r="626" spans="1:8" s="364" customFormat="1" ht="14.1" customHeight="1">
      <c r="A626" s="145" t="s">
        <v>571</v>
      </c>
      <c r="B626" s="147"/>
      <c r="C626" s="146"/>
      <c r="D626" s="145"/>
      <c r="E626" s="147"/>
      <c r="F626" s="147"/>
      <c r="G626" s="147"/>
    </row>
    <row r="627" spans="1:8" s="364" customFormat="1" ht="12.75" customHeight="1">
      <c r="A627" s="529" t="s">
        <v>518</v>
      </c>
      <c r="B627" s="631" t="s">
        <v>199</v>
      </c>
      <c r="C627" s="631"/>
      <c r="D627" s="631"/>
      <c r="E627" s="395" t="s">
        <v>202</v>
      </c>
      <c r="F627" s="147"/>
      <c r="G627" s="395"/>
    </row>
    <row r="628" spans="1:8" s="364" customFormat="1" ht="22.5" customHeight="1">
      <c r="A628" s="515" t="s">
        <v>32</v>
      </c>
      <c r="B628" s="371" t="s">
        <v>21</v>
      </c>
      <c r="C628" s="343" t="s">
        <v>81</v>
      </c>
      <c r="D628" s="525" t="s">
        <v>77</v>
      </c>
      <c r="E628" s="525" t="s">
        <v>82</v>
      </c>
      <c r="F628" s="382" t="s">
        <v>83</v>
      </c>
      <c r="G628" s="383" t="s">
        <v>84</v>
      </c>
    </row>
    <row r="629" spans="1:8" ht="14.1" customHeight="1">
      <c r="A629" s="515" t="s">
        <v>203</v>
      </c>
      <c r="B629" s="524" t="s">
        <v>204</v>
      </c>
      <c r="C629" s="525" t="s">
        <v>98</v>
      </c>
      <c r="D629" s="343" t="s">
        <v>202</v>
      </c>
      <c r="E629" s="373">
        <v>1</v>
      </c>
      <c r="F629" s="374">
        <f>10.6/118.57%</f>
        <v>8.9398667453824743</v>
      </c>
      <c r="G629" s="346">
        <f>TRUNC(E629*F629,2)</f>
        <v>8.93</v>
      </c>
      <c r="H629" s="147"/>
    </row>
    <row r="630" spans="1:8" ht="22.5">
      <c r="A630" s="515" t="s">
        <v>205</v>
      </c>
      <c r="B630" s="524" t="s">
        <v>206</v>
      </c>
      <c r="C630" s="525" t="s">
        <v>295</v>
      </c>
      <c r="D630" s="343" t="s">
        <v>202</v>
      </c>
      <c r="E630" s="373">
        <v>1</v>
      </c>
      <c r="F630" s="375">
        <v>2.15</v>
      </c>
      <c r="G630" s="345">
        <f t="shared" ref="G630:G636" si="26">TRUNC(E630*F630,2)</f>
        <v>2.15</v>
      </c>
      <c r="H630" s="147"/>
    </row>
    <row r="631" spans="1:8" ht="22.5">
      <c r="A631" s="515" t="s">
        <v>207</v>
      </c>
      <c r="B631" s="524" t="s">
        <v>208</v>
      </c>
      <c r="C631" s="525" t="s">
        <v>295</v>
      </c>
      <c r="D631" s="343" t="s">
        <v>202</v>
      </c>
      <c r="E631" s="373">
        <v>1</v>
      </c>
      <c r="F631" s="375">
        <v>0.6</v>
      </c>
      <c r="G631" s="346">
        <f t="shared" si="26"/>
        <v>0.6</v>
      </c>
      <c r="H631" s="147"/>
    </row>
    <row r="632" spans="1:8" ht="22.5">
      <c r="A632" s="515" t="s">
        <v>209</v>
      </c>
      <c r="B632" s="524" t="s">
        <v>210</v>
      </c>
      <c r="C632" s="525" t="s">
        <v>295</v>
      </c>
      <c r="D632" s="343" t="s">
        <v>202</v>
      </c>
      <c r="E632" s="373">
        <v>1</v>
      </c>
      <c r="F632" s="375">
        <v>0.37</v>
      </c>
      <c r="G632" s="345">
        <f t="shared" si="26"/>
        <v>0.37</v>
      </c>
      <c r="H632" s="147"/>
    </row>
    <row r="633" spans="1:8" ht="22.5">
      <c r="A633" s="515" t="s">
        <v>211</v>
      </c>
      <c r="B633" s="524" t="s">
        <v>212</v>
      </c>
      <c r="C633" s="525" t="s">
        <v>295</v>
      </c>
      <c r="D633" s="343" t="s">
        <v>202</v>
      </c>
      <c r="E633" s="373">
        <v>1</v>
      </c>
      <c r="F633" s="375">
        <v>0.02</v>
      </c>
      <c r="G633" s="345">
        <f t="shared" si="26"/>
        <v>0.02</v>
      </c>
      <c r="H633" s="147"/>
    </row>
    <row r="634" spans="1:8" ht="22.5">
      <c r="A634" s="515" t="s">
        <v>213</v>
      </c>
      <c r="B634" s="342" t="s">
        <v>214</v>
      </c>
      <c r="C634" s="388" t="s">
        <v>87</v>
      </c>
      <c r="D634" s="343" t="s">
        <v>202</v>
      </c>
      <c r="E634" s="373">
        <v>1</v>
      </c>
      <c r="F634" s="375">
        <f>'COMP AUX'!G22</f>
        <v>0.44000000000000006</v>
      </c>
      <c r="G634" s="345">
        <f t="shared" si="26"/>
        <v>0.44</v>
      </c>
      <c r="H634" s="147"/>
    </row>
    <row r="635" spans="1:8" ht="14.1" customHeight="1">
      <c r="A635" s="515" t="s">
        <v>215</v>
      </c>
      <c r="B635" s="342" t="s">
        <v>216</v>
      </c>
      <c r="C635" s="388" t="s">
        <v>87</v>
      </c>
      <c r="D635" s="343" t="s">
        <v>202</v>
      </c>
      <c r="E635" s="373">
        <v>1</v>
      </c>
      <c r="F635" s="375">
        <f>'COMP AUX'!G38</f>
        <v>0.98</v>
      </c>
      <c r="G635" s="345">
        <f t="shared" si="26"/>
        <v>0.98</v>
      </c>
      <c r="H635" s="147"/>
    </row>
    <row r="636" spans="1:8" ht="26.25" customHeight="1">
      <c r="A636" s="515" t="s">
        <v>217</v>
      </c>
      <c r="B636" s="342" t="s">
        <v>218</v>
      </c>
      <c r="C636" s="388" t="s">
        <v>98</v>
      </c>
      <c r="D636" s="343" t="s">
        <v>202</v>
      </c>
      <c r="E636" s="373">
        <v>1</v>
      </c>
      <c r="F636" s="375">
        <f>'COMP AUX'!G48</f>
        <v>0.12</v>
      </c>
      <c r="G636" s="345">
        <f t="shared" si="26"/>
        <v>0.12</v>
      </c>
      <c r="H636" s="147"/>
    </row>
    <row r="637" spans="1:8" ht="14.1" customHeight="1">
      <c r="C637" s="145"/>
      <c r="D637" s="437"/>
      <c r="E637" s="352"/>
      <c r="F637" s="349" t="s">
        <v>90</v>
      </c>
      <c r="G637" s="346">
        <f>G629+G636</f>
        <v>9.0499999999999989</v>
      </c>
      <c r="H637" s="147"/>
    </row>
    <row r="638" spans="1:8" ht="14.1" customHeight="1">
      <c r="C638" s="145"/>
      <c r="D638" s="439"/>
      <c r="E638" s="352"/>
      <c r="F638" s="349" t="s">
        <v>91</v>
      </c>
      <c r="G638" s="346">
        <f>SUM(G630:G635)</f>
        <v>4.5600000000000005</v>
      </c>
      <c r="H638" s="147"/>
    </row>
    <row r="639" spans="1:8" ht="14.1" customHeight="1">
      <c r="A639" s="384"/>
      <c r="B639" s="385"/>
      <c r="C639" s="145"/>
      <c r="D639" s="438"/>
      <c r="E639" s="352"/>
      <c r="F639" s="349" t="s">
        <v>92</v>
      </c>
      <c r="G639" s="380">
        <f>SUM(G637:G638)</f>
        <v>13.61</v>
      </c>
      <c r="H639" s="392"/>
    </row>
    <row r="640" spans="1:8">
      <c r="A640" s="390"/>
      <c r="B640" s="391"/>
      <c r="C640" s="379"/>
      <c r="D640" s="377"/>
      <c r="E640" s="378"/>
      <c r="F640" s="378"/>
      <c r="G640" s="378"/>
      <c r="H640" s="377"/>
    </row>
    <row r="641" spans="1:8">
      <c r="A641" s="386"/>
      <c r="B641" s="387"/>
    </row>
    <row r="642" spans="1:8">
      <c r="A642" s="145" t="s">
        <v>282</v>
      </c>
    </row>
    <row r="643" spans="1:8">
      <c r="A643" s="145" t="s">
        <v>35</v>
      </c>
      <c r="B643" s="376" t="s">
        <v>283</v>
      </c>
    </row>
    <row r="644" spans="1:8" ht="15.75" customHeight="1">
      <c r="A644" s="145" t="s">
        <v>219</v>
      </c>
      <c r="B644" s="630" t="s">
        <v>279</v>
      </c>
      <c r="C644" s="630"/>
      <c r="D644" s="369" t="s">
        <v>202</v>
      </c>
      <c r="E644" s="145"/>
    </row>
    <row r="645" spans="1:8" ht="22.5">
      <c r="A645" s="417" t="s">
        <v>32</v>
      </c>
      <c r="B645" s="342" t="s">
        <v>21</v>
      </c>
      <c r="C645" s="343" t="s">
        <v>81</v>
      </c>
      <c r="D645" s="343" t="s">
        <v>77</v>
      </c>
      <c r="E645" s="344" t="s">
        <v>82</v>
      </c>
      <c r="F645" s="382" t="s">
        <v>83</v>
      </c>
      <c r="G645" s="400" t="s">
        <v>84</v>
      </c>
      <c r="H645" s="147"/>
    </row>
    <row r="646" spans="1:8" ht="14.1" customHeight="1">
      <c r="A646" s="515">
        <v>1213</v>
      </c>
      <c r="B646" s="342" t="s">
        <v>278</v>
      </c>
      <c r="C646" s="388" t="s">
        <v>98</v>
      </c>
      <c r="D646" s="343" t="s">
        <v>202</v>
      </c>
      <c r="E646" s="373">
        <v>1</v>
      </c>
      <c r="F646" s="411">
        <f>14.68/118.57%</f>
        <v>12.380872058699502</v>
      </c>
      <c r="G646" s="346">
        <f>TRUNC(E646*F646,2)</f>
        <v>12.38</v>
      </c>
      <c r="H646" s="147"/>
    </row>
    <row r="647" spans="1:8" ht="22.5">
      <c r="A647" s="515" t="s">
        <v>205</v>
      </c>
      <c r="B647" s="342" t="s">
        <v>206</v>
      </c>
      <c r="C647" s="388" t="s">
        <v>295</v>
      </c>
      <c r="D647" s="343" t="s">
        <v>202</v>
      </c>
      <c r="E647" s="373">
        <v>1</v>
      </c>
      <c r="F647" s="375">
        <v>2.15</v>
      </c>
      <c r="G647" s="345">
        <f t="shared" ref="G647:G653" si="27">TRUNC(E647*F647,2)</f>
        <v>2.15</v>
      </c>
      <c r="H647" s="147"/>
    </row>
    <row r="648" spans="1:8" ht="22.5">
      <c r="A648" s="515" t="s">
        <v>207</v>
      </c>
      <c r="B648" s="342" t="s">
        <v>208</v>
      </c>
      <c r="C648" s="388" t="s">
        <v>295</v>
      </c>
      <c r="D648" s="343" t="s">
        <v>202</v>
      </c>
      <c r="E648" s="373">
        <v>1</v>
      </c>
      <c r="F648" s="375">
        <v>0.6</v>
      </c>
      <c r="G648" s="346">
        <f t="shared" si="27"/>
        <v>0.6</v>
      </c>
      <c r="H648" s="147"/>
    </row>
    <row r="649" spans="1:8" ht="22.5">
      <c r="A649" s="515" t="s">
        <v>209</v>
      </c>
      <c r="B649" s="342" t="s">
        <v>210</v>
      </c>
      <c r="C649" s="388" t="s">
        <v>295</v>
      </c>
      <c r="D649" s="343" t="s">
        <v>202</v>
      </c>
      <c r="E649" s="373">
        <v>1</v>
      </c>
      <c r="F649" s="375">
        <v>0.37</v>
      </c>
      <c r="G649" s="345">
        <f t="shared" si="27"/>
        <v>0.37</v>
      </c>
      <c r="H649" s="147"/>
    </row>
    <row r="650" spans="1:8" ht="22.5">
      <c r="A650" s="515" t="s">
        <v>211</v>
      </c>
      <c r="B650" s="342" t="s">
        <v>212</v>
      </c>
      <c r="C650" s="388" t="s">
        <v>295</v>
      </c>
      <c r="D650" s="343" t="s">
        <v>202</v>
      </c>
      <c r="E650" s="373">
        <v>1</v>
      </c>
      <c r="F650" s="375">
        <v>0.02</v>
      </c>
      <c r="G650" s="345">
        <f t="shared" si="27"/>
        <v>0.02</v>
      </c>
      <c r="H650" s="147"/>
    </row>
    <row r="651" spans="1:8" ht="22.5">
      <c r="A651" s="515" t="s">
        <v>213</v>
      </c>
      <c r="B651" s="342" t="s">
        <v>214</v>
      </c>
      <c r="C651" s="388" t="s">
        <v>87</v>
      </c>
      <c r="D651" s="343" t="s">
        <v>202</v>
      </c>
      <c r="E651" s="373">
        <v>1</v>
      </c>
      <c r="F651" s="375">
        <f>'COMP AUX'!G22</f>
        <v>0.44000000000000006</v>
      </c>
      <c r="G651" s="345">
        <f t="shared" si="27"/>
        <v>0.44</v>
      </c>
      <c r="H651" s="147"/>
    </row>
    <row r="652" spans="1:8" ht="14.1" customHeight="1">
      <c r="A652" s="515" t="s">
        <v>215</v>
      </c>
      <c r="B652" s="342" t="s">
        <v>216</v>
      </c>
      <c r="C652" s="388" t="s">
        <v>87</v>
      </c>
      <c r="D652" s="343" t="s">
        <v>202</v>
      </c>
      <c r="E652" s="373">
        <v>1</v>
      </c>
      <c r="F652" s="375">
        <f>'COMP AUX'!G38</f>
        <v>0.98</v>
      </c>
      <c r="G652" s="345">
        <f t="shared" si="27"/>
        <v>0.98</v>
      </c>
      <c r="H652" s="147"/>
    </row>
    <row r="653" spans="1:8" ht="27" customHeight="1">
      <c r="A653" s="407">
        <v>95330</v>
      </c>
      <c r="B653" s="408" t="s">
        <v>296</v>
      </c>
      <c r="C653" s="388" t="s">
        <v>98</v>
      </c>
      <c r="D653" s="343" t="s">
        <v>202</v>
      </c>
      <c r="E653" s="373">
        <v>1</v>
      </c>
      <c r="F653" s="375">
        <f>'COMP AUX'!G88</f>
        <v>0.11</v>
      </c>
      <c r="G653" s="345">
        <f t="shared" si="27"/>
        <v>0.11</v>
      </c>
      <c r="H653" s="147"/>
    </row>
    <row r="654" spans="1:8" ht="14.1" customHeight="1">
      <c r="C654" s="145"/>
      <c r="D654" s="437"/>
      <c r="E654" s="352"/>
      <c r="F654" s="349" t="s">
        <v>90</v>
      </c>
      <c r="G654" s="346">
        <f>G646+G653</f>
        <v>12.49</v>
      </c>
      <c r="H654" s="147"/>
    </row>
    <row r="655" spans="1:8" ht="14.1" customHeight="1">
      <c r="C655" s="145"/>
      <c r="D655" s="439"/>
      <c r="E655" s="352"/>
      <c r="F655" s="349" t="s">
        <v>91</v>
      </c>
      <c r="G655" s="346">
        <f>SUM(G647:G652)</f>
        <v>4.5600000000000005</v>
      </c>
      <c r="H655" s="147"/>
    </row>
    <row r="656" spans="1:8" ht="14.1" customHeight="1">
      <c r="A656" s="384"/>
      <c r="B656" s="385"/>
      <c r="C656" s="145"/>
      <c r="D656" s="438"/>
      <c r="E656" s="352"/>
      <c r="F656" s="349" t="s">
        <v>92</v>
      </c>
      <c r="G656" s="380">
        <f>SUM(G654:G655)</f>
        <v>17.05</v>
      </c>
      <c r="H656" s="392"/>
    </row>
    <row r="657" spans="1:8">
      <c r="A657" s="377"/>
      <c r="B657" s="378"/>
      <c r="C657" s="379"/>
      <c r="D657" s="377"/>
      <c r="E657" s="378"/>
      <c r="F657" s="378"/>
      <c r="G657" s="378"/>
      <c r="H657" s="377"/>
    </row>
    <row r="659" spans="1:8">
      <c r="A659" s="145" t="s">
        <v>282</v>
      </c>
    </row>
    <row r="660" spans="1:8">
      <c r="A660" s="145" t="s">
        <v>35</v>
      </c>
      <c r="B660" s="376" t="s">
        <v>288</v>
      </c>
    </row>
    <row r="661" spans="1:8" ht="14.25" customHeight="1">
      <c r="A661" s="145" t="s">
        <v>219</v>
      </c>
      <c r="B661" s="359" t="s">
        <v>100</v>
      </c>
      <c r="C661" s="369" t="s">
        <v>202</v>
      </c>
      <c r="D661" s="145" t="s">
        <v>6</v>
      </c>
    </row>
    <row r="662" spans="1:8" ht="22.5">
      <c r="A662" s="417" t="s">
        <v>32</v>
      </c>
      <c r="B662" s="342" t="s">
        <v>21</v>
      </c>
      <c r="C662" s="343" t="s">
        <v>81</v>
      </c>
      <c r="D662" s="343" t="s">
        <v>77</v>
      </c>
      <c r="E662" s="344" t="s">
        <v>82</v>
      </c>
      <c r="F662" s="382" t="s">
        <v>83</v>
      </c>
      <c r="G662" s="400" t="s">
        <v>84</v>
      </c>
    </row>
    <row r="663" spans="1:8" ht="14.1" customHeight="1">
      <c r="A663" s="515">
        <v>6111</v>
      </c>
      <c r="B663" s="342" t="s">
        <v>289</v>
      </c>
      <c r="C663" s="343" t="s">
        <v>98</v>
      </c>
      <c r="D663" s="343" t="s">
        <v>202</v>
      </c>
      <c r="E663" s="373">
        <v>1</v>
      </c>
      <c r="F663" s="374">
        <f>10.92/118.57%</f>
        <v>9.2097495150543978</v>
      </c>
      <c r="G663" s="346">
        <f>TRUNC(E663*F663,2)</f>
        <v>9.1999999999999993</v>
      </c>
    </row>
    <row r="664" spans="1:8" ht="22.5">
      <c r="A664" s="515" t="s">
        <v>205</v>
      </c>
      <c r="B664" s="342" t="s">
        <v>206</v>
      </c>
      <c r="C664" s="343" t="s">
        <v>295</v>
      </c>
      <c r="D664" s="343" t="s">
        <v>202</v>
      </c>
      <c r="E664" s="373">
        <v>1</v>
      </c>
      <c r="F664" s="375">
        <v>2.15</v>
      </c>
      <c r="G664" s="345">
        <f t="shared" ref="G664:G670" si="28">TRUNC(E664*F664,2)</f>
        <v>2.15</v>
      </c>
    </row>
    <row r="665" spans="1:8" ht="22.5">
      <c r="A665" s="515" t="s">
        <v>207</v>
      </c>
      <c r="B665" s="342" t="s">
        <v>208</v>
      </c>
      <c r="C665" s="343" t="s">
        <v>295</v>
      </c>
      <c r="D665" s="343" t="s">
        <v>202</v>
      </c>
      <c r="E665" s="373">
        <v>1</v>
      </c>
      <c r="F665" s="375">
        <v>0.6</v>
      </c>
      <c r="G665" s="346">
        <f t="shared" si="28"/>
        <v>0.6</v>
      </c>
    </row>
    <row r="666" spans="1:8" ht="22.5">
      <c r="A666" s="515" t="s">
        <v>209</v>
      </c>
      <c r="B666" s="342" t="s">
        <v>210</v>
      </c>
      <c r="C666" s="343" t="s">
        <v>295</v>
      </c>
      <c r="D666" s="343" t="s">
        <v>202</v>
      </c>
      <c r="E666" s="373">
        <v>1</v>
      </c>
      <c r="F666" s="375">
        <v>0.37</v>
      </c>
      <c r="G666" s="345">
        <f t="shared" si="28"/>
        <v>0.37</v>
      </c>
    </row>
    <row r="667" spans="1:8" ht="22.5">
      <c r="A667" s="515" t="s">
        <v>211</v>
      </c>
      <c r="B667" s="342" t="s">
        <v>212</v>
      </c>
      <c r="C667" s="343" t="s">
        <v>295</v>
      </c>
      <c r="D667" s="343" t="s">
        <v>202</v>
      </c>
      <c r="E667" s="373">
        <v>1</v>
      </c>
      <c r="F667" s="375">
        <v>0.02</v>
      </c>
      <c r="G667" s="345">
        <f t="shared" si="28"/>
        <v>0.02</v>
      </c>
    </row>
    <row r="668" spans="1:8" ht="22.5">
      <c r="A668" s="515" t="s">
        <v>213</v>
      </c>
      <c r="B668" s="342" t="s">
        <v>214</v>
      </c>
      <c r="C668" s="343" t="s">
        <v>87</v>
      </c>
      <c r="D668" s="343" t="s">
        <v>202</v>
      </c>
      <c r="E668" s="373">
        <v>1</v>
      </c>
      <c r="F668" s="375">
        <f>'COMP AUX'!G22</f>
        <v>0.44000000000000006</v>
      </c>
      <c r="G668" s="345">
        <f t="shared" si="28"/>
        <v>0.44</v>
      </c>
    </row>
    <row r="669" spans="1:8" ht="14.1" customHeight="1">
      <c r="A669" s="515" t="s">
        <v>215</v>
      </c>
      <c r="B669" s="342" t="s">
        <v>216</v>
      </c>
      <c r="C669" s="343" t="s">
        <v>87</v>
      </c>
      <c r="D669" s="343" t="s">
        <v>202</v>
      </c>
      <c r="E669" s="373">
        <v>1</v>
      </c>
      <c r="F669" s="375">
        <f>'COMP AUX'!G38</f>
        <v>0.98</v>
      </c>
      <c r="G669" s="345">
        <f t="shared" si="28"/>
        <v>0.98</v>
      </c>
    </row>
    <row r="670" spans="1:8" ht="27.75" customHeight="1">
      <c r="A670" s="515">
        <v>95378</v>
      </c>
      <c r="B670" s="342" t="s">
        <v>320</v>
      </c>
      <c r="C670" s="343" t="s">
        <v>98</v>
      </c>
      <c r="D670" s="343" t="s">
        <v>202</v>
      </c>
      <c r="E670" s="373">
        <v>1</v>
      </c>
      <c r="F670" s="375">
        <f>'COMP AUX'!G58</f>
        <v>0.15</v>
      </c>
      <c r="G670" s="345">
        <f t="shared" si="28"/>
        <v>0.15</v>
      </c>
    </row>
    <row r="671" spans="1:8" ht="14.1" customHeight="1">
      <c r="D671" s="437"/>
      <c r="E671" s="352"/>
      <c r="F671" s="349" t="s">
        <v>90</v>
      </c>
      <c r="G671" s="346">
        <f>G663+G670</f>
        <v>9.35</v>
      </c>
    </row>
    <row r="672" spans="1:8" ht="14.1" customHeight="1">
      <c r="D672" s="439"/>
      <c r="E672" s="352"/>
      <c r="F672" s="349" t="s">
        <v>91</v>
      </c>
      <c r="G672" s="346">
        <f>SUM(G664:G669)</f>
        <v>4.5600000000000005</v>
      </c>
    </row>
    <row r="673" spans="1:8" ht="14.1" customHeight="1">
      <c r="A673" s="384"/>
      <c r="B673" s="385"/>
      <c r="D673" s="438"/>
      <c r="E673" s="352"/>
      <c r="F673" s="349" t="s">
        <v>92</v>
      </c>
      <c r="G673" s="380">
        <f>SUM(G671:G672)</f>
        <v>13.91</v>
      </c>
    </row>
    <row r="674" spans="1:8">
      <c r="A674" s="377"/>
      <c r="B674" s="378"/>
      <c r="C674" s="379"/>
      <c r="D674" s="377"/>
      <c r="E674" s="378"/>
      <c r="F674" s="378"/>
      <c r="G674" s="378"/>
      <c r="H674" s="377"/>
    </row>
    <row r="676" spans="1:8" ht="15" customHeight="1">
      <c r="A676" s="145" t="s">
        <v>282</v>
      </c>
    </row>
    <row r="677" spans="1:8" ht="15" customHeight="1">
      <c r="A677" s="145" t="s">
        <v>35</v>
      </c>
      <c r="B677" s="376" t="s">
        <v>292</v>
      </c>
    </row>
    <row r="678" spans="1:8" ht="27.75" customHeight="1">
      <c r="A678" s="145" t="s">
        <v>219</v>
      </c>
      <c r="B678" s="630" t="s">
        <v>291</v>
      </c>
      <c r="C678" s="630"/>
      <c r="D678" s="369" t="s">
        <v>202</v>
      </c>
      <c r="E678" s="145"/>
    </row>
    <row r="679" spans="1:8" ht="22.5">
      <c r="A679" s="417" t="s">
        <v>32</v>
      </c>
      <c r="B679" s="394" t="s">
        <v>21</v>
      </c>
      <c r="C679" s="343" t="s">
        <v>81</v>
      </c>
      <c r="D679" s="343" t="s">
        <v>77</v>
      </c>
      <c r="E679" s="388" t="s">
        <v>82</v>
      </c>
      <c r="F679" s="382" t="s">
        <v>83</v>
      </c>
      <c r="G679" s="400" t="s">
        <v>84</v>
      </c>
    </row>
    <row r="680" spans="1:8" ht="15" customHeight="1">
      <c r="A680" s="407">
        <v>4094</v>
      </c>
      <c r="B680" s="408" t="s">
        <v>293</v>
      </c>
      <c r="C680" s="343" t="s">
        <v>98</v>
      </c>
      <c r="D680" s="409" t="s">
        <v>202</v>
      </c>
      <c r="E680" s="410">
        <v>1</v>
      </c>
      <c r="F680" s="411">
        <f>16.13/118.57%</f>
        <v>13.603778358775406</v>
      </c>
      <c r="G680" s="412">
        <f>TRUNC(E680*F680,2)</f>
        <v>13.6</v>
      </c>
    </row>
    <row r="681" spans="1:8" ht="22.5">
      <c r="A681" s="515" t="s">
        <v>205</v>
      </c>
      <c r="B681" s="394" t="s">
        <v>206</v>
      </c>
      <c r="C681" s="343" t="s">
        <v>295</v>
      </c>
      <c r="D681" s="343" t="s">
        <v>202</v>
      </c>
      <c r="E681" s="373">
        <v>1</v>
      </c>
      <c r="F681" s="375">
        <v>2.15</v>
      </c>
      <c r="G681" s="345">
        <f t="shared" ref="G681:G685" si="29">TRUNC(E681*F681,2)</f>
        <v>2.15</v>
      </c>
    </row>
    <row r="682" spans="1:8" ht="22.5">
      <c r="A682" s="515" t="s">
        <v>207</v>
      </c>
      <c r="B682" s="394" t="s">
        <v>208</v>
      </c>
      <c r="C682" s="343" t="s">
        <v>295</v>
      </c>
      <c r="D682" s="343" t="s">
        <v>202</v>
      </c>
      <c r="E682" s="373">
        <v>1</v>
      </c>
      <c r="F682" s="375">
        <v>0.6</v>
      </c>
      <c r="G682" s="346">
        <f t="shared" si="29"/>
        <v>0.6</v>
      </c>
    </row>
    <row r="683" spans="1:8" ht="22.5">
      <c r="A683" s="515" t="s">
        <v>209</v>
      </c>
      <c r="B683" s="394" t="s">
        <v>210</v>
      </c>
      <c r="C683" s="343" t="s">
        <v>295</v>
      </c>
      <c r="D683" s="343" t="s">
        <v>202</v>
      </c>
      <c r="E683" s="373">
        <v>1</v>
      </c>
      <c r="F683" s="375">
        <v>0.37</v>
      </c>
      <c r="G683" s="345">
        <f t="shared" si="29"/>
        <v>0.37</v>
      </c>
    </row>
    <row r="684" spans="1:8" ht="22.5">
      <c r="A684" s="515" t="s">
        <v>211</v>
      </c>
      <c r="B684" s="394" t="s">
        <v>212</v>
      </c>
      <c r="C684" s="343" t="s">
        <v>295</v>
      </c>
      <c r="D684" s="343" t="s">
        <v>202</v>
      </c>
      <c r="E684" s="373">
        <v>1</v>
      </c>
      <c r="F684" s="375">
        <v>0.02</v>
      </c>
      <c r="G684" s="345">
        <f t="shared" si="29"/>
        <v>0.02</v>
      </c>
    </row>
    <row r="685" spans="1:8" ht="33.75">
      <c r="A685" s="407">
        <v>95348</v>
      </c>
      <c r="B685" s="408" t="s">
        <v>297</v>
      </c>
      <c r="C685" s="343" t="s">
        <v>98</v>
      </c>
      <c r="D685" s="343" t="s">
        <v>202</v>
      </c>
      <c r="E685" s="373">
        <v>1</v>
      </c>
      <c r="F685" s="375">
        <f>'COMP AUX'!G68</f>
        <v>0.05</v>
      </c>
      <c r="G685" s="345">
        <f t="shared" si="29"/>
        <v>0.05</v>
      </c>
    </row>
    <row r="686" spans="1:8" ht="15" customHeight="1">
      <c r="D686" s="437"/>
      <c r="E686" s="352"/>
      <c r="F686" s="349" t="s">
        <v>90</v>
      </c>
      <c r="G686" s="346">
        <f>G680+G685</f>
        <v>13.65</v>
      </c>
    </row>
    <row r="687" spans="1:8" ht="15" customHeight="1">
      <c r="D687" s="439"/>
      <c r="E687" s="352"/>
      <c r="F687" s="349" t="s">
        <v>91</v>
      </c>
      <c r="G687" s="346">
        <f>SUM(G681:G684)</f>
        <v>3.14</v>
      </c>
    </row>
    <row r="688" spans="1:8" ht="15" customHeight="1">
      <c r="A688" s="384"/>
      <c r="B688" s="385"/>
      <c r="D688" s="438"/>
      <c r="E688" s="352"/>
      <c r="F688" s="349" t="s">
        <v>92</v>
      </c>
      <c r="G688" s="380">
        <f>SUM(G686:G687)</f>
        <v>16.79</v>
      </c>
    </row>
    <row r="689" spans="1:8">
      <c r="A689" s="377"/>
      <c r="B689" s="378"/>
      <c r="C689" s="379"/>
      <c r="D689" s="377"/>
      <c r="E689" s="378"/>
      <c r="F689" s="378"/>
      <c r="G689" s="378"/>
      <c r="H689" s="377"/>
    </row>
    <row r="691" spans="1:8" ht="14.1" customHeight="1">
      <c r="A691" s="145" t="s">
        <v>282</v>
      </c>
    </row>
    <row r="692" spans="1:8" ht="14.1" customHeight="1">
      <c r="A692" s="145" t="s">
        <v>35</v>
      </c>
      <c r="B692" s="376" t="s">
        <v>328</v>
      </c>
    </row>
    <row r="693" spans="1:8" ht="16.5" customHeight="1">
      <c r="A693" s="145" t="s">
        <v>219</v>
      </c>
      <c r="B693" s="630" t="s">
        <v>329</v>
      </c>
      <c r="C693" s="630"/>
      <c r="D693" s="369" t="s">
        <v>202</v>
      </c>
      <c r="E693" s="145"/>
    </row>
    <row r="694" spans="1:8" ht="22.5">
      <c r="A694" s="417" t="s">
        <v>32</v>
      </c>
      <c r="B694" s="397" t="s">
        <v>21</v>
      </c>
      <c r="C694" s="343" t="s">
        <v>81</v>
      </c>
      <c r="D694" s="343" t="s">
        <v>77</v>
      </c>
      <c r="E694" s="398" t="s">
        <v>82</v>
      </c>
      <c r="F694" s="382" t="s">
        <v>83</v>
      </c>
      <c r="G694" s="400" t="s">
        <v>84</v>
      </c>
    </row>
    <row r="695" spans="1:8" ht="14.1" customHeight="1">
      <c r="A695" s="407">
        <v>20020</v>
      </c>
      <c r="B695" s="408" t="s">
        <v>332</v>
      </c>
      <c r="C695" s="343" t="s">
        <v>98</v>
      </c>
      <c r="D695" s="409" t="s">
        <v>202</v>
      </c>
      <c r="E695" s="410">
        <v>1</v>
      </c>
      <c r="F695" s="411">
        <f>11.38/118.57%</f>
        <v>9.5977059964577887</v>
      </c>
      <c r="G695" s="412">
        <f>TRUNC(E695*F695,2)</f>
        <v>9.59</v>
      </c>
    </row>
    <row r="696" spans="1:8" ht="22.5">
      <c r="A696" s="515" t="s">
        <v>205</v>
      </c>
      <c r="B696" s="397" t="s">
        <v>206</v>
      </c>
      <c r="C696" s="343" t="s">
        <v>295</v>
      </c>
      <c r="D696" s="343" t="s">
        <v>202</v>
      </c>
      <c r="E696" s="373">
        <v>1</v>
      </c>
      <c r="F696" s="375">
        <v>2.15</v>
      </c>
      <c r="G696" s="345">
        <f t="shared" ref="G696:G700" si="30">TRUNC(E696*F696,2)</f>
        <v>2.15</v>
      </c>
    </row>
    <row r="697" spans="1:8" ht="22.5">
      <c r="A697" s="515" t="s">
        <v>207</v>
      </c>
      <c r="B697" s="397" t="s">
        <v>208</v>
      </c>
      <c r="C697" s="343" t="s">
        <v>295</v>
      </c>
      <c r="D697" s="343" t="s">
        <v>202</v>
      </c>
      <c r="E697" s="373">
        <v>1</v>
      </c>
      <c r="F697" s="375">
        <v>0.6</v>
      </c>
      <c r="G697" s="346">
        <f t="shared" si="30"/>
        <v>0.6</v>
      </c>
    </row>
    <row r="698" spans="1:8" ht="22.5">
      <c r="A698" s="515" t="s">
        <v>209</v>
      </c>
      <c r="B698" s="397" t="s">
        <v>210</v>
      </c>
      <c r="C698" s="343" t="s">
        <v>295</v>
      </c>
      <c r="D698" s="343" t="s">
        <v>202</v>
      </c>
      <c r="E698" s="373">
        <v>1</v>
      </c>
      <c r="F698" s="375">
        <v>0.37</v>
      </c>
      <c r="G698" s="345">
        <f t="shared" si="30"/>
        <v>0.37</v>
      </c>
    </row>
    <row r="699" spans="1:8" ht="22.5">
      <c r="A699" s="515" t="s">
        <v>211</v>
      </c>
      <c r="B699" s="397" t="s">
        <v>212</v>
      </c>
      <c r="C699" s="343" t="s">
        <v>295</v>
      </c>
      <c r="D699" s="343" t="s">
        <v>202</v>
      </c>
      <c r="E699" s="373">
        <v>1</v>
      </c>
      <c r="F699" s="375">
        <v>0.02</v>
      </c>
      <c r="G699" s="345">
        <f t="shared" si="30"/>
        <v>0.02</v>
      </c>
    </row>
    <row r="700" spans="1:8" ht="29.25" customHeight="1">
      <c r="A700" s="407">
        <v>95346</v>
      </c>
      <c r="B700" s="408" t="s">
        <v>330</v>
      </c>
      <c r="C700" s="343" t="s">
        <v>98</v>
      </c>
      <c r="D700" s="343" t="s">
        <v>202</v>
      </c>
      <c r="E700" s="373">
        <v>1</v>
      </c>
      <c r="F700" s="375">
        <f>'COMP AUX'!G78</f>
        <v>0.03</v>
      </c>
      <c r="G700" s="345">
        <f t="shared" si="30"/>
        <v>0.03</v>
      </c>
    </row>
    <row r="701" spans="1:8" ht="14.1" customHeight="1">
      <c r="D701" s="437"/>
      <c r="E701" s="352"/>
      <c r="F701" s="349" t="s">
        <v>90</v>
      </c>
      <c r="G701" s="346">
        <f>G695+G700</f>
        <v>9.6199999999999992</v>
      </c>
    </row>
    <row r="702" spans="1:8" ht="14.1" customHeight="1">
      <c r="D702" s="439"/>
      <c r="E702" s="352"/>
      <c r="F702" s="349" t="s">
        <v>91</v>
      </c>
      <c r="G702" s="346">
        <f>SUM(G696:G699)</f>
        <v>3.14</v>
      </c>
    </row>
    <row r="703" spans="1:8" ht="14.1" customHeight="1">
      <c r="A703" s="384"/>
      <c r="B703" s="385"/>
      <c r="D703" s="438"/>
      <c r="E703" s="352"/>
      <c r="F703" s="349" t="s">
        <v>92</v>
      </c>
      <c r="G703" s="380">
        <f>SUM(G701:G702)</f>
        <v>12.76</v>
      </c>
    </row>
    <row r="704" spans="1:8">
      <c r="A704" s="377"/>
      <c r="B704" s="378"/>
      <c r="C704" s="379"/>
      <c r="D704" s="377"/>
      <c r="E704" s="378"/>
      <c r="F704" s="378"/>
      <c r="G704" s="378"/>
      <c r="H704" s="377"/>
    </row>
    <row r="706" spans="1:8" ht="15" customHeight="1">
      <c r="A706" s="145" t="s">
        <v>282</v>
      </c>
    </row>
    <row r="707" spans="1:8" ht="15" customHeight="1">
      <c r="A707" s="145" t="s">
        <v>35</v>
      </c>
      <c r="B707" s="415" t="s">
        <v>325</v>
      </c>
      <c r="C707" s="366"/>
    </row>
    <row r="708" spans="1:8" ht="15" customHeight="1">
      <c r="A708" s="145" t="s">
        <v>219</v>
      </c>
      <c r="B708" s="646" t="s">
        <v>105</v>
      </c>
      <c r="C708" s="646"/>
      <c r="D708" s="369" t="s">
        <v>202</v>
      </c>
      <c r="E708" s="145"/>
    </row>
    <row r="709" spans="1:8" ht="22.5">
      <c r="A709" s="417" t="s">
        <v>32</v>
      </c>
      <c r="B709" s="397" t="s">
        <v>21</v>
      </c>
      <c r="C709" s="343" t="s">
        <v>81</v>
      </c>
      <c r="D709" s="343" t="s">
        <v>77</v>
      </c>
      <c r="E709" s="398" t="s">
        <v>82</v>
      </c>
      <c r="F709" s="382" t="s">
        <v>83</v>
      </c>
      <c r="G709" s="400" t="s">
        <v>84</v>
      </c>
      <c r="H709" s="147"/>
    </row>
    <row r="710" spans="1:8" ht="15" customHeight="1">
      <c r="A710" s="407">
        <v>4750</v>
      </c>
      <c r="B710" s="408" t="s">
        <v>322</v>
      </c>
      <c r="C710" s="398" t="s">
        <v>98</v>
      </c>
      <c r="D710" s="343" t="s">
        <v>202</v>
      </c>
      <c r="E710" s="373">
        <v>1</v>
      </c>
      <c r="F710" s="411">
        <f>14.68/118.57%</f>
        <v>12.380872058699502</v>
      </c>
      <c r="G710" s="346">
        <f>TRUNC(E710*F710,2)</f>
        <v>12.38</v>
      </c>
      <c r="H710" s="147"/>
    </row>
    <row r="711" spans="1:8" ht="22.5">
      <c r="A711" s="515" t="s">
        <v>205</v>
      </c>
      <c r="B711" s="397" t="s">
        <v>206</v>
      </c>
      <c r="C711" s="398" t="s">
        <v>295</v>
      </c>
      <c r="D711" s="343" t="s">
        <v>202</v>
      </c>
      <c r="E711" s="373">
        <v>1</v>
      </c>
      <c r="F711" s="375">
        <v>2.15</v>
      </c>
      <c r="G711" s="345">
        <f t="shared" ref="G711:G717" si="31">TRUNC(E711*F711,2)</f>
        <v>2.15</v>
      </c>
      <c r="H711" s="147"/>
    </row>
    <row r="712" spans="1:8" ht="22.5">
      <c r="A712" s="515" t="s">
        <v>207</v>
      </c>
      <c r="B712" s="397" t="s">
        <v>208</v>
      </c>
      <c r="C712" s="398" t="s">
        <v>295</v>
      </c>
      <c r="D712" s="343" t="s">
        <v>202</v>
      </c>
      <c r="E712" s="373">
        <v>1</v>
      </c>
      <c r="F712" s="375">
        <v>0.6</v>
      </c>
      <c r="G712" s="346">
        <f t="shared" si="31"/>
        <v>0.6</v>
      </c>
      <c r="H712" s="147"/>
    </row>
    <row r="713" spans="1:8" ht="22.5">
      <c r="A713" s="515" t="s">
        <v>209</v>
      </c>
      <c r="B713" s="397" t="s">
        <v>210</v>
      </c>
      <c r="C713" s="398" t="s">
        <v>295</v>
      </c>
      <c r="D713" s="343" t="s">
        <v>202</v>
      </c>
      <c r="E713" s="373">
        <v>1</v>
      </c>
      <c r="F713" s="375">
        <v>0.37</v>
      </c>
      <c r="G713" s="345">
        <f t="shared" si="31"/>
        <v>0.37</v>
      </c>
      <c r="H713" s="147"/>
    </row>
    <row r="714" spans="1:8" ht="22.5">
      <c r="A714" s="515" t="s">
        <v>211</v>
      </c>
      <c r="B714" s="397" t="s">
        <v>212</v>
      </c>
      <c r="C714" s="398" t="s">
        <v>295</v>
      </c>
      <c r="D714" s="343" t="s">
        <v>202</v>
      </c>
      <c r="E714" s="373">
        <v>1</v>
      </c>
      <c r="F714" s="375">
        <v>0.02</v>
      </c>
      <c r="G714" s="345">
        <f t="shared" si="31"/>
        <v>0.02</v>
      </c>
      <c r="H714" s="147"/>
    </row>
    <row r="715" spans="1:8" ht="22.5">
      <c r="A715" s="515" t="s">
        <v>213</v>
      </c>
      <c r="B715" s="397" t="s">
        <v>214</v>
      </c>
      <c r="C715" s="398" t="s">
        <v>87</v>
      </c>
      <c r="D715" s="343" t="s">
        <v>202</v>
      </c>
      <c r="E715" s="373">
        <v>1</v>
      </c>
      <c r="F715" s="375">
        <f>'COMP AUX'!G22</f>
        <v>0.44000000000000006</v>
      </c>
      <c r="G715" s="345">
        <f t="shared" si="31"/>
        <v>0.44</v>
      </c>
      <c r="H715" s="147"/>
    </row>
    <row r="716" spans="1:8" ht="15" customHeight="1">
      <c r="A716" s="515" t="s">
        <v>215</v>
      </c>
      <c r="B716" s="397" t="s">
        <v>216</v>
      </c>
      <c r="C716" s="398" t="s">
        <v>87</v>
      </c>
      <c r="D716" s="343" t="s">
        <v>202</v>
      </c>
      <c r="E716" s="373">
        <v>1</v>
      </c>
      <c r="F716" s="375">
        <f>'COMP AUX'!G38</f>
        <v>0.98</v>
      </c>
      <c r="G716" s="345">
        <f t="shared" si="31"/>
        <v>0.98</v>
      </c>
      <c r="H716" s="147"/>
    </row>
    <row r="717" spans="1:8" ht="22.5">
      <c r="A717" s="407">
        <v>95371</v>
      </c>
      <c r="B717" s="408" t="s">
        <v>323</v>
      </c>
      <c r="C717" s="398" t="s">
        <v>98</v>
      </c>
      <c r="D717" s="343" t="s">
        <v>202</v>
      </c>
      <c r="E717" s="373">
        <v>1</v>
      </c>
      <c r="F717" s="375">
        <f>'COMP AUX'!G98</f>
        <v>0.21</v>
      </c>
      <c r="G717" s="345">
        <f t="shared" si="31"/>
        <v>0.21</v>
      </c>
      <c r="H717" s="147"/>
    </row>
    <row r="718" spans="1:8" ht="15" customHeight="1">
      <c r="C718" s="145"/>
      <c r="D718" s="437"/>
      <c r="E718" s="352"/>
      <c r="F718" s="349" t="s">
        <v>90</v>
      </c>
      <c r="G718" s="346">
        <f>G710+G717</f>
        <v>12.590000000000002</v>
      </c>
      <c r="H718" s="147"/>
    </row>
    <row r="719" spans="1:8" ht="15" customHeight="1">
      <c r="C719" s="145"/>
      <c r="D719" s="439"/>
      <c r="E719" s="352"/>
      <c r="F719" s="349" t="s">
        <v>91</v>
      </c>
      <c r="G719" s="346">
        <f>SUM(G711:G716)</f>
        <v>4.5600000000000005</v>
      </c>
      <c r="H719" s="147"/>
    </row>
    <row r="720" spans="1:8" ht="15" customHeight="1">
      <c r="A720" s="384"/>
      <c r="B720" s="385"/>
      <c r="C720" s="145"/>
      <c r="D720" s="438"/>
      <c r="E720" s="352"/>
      <c r="F720" s="349" t="s">
        <v>92</v>
      </c>
      <c r="G720" s="380">
        <f>SUM(G718:G719)</f>
        <v>17.150000000000002</v>
      </c>
      <c r="H720" s="392"/>
    </row>
    <row r="721" spans="1:8">
      <c r="A721" s="377"/>
      <c r="B721" s="378"/>
      <c r="C721" s="379"/>
      <c r="D721" s="377"/>
      <c r="E721" s="378"/>
      <c r="F721" s="378"/>
      <c r="G721" s="378"/>
      <c r="H721" s="377"/>
    </row>
    <row r="723" spans="1:8">
      <c r="A723" s="145" t="s">
        <v>282</v>
      </c>
    </row>
    <row r="724" spans="1:8">
      <c r="A724" s="145" t="s">
        <v>35</v>
      </c>
      <c r="B724" s="376" t="s">
        <v>460</v>
      </c>
    </row>
    <row r="725" spans="1:8" ht="11.25" customHeight="1">
      <c r="A725" s="145" t="s">
        <v>219</v>
      </c>
      <c r="B725" s="630" t="s">
        <v>455</v>
      </c>
      <c r="C725" s="630"/>
      <c r="D725" s="630"/>
      <c r="E725" s="395" t="s">
        <v>202</v>
      </c>
      <c r="F725" s="395"/>
    </row>
    <row r="726" spans="1:8" ht="22.5">
      <c r="A726" s="477" t="s">
        <v>32</v>
      </c>
      <c r="B726" s="464" t="s">
        <v>21</v>
      </c>
      <c r="C726" s="343" t="s">
        <v>81</v>
      </c>
      <c r="D726" s="343" t="s">
        <v>77</v>
      </c>
      <c r="E726" s="465" t="s">
        <v>82</v>
      </c>
      <c r="F726" s="382" t="s">
        <v>83</v>
      </c>
      <c r="G726" s="400" t="s">
        <v>84</v>
      </c>
      <c r="H726" s="147"/>
    </row>
    <row r="727" spans="1:8" ht="14.1" customHeight="1">
      <c r="A727" s="515">
        <v>378</v>
      </c>
      <c r="B727" s="464" t="s">
        <v>696</v>
      </c>
      <c r="C727" s="465" t="s">
        <v>98</v>
      </c>
      <c r="D727" s="343" t="s">
        <v>202</v>
      </c>
      <c r="E727" s="373">
        <v>1</v>
      </c>
      <c r="F727" s="411">
        <f>14.68/118.57%</f>
        <v>12.380872058699502</v>
      </c>
      <c r="G727" s="346">
        <f>TRUNC(E727*F727,2)</f>
        <v>12.38</v>
      </c>
      <c r="H727" s="147"/>
    </row>
    <row r="728" spans="1:8" ht="22.5">
      <c r="A728" s="515" t="s">
        <v>205</v>
      </c>
      <c r="B728" s="464" t="s">
        <v>206</v>
      </c>
      <c r="C728" s="465" t="s">
        <v>295</v>
      </c>
      <c r="D728" s="343" t="s">
        <v>202</v>
      </c>
      <c r="E728" s="373">
        <v>1</v>
      </c>
      <c r="F728" s="375">
        <v>2.15</v>
      </c>
      <c r="G728" s="345">
        <f t="shared" ref="G728:G734" si="32">TRUNC(E728*F728,2)</f>
        <v>2.15</v>
      </c>
      <c r="H728" s="147"/>
    </row>
    <row r="729" spans="1:8" ht="22.5">
      <c r="A729" s="515" t="s">
        <v>207</v>
      </c>
      <c r="B729" s="464" t="s">
        <v>208</v>
      </c>
      <c r="C729" s="465" t="s">
        <v>295</v>
      </c>
      <c r="D729" s="343" t="s">
        <v>202</v>
      </c>
      <c r="E729" s="373">
        <v>1</v>
      </c>
      <c r="F729" s="375">
        <v>0.6</v>
      </c>
      <c r="G729" s="346">
        <f t="shared" si="32"/>
        <v>0.6</v>
      </c>
      <c r="H729" s="147"/>
    </row>
    <row r="730" spans="1:8" ht="22.5">
      <c r="A730" s="515" t="s">
        <v>209</v>
      </c>
      <c r="B730" s="464" t="s">
        <v>210</v>
      </c>
      <c r="C730" s="465" t="s">
        <v>295</v>
      </c>
      <c r="D730" s="343" t="s">
        <v>202</v>
      </c>
      <c r="E730" s="373">
        <v>1</v>
      </c>
      <c r="F730" s="375">
        <v>0.37</v>
      </c>
      <c r="G730" s="345">
        <f t="shared" si="32"/>
        <v>0.37</v>
      </c>
      <c r="H730" s="147"/>
    </row>
    <row r="731" spans="1:8" ht="22.5">
      <c r="A731" s="515" t="s">
        <v>211</v>
      </c>
      <c r="B731" s="464" t="s">
        <v>212</v>
      </c>
      <c r="C731" s="465" t="s">
        <v>295</v>
      </c>
      <c r="D731" s="343" t="s">
        <v>202</v>
      </c>
      <c r="E731" s="373">
        <v>1</v>
      </c>
      <c r="F731" s="375">
        <v>0.02</v>
      </c>
      <c r="G731" s="345">
        <f t="shared" si="32"/>
        <v>0.02</v>
      </c>
      <c r="H731" s="147"/>
    </row>
    <row r="732" spans="1:8" ht="22.5">
      <c r="A732" s="515" t="s">
        <v>213</v>
      </c>
      <c r="B732" s="464" t="s">
        <v>214</v>
      </c>
      <c r="C732" s="465" t="s">
        <v>87</v>
      </c>
      <c r="D732" s="343" t="s">
        <v>202</v>
      </c>
      <c r="E732" s="373">
        <v>1</v>
      </c>
      <c r="F732" s="375">
        <f>'COMP AUX'!G22</f>
        <v>0.44000000000000006</v>
      </c>
      <c r="G732" s="345">
        <f t="shared" si="32"/>
        <v>0.44</v>
      </c>
      <c r="H732" s="147"/>
    </row>
    <row r="733" spans="1:8" ht="14.1" customHeight="1">
      <c r="A733" s="515" t="s">
        <v>215</v>
      </c>
      <c r="B733" s="464" t="s">
        <v>216</v>
      </c>
      <c r="C733" s="465" t="s">
        <v>87</v>
      </c>
      <c r="D733" s="343" t="s">
        <v>202</v>
      </c>
      <c r="E733" s="373">
        <v>1</v>
      </c>
      <c r="F733" s="375">
        <f>'COMP AUX'!G38</f>
        <v>0.98</v>
      </c>
      <c r="G733" s="345">
        <f t="shared" si="32"/>
        <v>0.98</v>
      </c>
      <c r="H733" s="147"/>
    </row>
    <row r="734" spans="1:8" ht="22.5">
      <c r="A734" s="407">
        <v>95314</v>
      </c>
      <c r="B734" s="464" t="s">
        <v>461</v>
      </c>
      <c r="C734" s="465" t="s">
        <v>98</v>
      </c>
      <c r="D734" s="343" t="s">
        <v>202</v>
      </c>
      <c r="E734" s="373">
        <v>1</v>
      </c>
      <c r="F734" s="502">
        <f>'COMP AUX'!G497</f>
        <v>0.11</v>
      </c>
      <c r="G734" s="345">
        <f t="shared" si="32"/>
        <v>0.11</v>
      </c>
      <c r="H734" s="147"/>
    </row>
    <row r="735" spans="1:8" ht="14.1" customHeight="1">
      <c r="C735" s="145"/>
      <c r="D735" s="437"/>
      <c r="E735" s="352"/>
      <c r="F735" s="349" t="s">
        <v>90</v>
      </c>
      <c r="G735" s="346">
        <f>G727+G734</f>
        <v>12.49</v>
      </c>
      <c r="H735" s="147"/>
    </row>
    <row r="736" spans="1:8" ht="14.1" customHeight="1">
      <c r="C736" s="145"/>
      <c r="D736" s="439"/>
      <c r="E736" s="352"/>
      <c r="F736" s="349" t="s">
        <v>91</v>
      </c>
      <c r="G736" s="346">
        <f>SUM(G728:G733)</f>
        <v>4.5600000000000005</v>
      </c>
      <c r="H736" s="147"/>
    </row>
    <row r="737" spans="1:8" ht="14.1" customHeight="1">
      <c r="A737" s="384"/>
      <c r="B737" s="385"/>
      <c r="C737" s="145"/>
      <c r="D737" s="439"/>
      <c r="E737" s="352"/>
      <c r="F737" s="349" t="s">
        <v>92</v>
      </c>
      <c r="G737" s="350">
        <f>SUM(G735:G736)</f>
        <v>17.05</v>
      </c>
      <c r="H737" s="392"/>
    </row>
    <row r="738" spans="1:8">
      <c r="A738" s="390"/>
      <c r="B738" s="391"/>
      <c r="C738" s="379"/>
      <c r="D738" s="377"/>
      <c r="E738" s="378"/>
      <c r="F738" s="378"/>
      <c r="G738" s="378"/>
      <c r="H738" s="377"/>
    </row>
    <row r="740" spans="1:8">
      <c r="A740" s="145" t="s">
        <v>282</v>
      </c>
    </row>
    <row r="741" spans="1:8">
      <c r="A741" s="145" t="s">
        <v>35</v>
      </c>
      <c r="B741" s="376" t="s">
        <v>456</v>
      </c>
    </row>
    <row r="742" spans="1:8">
      <c r="A742" s="145" t="s">
        <v>219</v>
      </c>
      <c r="B742" s="630" t="s">
        <v>453</v>
      </c>
      <c r="C742" s="630"/>
      <c r="D742" s="630"/>
      <c r="E742" s="395" t="s">
        <v>202</v>
      </c>
      <c r="F742" s="395"/>
    </row>
    <row r="743" spans="1:8" ht="22.5">
      <c r="A743" s="417" t="s">
        <v>32</v>
      </c>
      <c r="B743" s="464" t="s">
        <v>21</v>
      </c>
      <c r="C743" s="343" t="s">
        <v>81</v>
      </c>
      <c r="D743" s="343" t="s">
        <v>77</v>
      </c>
      <c r="E743" s="465" t="s">
        <v>82</v>
      </c>
      <c r="F743" s="382" t="s">
        <v>83</v>
      </c>
      <c r="G743" s="400" t="s">
        <v>84</v>
      </c>
      <c r="H743" s="147"/>
    </row>
    <row r="744" spans="1:8">
      <c r="A744" s="515">
        <v>6114</v>
      </c>
      <c r="B744" s="464" t="s">
        <v>697</v>
      </c>
      <c r="C744" s="465" t="s">
        <v>98</v>
      </c>
      <c r="D744" s="343" t="s">
        <v>202</v>
      </c>
      <c r="E744" s="373">
        <v>1</v>
      </c>
      <c r="F744" s="411">
        <f>10.22/118.57%</f>
        <v>8.619380956397066</v>
      </c>
      <c r="G744" s="346">
        <f>TRUNC(E744*F744,2)</f>
        <v>8.61</v>
      </c>
      <c r="H744" s="147"/>
    </row>
    <row r="745" spans="1:8" ht="22.5">
      <c r="A745" s="515" t="s">
        <v>205</v>
      </c>
      <c r="B745" s="464" t="s">
        <v>206</v>
      </c>
      <c r="C745" s="465" t="s">
        <v>295</v>
      </c>
      <c r="D745" s="343" t="s">
        <v>202</v>
      </c>
      <c r="E745" s="373">
        <v>1</v>
      </c>
      <c r="F745" s="375">
        <v>2.15</v>
      </c>
      <c r="G745" s="345">
        <f t="shared" ref="G745:G751" si="33">TRUNC(E745*F745,2)</f>
        <v>2.15</v>
      </c>
      <c r="H745" s="147"/>
    </row>
    <row r="746" spans="1:8" ht="22.5">
      <c r="A746" s="515" t="s">
        <v>207</v>
      </c>
      <c r="B746" s="464" t="s">
        <v>208</v>
      </c>
      <c r="C746" s="465" t="s">
        <v>295</v>
      </c>
      <c r="D746" s="343" t="s">
        <v>202</v>
      </c>
      <c r="E746" s="373">
        <v>1</v>
      </c>
      <c r="F746" s="375">
        <v>0.6</v>
      </c>
      <c r="G746" s="346">
        <f t="shared" si="33"/>
        <v>0.6</v>
      </c>
      <c r="H746" s="147"/>
    </row>
    <row r="747" spans="1:8" ht="22.5">
      <c r="A747" s="515" t="s">
        <v>209</v>
      </c>
      <c r="B747" s="464" t="s">
        <v>210</v>
      </c>
      <c r="C747" s="465" t="s">
        <v>295</v>
      </c>
      <c r="D747" s="343" t="s">
        <v>202</v>
      </c>
      <c r="E747" s="373">
        <v>1</v>
      </c>
      <c r="F747" s="375">
        <v>0.37</v>
      </c>
      <c r="G747" s="345">
        <f t="shared" si="33"/>
        <v>0.37</v>
      </c>
      <c r="H747" s="147"/>
    </row>
    <row r="748" spans="1:8" ht="22.5">
      <c r="A748" s="515" t="s">
        <v>211</v>
      </c>
      <c r="B748" s="464" t="s">
        <v>212</v>
      </c>
      <c r="C748" s="465" t="s">
        <v>295</v>
      </c>
      <c r="D748" s="343" t="s">
        <v>202</v>
      </c>
      <c r="E748" s="373">
        <v>1</v>
      </c>
      <c r="F748" s="375">
        <v>0.02</v>
      </c>
      <c r="G748" s="345">
        <f t="shared" si="33"/>
        <v>0.02</v>
      </c>
      <c r="H748" s="147"/>
    </row>
    <row r="749" spans="1:8" ht="22.5">
      <c r="A749" s="515" t="s">
        <v>213</v>
      </c>
      <c r="B749" s="464" t="s">
        <v>214</v>
      </c>
      <c r="C749" s="465" t="s">
        <v>87</v>
      </c>
      <c r="D749" s="343" t="s">
        <v>202</v>
      </c>
      <c r="E749" s="373">
        <v>1</v>
      </c>
      <c r="F749" s="375">
        <f>'COMP AUX'!G22</f>
        <v>0.44000000000000006</v>
      </c>
      <c r="G749" s="345">
        <f t="shared" si="33"/>
        <v>0.44</v>
      </c>
      <c r="H749" s="147"/>
    </row>
    <row r="750" spans="1:8" ht="14.1" customHeight="1">
      <c r="A750" s="515" t="s">
        <v>215</v>
      </c>
      <c r="B750" s="464" t="s">
        <v>216</v>
      </c>
      <c r="C750" s="465" t="s">
        <v>87</v>
      </c>
      <c r="D750" s="343" t="s">
        <v>202</v>
      </c>
      <c r="E750" s="373">
        <v>1</v>
      </c>
      <c r="F750" s="375">
        <f>'COMP AUX'!G38</f>
        <v>0.98</v>
      </c>
      <c r="G750" s="345">
        <f t="shared" si="33"/>
        <v>0.98</v>
      </c>
      <c r="H750" s="147"/>
    </row>
    <row r="751" spans="1:8" ht="27" customHeight="1">
      <c r="A751" s="515">
        <v>95308</v>
      </c>
      <c r="B751" s="464" t="s">
        <v>457</v>
      </c>
      <c r="C751" s="465" t="s">
        <v>98</v>
      </c>
      <c r="D751" s="343" t="s">
        <v>202</v>
      </c>
      <c r="E751" s="373">
        <v>1</v>
      </c>
      <c r="F751" s="375">
        <f>'COMP AUX'!G487</f>
        <v>0.08</v>
      </c>
      <c r="G751" s="345">
        <f t="shared" si="33"/>
        <v>0.08</v>
      </c>
      <c r="H751" s="147"/>
    </row>
    <row r="752" spans="1:8" ht="14.1" customHeight="1">
      <c r="C752" s="145"/>
      <c r="D752" s="437"/>
      <c r="E752" s="352"/>
      <c r="F752" s="349" t="s">
        <v>90</v>
      </c>
      <c r="G752" s="346">
        <f>G744+G751</f>
        <v>8.69</v>
      </c>
      <c r="H752" s="147"/>
    </row>
    <row r="753" spans="1:8" ht="14.1" customHeight="1">
      <c r="C753" s="145"/>
      <c r="D753" s="439"/>
      <c r="E753" s="352"/>
      <c r="F753" s="349" t="s">
        <v>91</v>
      </c>
      <c r="G753" s="346">
        <f>SUM(G745:G750)</f>
        <v>4.5600000000000005</v>
      </c>
      <c r="H753" s="147"/>
    </row>
    <row r="754" spans="1:8" ht="14.1" customHeight="1">
      <c r="A754" s="384"/>
      <c r="B754" s="385"/>
      <c r="C754" s="145"/>
      <c r="D754" s="439"/>
      <c r="E754" s="352"/>
      <c r="F754" s="349" t="s">
        <v>92</v>
      </c>
      <c r="G754" s="350">
        <f>SUM(G752:G753)</f>
        <v>13.25</v>
      </c>
      <c r="H754" s="392"/>
    </row>
    <row r="755" spans="1:8">
      <c r="A755" s="390"/>
      <c r="B755" s="391"/>
      <c r="C755" s="379"/>
      <c r="D755" s="377"/>
      <c r="E755" s="378"/>
      <c r="F755" s="378"/>
      <c r="G755" s="378"/>
      <c r="H755" s="377"/>
    </row>
    <row r="757" spans="1:8">
      <c r="A757" s="145" t="s">
        <v>282</v>
      </c>
    </row>
    <row r="758" spans="1:8">
      <c r="A758" s="145" t="s">
        <v>35</v>
      </c>
      <c r="B758" s="376" t="s">
        <v>473</v>
      </c>
    </row>
    <row r="759" spans="1:8">
      <c r="A759" s="145" t="s">
        <v>219</v>
      </c>
      <c r="B759" s="630" t="s">
        <v>472</v>
      </c>
      <c r="C759" s="630"/>
      <c r="D759" s="630"/>
      <c r="E759" s="395" t="s">
        <v>202</v>
      </c>
      <c r="F759" s="395"/>
    </row>
    <row r="760" spans="1:8" ht="22.5">
      <c r="A760" s="417" t="s">
        <v>32</v>
      </c>
      <c r="B760" s="486" t="s">
        <v>21</v>
      </c>
      <c r="C760" s="343" t="s">
        <v>81</v>
      </c>
      <c r="D760" s="343" t="s">
        <v>77</v>
      </c>
      <c r="E760" s="487" t="s">
        <v>82</v>
      </c>
      <c r="F760" s="382" t="s">
        <v>83</v>
      </c>
      <c r="G760" s="400" t="s">
        <v>84</v>
      </c>
      <c r="H760" s="147"/>
    </row>
    <row r="761" spans="1:8">
      <c r="A761" s="515">
        <v>6117</v>
      </c>
      <c r="B761" s="486" t="s">
        <v>519</v>
      </c>
      <c r="C761" s="487" t="s">
        <v>98</v>
      </c>
      <c r="D761" s="343" t="s">
        <v>202</v>
      </c>
      <c r="E761" s="373">
        <v>1</v>
      </c>
      <c r="F761" s="411">
        <f>13.74/118.57%</f>
        <v>11.588091422788226</v>
      </c>
      <c r="G761" s="346">
        <f>TRUNC(E761*F761,2)</f>
        <v>11.58</v>
      </c>
      <c r="H761" s="147"/>
    </row>
    <row r="762" spans="1:8" ht="22.5">
      <c r="A762" s="515" t="s">
        <v>205</v>
      </c>
      <c r="B762" s="486" t="s">
        <v>206</v>
      </c>
      <c r="C762" s="487" t="s">
        <v>295</v>
      </c>
      <c r="D762" s="343" t="s">
        <v>202</v>
      </c>
      <c r="E762" s="373">
        <v>1</v>
      </c>
      <c r="F762" s="375">
        <v>2.15</v>
      </c>
      <c r="G762" s="345">
        <f t="shared" ref="G762:G768" si="34">TRUNC(E762*F762,2)</f>
        <v>2.15</v>
      </c>
      <c r="H762" s="147"/>
    </row>
    <row r="763" spans="1:8" ht="22.5">
      <c r="A763" s="515" t="s">
        <v>207</v>
      </c>
      <c r="B763" s="486" t="s">
        <v>208</v>
      </c>
      <c r="C763" s="487" t="s">
        <v>295</v>
      </c>
      <c r="D763" s="343" t="s">
        <v>202</v>
      </c>
      <c r="E763" s="373">
        <v>1</v>
      </c>
      <c r="F763" s="375">
        <v>0.6</v>
      </c>
      <c r="G763" s="346">
        <f t="shared" si="34"/>
        <v>0.6</v>
      </c>
      <c r="H763" s="147"/>
    </row>
    <row r="764" spans="1:8" ht="22.5">
      <c r="A764" s="515" t="s">
        <v>209</v>
      </c>
      <c r="B764" s="486" t="s">
        <v>210</v>
      </c>
      <c r="C764" s="487" t="s">
        <v>295</v>
      </c>
      <c r="D764" s="343" t="s">
        <v>202</v>
      </c>
      <c r="E764" s="373">
        <v>1</v>
      </c>
      <c r="F764" s="375">
        <v>0.37</v>
      </c>
      <c r="G764" s="345">
        <f t="shared" si="34"/>
        <v>0.37</v>
      </c>
      <c r="H764" s="147"/>
    </row>
    <row r="765" spans="1:8" ht="22.5">
      <c r="A765" s="515" t="s">
        <v>211</v>
      </c>
      <c r="B765" s="486" t="s">
        <v>212</v>
      </c>
      <c r="C765" s="487" t="s">
        <v>295</v>
      </c>
      <c r="D765" s="343" t="s">
        <v>202</v>
      </c>
      <c r="E765" s="373">
        <v>1</v>
      </c>
      <c r="F765" s="375">
        <v>0.02</v>
      </c>
      <c r="G765" s="345">
        <f t="shared" si="34"/>
        <v>0.02</v>
      </c>
      <c r="H765" s="147"/>
    </row>
    <row r="766" spans="1:8" ht="22.5">
      <c r="A766" s="515" t="s">
        <v>213</v>
      </c>
      <c r="B766" s="486" t="s">
        <v>214</v>
      </c>
      <c r="C766" s="487" t="s">
        <v>87</v>
      </c>
      <c r="D766" s="343" t="s">
        <v>202</v>
      </c>
      <c r="E766" s="373">
        <v>1</v>
      </c>
      <c r="F766" s="375">
        <f>'COMP AUX'!G22</f>
        <v>0.44000000000000006</v>
      </c>
      <c r="G766" s="345">
        <f t="shared" si="34"/>
        <v>0.44</v>
      </c>
      <c r="H766" s="147"/>
    </row>
    <row r="767" spans="1:8">
      <c r="A767" s="515" t="s">
        <v>215</v>
      </c>
      <c r="B767" s="486" t="s">
        <v>216</v>
      </c>
      <c r="C767" s="487" t="s">
        <v>87</v>
      </c>
      <c r="D767" s="343" t="s">
        <v>202</v>
      </c>
      <c r="E767" s="373">
        <v>1</v>
      </c>
      <c r="F767" s="375">
        <f>'COMP AUX'!G38</f>
        <v>0.98</v>
      </c>
      <c r="G767" s="345">
        <f t="shared" si="34"/>
        <v>0.98</v>
      </c>
      <c r="H767" s="147"/>
    </row>
    <row r="768" spans="1:8" ht="33.75">
      <c r="A768" s="515">
        <v>95309</v>
      </c>
      <c r="B768" s="486" t="s">
        <v>572</v>
      </c>
      <c r="C768" s="487" t="s">
        <v>98</v>
      </c>
      <c r="D768" s="343" t="s">
        <v>202</v>
      </c>
      <c r="E768" s="373">
        <v>1</v>
      </c>
      <c r="F768" s="375">
        <f>'COMP AUX'!G703</f>
        <v>0.13</v>
      </c>
      <c r="G768" s="345">
        <f t="shared" si="34"/>
        <v>0.13</v>
      </c>
      <c r="H768" s="147"/>
    </row>
    <row r="769" spans="1:11">
      <c r="C769" s="145"/>
      <c r="D769" s="437"/>
      <c r="E769" s="352"/>
      <c r="F769" s="349" t="s">
        <v>90</v>
      </c>
      <c r="G769" s="346">
        <f>G761+G768</f>
        <v>11.71</v>
      </c>
      <c r="H769" s="147"/>
    </row>
    <row r="770" spans="1:11">
      <c r="C770" s="145"/>
      <c r="D770" s="439"/>
      <c r="E770" s="352"/>
      <c r="F770" s="349" t="s">
        <v>91</v>
      </c>
      <c r="G770" s="346">
        <f>SUM(G762:G767)</f>
        <v>4.5600000000000005</v>
      </c>
      <c r="H770" s="147"/>
    </row>
    <row r="771" spans="1:11">
      <c r="A771" s="384"/>
      <c r="B771" s="385"/>
      <c r="C771" s="145"/>
      <c r="D771" s="439"/>
      <c r="E771" s="352"/>
      <c r="F771" s="349" t="s">
        <v>92</v>
      </c>
      <c r="G771" s="350">
        <f>SUM(G769:G770)</f>
        <v>16.270000000000003</v>
      </c>
      <c r="H771" s="392"/>
    </row>
    <row r="772" spans="1:11">
      <c r="A772" s="390"/>
      <c r="B772" s="391"/>
      <c r="C772" s="379"/>
      <c r="D772" s="377"/>
      <c r="E772" s="378"/>
      <c r="F772" s="378"/>
      <c r="G772" s="378"/>
      <c r="H772" s="377"/>
    </row>
    <row r="774" spans="1:11">
      <c r="A774" s="145" t="s">
        <v>282</v>
      </c>
    </row>
    <row r="775" spans="1:11">
      <c r="A775" s="145" t="s">
        <v>35</v>
      </c>
      <c r="B775" s="376" t="s">
        <v>565</v>
      </c>
    </row>
    <row r="776" spans="1:11">
      <c r="A776" s="145" t="s">
        <v>219</v>
      </c>
      <c r="B776" s="395" t="s">
        <v>564</v>
      </c>
      <c r="C776" s="395" t="s">
        <v>202</v>
      </c>
      <c r="D776" s="395"/>
      <c r="F776" s="395"/>
    </row>
    <row r="777" spans="1:11" ht="22.5">
      <c r="A777" s="417" t="s">
        <v>32</v>
      </c>
      <c r="B777" s="508" t="s">
        <v>21</v>
      </c>
      <c r="C777" s="343" t="s">
        <v>81</v>
      </c>
      <c r="D777" s="343" t="s">
        <v>77</v>
      </c>
      <c r="E777" s="506" t="s">
        <v>82</v>
      </c>
      <c r="F777" s="382" t="s">
        <v>83</v>
      </c>
      <c r="G777" s="400" t="s">
        <v>84</v>
      </c>
      <c r="H777" s="147"/>
    </row>
    <row r="778" spans="1:11">
      <c r="A778" s="407">
        <v>12869</v>
      </c>
      <c r="B778" s="508" t="s">
        <v>567</v>
      </c>
      <c r="C778" s="506" t="s">
        <v>98</v>
      </c>
      <c r="D778" s="343" t="s">
        <v>202</v>
      </c>
      <c r="E778" s="373">
        <v>1</v>
      </c>
      <c r="F778" s="532">
        <f>16.02/118.57%</f>
        <v>13.511006156700683</v>
      </c>
      <c r="G778" s="346">
        <f>TRUNC(E778*F778,2)</f>
        <v>13.51</v>
      </c>
      <c r="H778" s="147"/>
    </row>
    <row r="779" spans="1:11" ht="22.5">
      <c r="A779" s="515" t="s">
        <v>205</v>
      </c>
      <c r="B779" s="508" t="s">
        <v>206</v>
      </c>
      <c r="C779" s="506" t="s">
        <v>295</v>
      </c>
      <c r="D779" s="343" t="s">
        <v>202</v>
      </c>
      <c r="E779" s="373">
        <v>1</v>
      </c>
      <c r="F779" s="375">
        <v>2.15</v>
      </c>
      <c r="G779" s="345">
        <f t="shared" ref="G779:G785" si="35">TRUNC(E779*F779,2)</f>
        <v>2.15</v>
      </c>
      <c r="H779" s="147"/>
    </row>
    <row r="780" spans="1:11" ht="22.5">
      <c r="A780" s="515" t="s">
        <v>207</v>
      </c>
      <c r="B780" s="508" t="s">
        <v>208</v>
      </c>
      <c r="C780" s="506" t="s">
        <v>295</v>
      </c>
      <c r="D780" s="343" t="s">
        <v>202</v>
      </c>
      <c r="E780" s="373">
        <v>1</v>
      </c>
      <c r="F780" s="375">
        <v>0.6</v>
      </c>
      <c r="G780" s="346">
        <f t="shared" si="35"/>
        <v>0.6</v>
      </c>
      <c r="H780" s="147"/>
    </row>
    <row r="781" spans="1:11" ht="22.5">
      <c r="A781" s="515" t="s">
        <v>209</v>
      </c>
      <c r="B781" s="508" t="s">
        <v>210</v>
      </c>
      <c r="C781" s="506" t="s">
        <v>295</v>
      </c>
      <c r="D781" s="343" t="s">
        <v>202</v>
      </c>
      <c r="E781" s="373">
        <v>1</v>
      </c>
      <c r="F781" s="375">
        <v>0.37</v>
      </c>
      <c r="G781" s="345">
        <f t="shared" si="35"/>
        <v>0.37</v>
      </c>
      <c r="H781" s="147"/>
      <c r="K781" s="145">
        <f>92-65</f>
        <v>27</v>
      </c>
    </row>
    <row r="782" spans="1:11" ht="22.5">
      <c r="A782" s="515" t="s">
        <v>211</v>
      </c>
      <c r="B782" s="508" t="s">
        <v>212</v>
      </c>
      <c r="C782" s="506" t="s">
        <v>295</v>
      </c>
      <c r="D782" s="343" t="s">
        <v>202</v>
      </c>
      <c r="E782" s="373">
        <v>1</v>
      </c>
      <c r="F782" s="375">
        <v>0.02</v>
      </c>
      <c r="G782" s="345">
        <f t="shared" si="35"/>
        <v>0.02</v>
      </c>
      <c r="H782" s="147"/>
    </row>
    <row r="783" spans="1:11" ht="22.5">
      <c r="A783" s="515" t="s">
        <v>213</v>
      </c>
      <c r="B783" s="508" t="s">
        <v>214</v>
      </c>
      <c r="C783" s="506" t="s">
        <v>87</v>
      </c>
      <c r="D783" s="343" t="s">
        <v>202</v>
      </c>
      <c r="E783" s="373">
        <v>1</v>
      </c>
      <c r="F783" s="375">
        <f>'COMP AUX'!G22</f>
        <v>0.44000000000000006</v>
      </c>
      <c r="G783" s="345">
        <f t="shared" si="35"/>
        <v>0.44</v>
      </c>
      <c r="H783" s="147"/>
    </row>
    <row r="784" spans="1:11">
      <c r="A784" s="515" t="s">
        <v>215</v>
      </c>
      <c r="B784" s="508" t="s">
        <v>216</v>
      </c>
      <c r="C784" s="506" t="s">
        <v>87</v>
      </c>
      <c r="D784" s="343" t="s">
        <v>202</v>
      </c>
      <c r="E784" s="373">
        <v>1</v>
      </c>
      <c r="F784" s="375">
        <f>'COMP AUX'!G38</f>
        <v>0.98</v>
      </c>
      <c r="G784" s="345">
        <f t="shared" si="35"/>
        <v>0.98</v>
      </c>
      <c r="H784" s="147"/>
    </row>
    <row r="785" spans="1:8" ht="22.5">
      <c r="A785" s="407">
        <v>95385</v>
      </c>
      <c r="B785" s="508" t="s">
        <v>566</v>
      </c>
      <c r="C785" s="506" t="s">
        <v>98</v>
      </c>
      <c r="D785" s="343" t="s">
        <v>202</v>
      </c>
      <c r="E785" s="373">
        <v>1</v>
      </c>
      <c r="F785" s="502">
        <f>'COMP AUX'!G693</f>
        <v>0.12</v>
      </c>
      <c r="G785" s="345">
        <f t="shared" si="35"/>
        <v>0.12</v>
      </c>
      <c r="H785" s="147"/>
    </row>
    <row r="786" spans="1:8">
      <c r="C786" s="145"/>
      <c r="D786" s="437"/>
      <c r="E786" s="352"/>
      <c r="F786" s="349" t="s">
        <v>90</v>
      </c>
      <c r="G786" s="346">
        <f>G778+G785</f>
        <v>13.629999999999999</v>
      </c>
      <c r="H786" s="147"/>
    </row>
    <row r="787" spans="1:8">
      <c r="C787" s="145"/>
      <c r="D787" s="439"/>
      <c r="E787" s="352"/>
      <c r="F787" s="349" t="s">
        <v>91</v>
      </c>
      <c r="G787" s="346">
        <f>SUM(G779:G784)</f>
        <v>4.5600000000000005</v>
      </c>
      <c r="H787" s="147"/>
    </row>
    <row r="788" spans="1:8">
      <c r="A788" s="384"/>
      <c r="B788" s="385"/>
      <c r="C788" s="145"/>
      <c r="D788" s="439"/>
      <c r="E788" s="352"/>
      <c r="F788" s="349" t="s">
        <v>92</v>
      </c>
      <c r="G788" s="350">
        <f>SUM(G786:G787)</f>
        <v>18.189999999999998</v>
      </c>
      <c r="H788" s="392"/>
    </row>
    <row r="789" spans="1:8">
      <c r="A789" s="390"/>
      <c r="B789" s="391"/>
      <c r="C789" s="379"/>
      <c r="D789" s="377"/>
      <c r="E789" s="378"/>
      <c r="F789" s="378"/>
      <c r="G789" s="378"/>
      <c r="H789" s="377"/>
    </row>
    <row r="791" spans="1:8">
      <c r="A791" s="145" t="s">
        <v>282</v>
      </c>
    </row>
    <row r="792" spans="1:8">
      <c r="A792" s="145" t="s">
        <v>35</v>
      </c>
      <c r="B792" s="376" t="s">
        <v>576</v>
      </c>
    </row>
    <row r="793" spans="1:8">
      <c r="A793" s="145" t="s">
        <v>219</v>
      </c>
      <c r="B793" s="630" t="s">
        <v>574</v>
      </c>
      <c r="C793" s="630"/>
      <c r="D793" s="630"/>
      <c r="E793" s="395" t="s">
        <v>202</v>
      </c>
      <c r="F793" s="395"/>
    </row>
    <row r="794" spans="1:8" ht="22.5">
      <c r="A794" s="417" t="s">
        <v>32</v>
      </c>
      <c r="B794" s="508" t="s">
        <v>21</v>
      </c>
      <c r="C794" s="343" t="s">
        <v>81</v>
      </c>
      <c r="D794" s="343" t="s">
        <v>77</v>
      </c>
      <c r="E794" s="506" t="s">
        <v>82</v>
      </c>
      <c r="F794" s="382" t="s">
        <v>83</v>
      </c>
      <c r="G794" s="400" t="s">
        <v>84</v>
      </c>
      <c r="H794" s="147"/>
    </row>
    <row r="795" spans="1:8">
      <c r="A795" s="407">
        <v>4783</v>
      </c>
      <c r="B795" s="508" t="s">
        <v>577</v>
      </c>
      <c r="C795" s="506" t="s">
        <v>98</v>
      </c>
      <c r="D795" s="343" t="s">
        <v>202</v>
      </c>
      <c r="E795" s="373">
        <v>1</v>
      </c>
      <c r="F795" s="532">
        <f>14.68/118.57%</f>
        <v>12.380872058699502</v>
      </c>
      <c r="G795" s="346">
        <f>TRUNC(E795*F795,2)</f>
        <v>12.38</v>
      </c>
      <c r="H795" s="147"/>
    </row>
    <row r="796" spans="1:8" ht="22.5">
      <c r="A796" s="515" t="s">
        <v>205</v>
      </c>
      <c r="B796" s="508" t="s">
        <v>206</v>
      </c>
      <c r="C796" s="506" t="s">
        <v>295</v>
      </c>
      <c r="D796" s="343" t="s">
        <v>202</v>
      </c>
      <c r="E796" s="373">
        <v>1</v>
      </c>
      <c r="F796" s="375">
        <v>2.15</v>
      </c>
      <c r="G796" s="345">
        <f t="shared" ref="G796:G802" si="36">TRUNC(E796*F796,2)</f>
        <v>2.15</v>
      </c>
      <c r="H796" s="147"/>
    </row>
    <row r="797" spans="1:8" ht="22.5">
      <c r="A797" s="515" t="s">
        <v>207</v>
      </c>
      <c r="B797" s="508" t="s">
        <v>208</v>
      </c>
      <c r="C797" s="506" t="s">
        <v>295</v>
      </c>
      <c r="D797" s="343" t="s">
        <v>202</v>
      </c>
      <c r="E797" s="373">
        <v>1</v>
      </c>
      <c r="F797" s="375">
        <v>0.6</v>
      </c>
      <c r="G797" s="346">
        <f t="shared" si="36"/>
        <v>0.6</v>
      </c>
      <c r="H797" s="147"/>
    </row>
    <row r="798" spans="1:8" ht="22.5">
      <c r="A798" s="515" t="s">
        <v>209</v>
      </c>
      <c r="B798" s="508" t="s">
        <v>210</v>
      </c>
      <c r="C798" s="506" t="s">
        <v>295</v>
      </c>
      <c r="D798" s="343" t="s">
        <v>202</v>
      </c>
      <c r="E798" s="373">
        <v>1</v>
      </c>
      <c r="F798" s="375">
        <v>0.37</v>
      </c>
      <c r="G798" s="345">
        <f t="shared" si="36"/>
        <v>0.37</v>
      </c>
      <c r="H798" s="147"/>
    </row>
    <row r="799" spans="1:8" ht="22.5">
      <c r="A799" s="515" t="s">
        <v>211</v>
      </c>
      <c r="B799" s="508" t="s">
        <v>212</v>
      </c>
      <c r="C799" s="506" t="s">
        <v>295</v>
      </c>
      <c r="D799" s="343" t="s">
        <v>202</v>
      </c>
      <c r="E799" s="373">
        <v>1</v>
      </c>
      <c r="F799" s="375">
        <v>0.02</v>
      </c>
      <c r="G799" s="345">
        <f t="shared" si="36"/>
        <v>0.02</v>
      </c>
      <c r="H799" s="147"/>
    </row>
    <row r="800" spans="1:8" ht="22.5">
      <c r="A800" s="515" t="s">
        <v>213</v>
      </c>
      <c r="B800" s="508" t="s">
        <v>214</v>
      </c>
      <c r="C800" s="506" t="s">
        <v>87</v>
      </c>
      <c r="D800" s="343" t="s">
        <v>202</v>
      </c>
      <c r="E800" s="373">
        <v>1</v>
      </c>
      <c r="F800" s="375">
        <f>'COMP AUX'!G22</f>
        <v>0.44000000000000006</v>
      </c>
      <c r="G800" s="345">
        <f t="shared" si="36"/>
        <v>0.44</v>
      </c>
      <c r="H800" s="147"/>
    </row>
    <row r="801" spans="1:8">
      <c r="A801" s="515" t="s">
        <v>215</v>
      </c>
      <c r="B801" s="508" t="s">
        <v>216</v>
      </c>
      <c r="C801" s="506" t="s">
        <v>87</v>
      </c>
      <c r="D801" s="343" t="s">
        <v>202</v>
      </c>
      <c r="E801" s="373">
        <v>1</v>
      </c>
      <c r="F801" s="375">
        <f>'COMP AUX'!G38</f>
        <v>0.98</v>
      </c>
      <c r="G801" s="345">
        <f t="shared" si="36"/>
        <v>0.98</v>
      </c>
      <c r="H801" s="147"/>
    </row>
    <row r="802" spans="1:8" ht="22.5">
      <c r="A802" s="407">
        <v>95372</v>
      </c>
      <c r="B802" s="508" t="s">
        <v>578</v>
      </c>
      <c r="C802" s="506" t="s">
        <v>98</v>
      </c>
      <c r="D802" s="343" t="s">
        <v>202</v>
      </c>
      <c r="E802" s="373">
        <v>1</v>
      </c>
      <c r="F802" s="502">
        <f>'COMP AUX'!G713</f>
        <v>0.14000000000000001</v>
      </c>
      <c r="G802" s="345">
        <f t="shared" si="36"/>
        <v>0.14000000000000001</v>
      </c>
      <c r="H802" s="147"/>
    </row>
    <row r="803" spans="1:8">
      <c r="C803" s="145"/>
      <c r="D803" s="437"/>
      <c r="E803" s="352"/>
      <c r="F803" s="349" t="s">
        <v>90</v>
      </c>
      <c r="G803" s="346">
        <f>G795+G802</f>
        <v>12.520000000000001</v>
      </c>
      <c r="H803" s="147"/>
    </row>
    <row r="804" spans="1:8">
      <c r="C804" s="145"/>
      <c r="D804" s="439"/>
      <c r="E804" s="352"/>
      <c r="F804" s="349" t="s">
        <v>91</v>
      </c>
      <c r="G804" s="346">
        <f>SUM(G796:G801)</f>
        <v>4.5600000000000005</v>
      </c>
      <c r="H804" s="147"/>
    </row>
    <row r="805" spans="1:8">
      <c r="A805" s="384"/>
      <c r="B805" s="385"/>
      <c r="C805" s="145"/>
      <c r="D805" s="439"/>
      <c r="E805" s="352"/>
      <c r="F805" s="349" t="s">
        <v>92</v>
      </c>
      <c r="G805" s="350">
        <f>SUM(G803:G804)</f>
        <v>17.080000000000002</v>
      </c>
      <c r="H805" s="392"/>
    </row>
    <row r="806" spans="1:8">
      <c r="A806" s="390"/>
      <c r="B806" s="391"/>
      <c r="C806" s="379"/>
      <c r="D806" s="377"/>
      <c r="E806" s="378"/>
      <c r="F806" s="378"/>
      <c r="G806" s="378"/>
      <c r="H806" s="377"/>
    </row>
    <row r="808" spans="1:8">
      <c r="A808" s="145" t="s">
        <v>282</v>
      </c>
    </row>
    <row r="809" spans="1:8">
      <c r="A809" s="145" t="s">
        <v>35</v>
      </c>
      <c r="B809" s="376" t="s">
        <v>576</v>
      </c>
    </row>
    <row r="810" spans="1:8">
      <c r="A810" s="145" t="s">
        <v>219</v>
      </c>
      <c r="B810" s="630" t="s">
        <v>597</v>
      </c>
      <c r="C810" s="630"/>
      <c r="D810" s="630"/>
      <c r="E810" s="395" t="s">
        <v>202</v>
      </c>
      <c r="F810" s="395"/>
    </row>
    <row r="811" spans="1:8" ht="22.5">
      <c r="A811" s="417" t="s">
        <v>32</v>
      </c>
      <c r="B811" s="508" t="s">
        <v>21</v>
      </c>
      <c r="C811" s="343" t="s">
        <v>81</v>
      </c>
      <c r="D811" s="343" t="s">
        <v>77</v>
      </c>
      <c r="E811" s="506" t="s">
        <v>82</v>
      </c>
      <c r="F811" s="382" t="s">
        <v>83</v>
      </c>
      <c r="G811" s="400" t="s">
        <v>84</v>
      </c>
      <c r="H811" s="147"/>
    </row>
    <row r="812" spans="1:8">
      <c r="A812" s="407">
        <v>4783</v>
      </c>
      <c r="B812" s="508" t="s">
        <v>598</v>
      </c>
      <c r="C812" s="506" t="s">
        <v>98</v>
      </c>
      <c r="D812" s="343" t="s">
        <v>202</v>
      </c>
      <c r="E812" s="373">
        <v>1</v>
      </c>
      <c r="F812" s="532">
        <f>15.19/118.57%</f>
        <v>12.81099772286413</v>
      </c>
      <c r="G812" s="346">
        <f>TRUNC(E812*F812,2)</f>
        <v>12.81</v>
      </c>
      <c r="H812" s="147"/>
    </row>
    <row r="813" spans="1:8" ht="22.5">
      <c r="A813" s="515" t="s">
        <v>205</v>
      </c>
      <c r="B813" s="508" t="s">
        <v>206</v>
      </c>
      <c r="C813" s="506" t="s">
        <v>295</v>
      </c>
      <c r="D813" s="343" t="s">
        <v>202</v>
      </c>
      <c r="E813" s="373">
        <v>1</v>
      </c>
      <c r="F813" s="375">
        <v>2.15</v>
      </c>
      <c r="G813" s="345">
        <f t="shared" ref="G813:G819" si="37">TRUNC(E813*F813,2)</f>
        <v>2.15</v>
      </c>
      <c r="H813" s="147"/>
    </row>
    <row r="814" spans="1:8" ht="22.5">
      <c r="A814" s="515" t="s">
        <v>207</v>
      </c>
      <c r="B814" s="508" t="s">
        <v>208</v>
      </c>
      <c r="C814" s="506" t="s">
        <v>295</v>
      </c>
      <c r="D814" s="343" t="s">
        <v>202</v>
      </c>
      <c r="E814" s="373">
        <v>1</v>
      </c>
      <c r="F814" s="375">
        <v>0.6</v>
      </c>
      <c r="G814" s="346">
        <f t="shared" si="37"/>
        <v>0.6</v>
      </c>
      <c r="H814" s="147"/>
    </row>
    <row r="815" spans="1:8" ht="22.5">
      <c r="A815" s="515" t="s">
        <v>209</v>
      </c>
      <c r="B815" s="508" t="s">
        <v>210</v>
      </c>
      <c r="C815" s="506" t="s">
        <v>295</v>
      </c>
      <c r="D815" s="343" t="s">
        <v>202</v>
      </c>
      <c r="E815" s="373">
        <v>1</v>
      </c>
      <c r="F815" s="375">
        <v>0.37</v>
      </c>
      <c r="G815" s="345">
        <f t="shared" si="37"/>
        <v>0.37</v>
      </c>
      <c r="H815" s="147"/>
    </row>
    <row r="816" spans="1:8" ht="22.5">
      <c r="A816" s="515" t="s">
        <v>211</v>
      </c>
      <c r="B816" s="508" t="s">
        <v>212</v>
      </c>
      <c r="C816" s="506" t="s">
        <v>295</v>
      </c>
      <c r="D816" s="343" t="s">
        <v>202</v>
      </c>
      <c r="E816" s="373">
        <v>1</v>
      </c>
      <c r="F816" s="375">
        <v>0.02</v>
      </c>
      <c r="G816" s="345">
        <f t="shared" si="37"/>
        <v>0.02</v>
      </c>
      <c r="H816" s="147"/>
    </row>
    <row r="817" spans="1:8" ht="22.5">
      <c r="A817" s="515" t="s">
        <v>213</v>
      </c>
      <c r="B817" s="508" t="s">
        <v>214</v>
      </c>
      <c r="C817" s="506" t="s">
        <v>87</v>
      </c>
      <c r="D817" s="343" t="s">
        <v>202</v>
      </c>
      <c r="E817" s="373">
        <v>1</v>
      </c>
      <c r="F817" s="375">
        <f>'COMP AUX'!G22</f>
        <v>0.44000000000000006</v>
      </c>
      <c r="G817" s="345">
        <f t="shared" si="37"/>
        <v>0.44</v>
      </c>
      <c r="H817" s="147"/>
    </row>
    <row r="818" spans="1:8">
      <c r="A818" s="515" t="s">
        <v>215</v>
      </c>
      <c r="B818" s="508" t="s">
        <v>216</v>
      </c>
      <c r="C818" s="506" t="s">
        <v>87</v>
      </c>
      <c r="D818" s="343" t="s">
        <v>202</v>
      </c>
      <c r="E818" s="373">
        <v>1</v>
      </c>
      <c r="F818" s="375">
        <f>'COMP AUX'!G38</f>
        <v>0.98</v>
      </c>
      <c r="G818" s="345">
        <f t="shared" si="37"/>
        <v>0.98</v>
      </c>
      <c r="H818" s="147"/>
    </row>
    <row r="819" spans="1:8" ht="22.5">
      <c r="A819" s="407">
        <v>95332</v>
      </c>
      <c r="B819" s="508" t="s">
        <v>599</v>
      </c>
      <c r="C819" s="506" t="s">
        <v>98</v>
      </c>
      <c r="D819" s="343" t="s">
        <v>202</v>
      </c>
      <c r="E819" s="373">
        <v>1</v>
      </c>
      <c r="F819" s="502">
        <f>'COMP AUX'!G733</f>
        <v>0.38</v>
      </c>
      <c r="G819" s="345">
        <f t="shared" si="37"/>
        <v>0.38</v>
      </c>
      <c r="H819" s="147"/>
    </row>
    <row r="820" spans="1:8">
      <c r="C820" s="145"/>
      <c r="D820" s="437"/>
      <c r="E820" s="352"/>
      <c r="F820" s="349" t="s">
        <v>90</v>
      </c>
      <c r="G820" s="346">
        <f>G812+G819</f>
        <v>13.190000000000001</v>
      </c>
      <c r="H820" s="147"/>
    </row>
    <row r="821" spans="1:8">
      <c r="C821" s="145"/>
      <c r="D821" s="439"/>
      <c r="E821" s="352"/>
      <c r="F821" s="349" t="s">
        <v>91</v>
      </c>
      <c r="G821" s="346">
        <f>SUM(G813:G818)</f>
        <v>4.5600000000000005</v>
      </c>
      <c r="H821" s="147"/>
    </row>
    <row r="822" spans="1:8">
      <c r="A822" s="384"/>
      <c r="B822" s="385"/>
      <c r="C822" s="145"/>
      <c r="D822" s="439"/>
      <c r="E822" s="352"/>
      <c r="F822" s="349" t="s">
        <v>92</v>
      </c>
      <c r="G822" s="350">
        <f>SUM(G820:G821)</f>
        <v>17.75</v>
      </c>
      <c r="H822" s="392"/>
    </row>
    <row r="823" spans="1:8">
      <c r="A823" s="390"/>
      <c r="B823" s="391"/>
      <c r="C823" s="379"/>
      <c r="D823" s="377"/>
      <c r="E823" s="378"/>
      <c r="F823" s="378"/>
      <c r="G823" s="378"/>
      <c r="H823" s="377"/>
    </row>
    <row r="825" spans="1:8">
      <c r="A825" s="145" t="s">
        <v>282</v>
      </c>
    </row>
    <row r="826" spans="1:8">
      <c r="A826" s="145" t="s">
        <v>35</v>
      </c>
      <c r="B826" s="376" t="s">
        <v>576</v>
      </c>
    </row>
    <row r="827" spans="1:8">
      <c r="A827" s="145" t="s">
        <v>219</v>
      </c>
      <c r="B827" s="630" t="s">
        <v>596</v>
      </c>
      <c r="C827" s="630"/>
      <c r="D827" s="630"/>
      <c r="E827" s="395" t="s">
        <v>202</v>
      </c>
      <c r="F827" s="395"/>
    </row>
    <row r="828" spans="1:8" ht="22.5">
      <c r="A828" s="417" t="s">
        <v>32</v>
      </c>
      <c r="B828" s="508" t="s">
        <v>21</v>
      </c>
      <c r="C828" s="343" t="s">
        <v>81</v>
      </c>
      <c r="D828" s="343" t="s">
        <v>77</v>
      </c>
      <c r="E828" s="506" t="s">
        <v>82</v>
      </c>
      <c r="F828" s="382" t="s">
        <v>83</v>
      </c>
      <c r="G828" s="400" t="s">
        <v>84</v>
      </c>
      <c r="H828" s="147"/>
    </row>
    <row r="829" spans="1:8">
      <c r="A829" s="407">
        <v>247</v>
      </c>
      <c r="B829" s="508" t="s">
        <v>600</v>
      </c>
      <c r="C829" s="506" t="s">
        <v>98</v>
      </c>
      <c r="D829" s="343" t="s">
        <v>202</v>
      </c>
      <c r="E829" s="373">
        <v>1</v>
      </c>
      <c r="F829" s="532">
        <f>10.66/118.57%</f>
        <v>8.9904697646959608</v>
      </c>
      <c r="G829" s="346">
        <f>TRUNC(E829*F829,2)</f>
        <v>8.99</v>
      </c>
      <c r="H829" s="147"/>
    </row>
    <row r="830" spans="1:8" ht="22.5">
      <c r="A830" s="515" t="s">
        <v>205</v>
      </c>
      <c r="B830" s="508" t="s">
        <v>206</v>
      </c>
      <c r="C830" s="506" t="s">
        <v>295</v>
      </c>
      <c r="D830" s="343" t="s">
        <v>202</v>
      </c>
      <c r="E830" s="373">
        <v>1</v>
      </c>
      <c r="F830" s="375">
        <v>2.15</v>
      </c>
      <c r="G830" s="345">
        <f t="shared" ref="G830:G836" si="38">TRUNC(E830*F830,2)</f>
        <v>2.15</v>
      </c>
      <c r="H830" s="147"/>
    </row>
    <row r="831" spans="1:8" ht="22.5">
      <c r="A831" s="515" t="s">
        <v>207</v>
      </c>
      <c r="B831" s="508" t="s">
        <v>208</v>
      </c>
      <c r="C831" s="506" t="s">
        <v>295</v>
      </c>
      <c r="D831" s="343" t="s">
        <v>202</v>
      </c>
      <c r="E831" s="373">
        <v>1</v>
      </c>
      <c r="F831" s="375">
        <v>0.6</v>
      </c>
      <c r="G831" s="346">
        <f t="shared" si="38"/>
        <v>0.6</v>
      </c>
      <c r="H831" s="147"/>
    </row>
    <row r="832" spans="1:8" ht="22.5">
      <c r="A832" s="515" t="s">
        <v>209</v>
      </c>
      <c r="B832" s="508" t="s">
        <v>210</v>
      </c>
      <c r="C832" s="506" t="s">
        <v>295</v>
      </c>
      <c r="D832" s="343" t="s">
        <v>202</v>
      </c>
      <c r="E832" s="373">
        <v>1</v>
      </c>
      <c r="F832" s="375">
        <v>0.37</v>
      </c>
      <c r="G832" s="345">
        <f t="shared" si="38"/>
        <v>0.37</v>
      </c>
      <c r="H832" s="147"/>
    </row>
    <row r="833" spans="1:8" ht="22.5">
      <c r="A833" s="515" t="s">
        <v>211</v>
      </c>
      <c r="B833" s="508" t="s">
        <v>212</v>
      </c>
      <c r="C833" s="506" t="s">
        <v>295</v>
      </c>
      <c r="D833" s="343" t="s">
        <v>202</v>
      </c>
      <c r="E833" s="373">
        <v>1</v>
      </c>
      <c r="F833" s="375">
        <v>0.02</v>
      </c>
      <c r="G833" s="345">
        <f t="shared" si="38"/>
        <v>0.02</v>
      </c>
      <c r="H833" s="147"/>
    </row>
    <row r="834" spans="1:8" ht="22.5">
      <c r="A834" s="515" t="s">
        <v>213</v>
      </c>
      <c r="B834" s="508" t="s">
        <v>214</v>
      </c>
      <c r="C834" s="506" t="s">
        <v>87</v>
      </c>
      <c r="D834" s="343" t="s">
        <v>202</v>
      </c>
      <c r="E834" s="373">
        <v>1</v>
      </c>
      <c r="F834" s="375">
        <f>'COMP AUX'!G22</f>
        <v>0.44000000000000006</v>
      </c>
      <c r="G834" s="345">
        <f t="shared" si="38"/>
        <v>0.44</v>
      </c>
      <c r="H834" s="147"/>
    </row>
    <row r="835" spans="1:8">
      <c r="A835" s="515" t="s">
        <v>215</v>
      </c>
      <c r="B835" s="508" t="s">
        <v>216</v>
      </c>
      <c r="C835" s="506" t="s">
        <v>87</v>
      </c>
      <c r="D835" s="343" t="s">
        <v>202</v>
      </c>
      <c r="E835" s="373">
        <v>1</v>
      </c>
      <c r="F835" s="375">
        <f>'COMP AUX'!G38</f>
        <v>0.98</v>
      </c>
      <c r="G835" s="345">
        <f t="shared" si="38"/>
        <v>0.98</v>
      </c>
      <c r="H835" s="147"/>
    </row>
    <row r="836" spans="1:8" ht="27.75" customHeight="1">
      <c r="A836" s="407">
        <v>95316</v>
      </c>
      <c r="B836" s="508" t="s">
        <v>601</v>
      </c>
      <c r="C836" s="506" t="s">
        <v>98</v>
      </c>
      <c r="D836" s="343" t="s">
        <v>202</v>
      </c>
      <c r="E836" s="373">
        <v>1</v>
      </c>
      <c r="F836" s="502">
        <f>'COMP AUX'!G723</f>
        <v>0.27</v>
      </c>
      <c r="G836" s="345">
        <f t="shared" si="38"/>
        <v>0.27</v>
      </c>
      <c r="H836" s="147"/>
    </row>
    <row r="837" spans="1:8">
      <c r="C837" s="145"/>
      <c r="D837" s="437"/>
      <c r="E837" s="352"/>
      <c r="F837" s="349" t="s">
        <v>90</v>
      </c>
      <c r="G837" s="346">
        <f>G829+G836</f>
        <v>9.26</v>
      </c>
      <c r="H837" s="147"/>
    </row>
    <row r="838" spans="1:8">
      <c r="C838" s="145"/>
      <c r="D838" s="439"/>
      <c r="E838" s="352"/>
      <c r="F838" s="349" t="s">
        <v>91</v>
      </c>
      <c r="G838" s="346">
        <f>SUM(G830:G835)</f>
        <v>4.5600000000000005</v>
      </c>
      <c r="H838" s="147"/>
    </row>
    <row r="839" spans="1:8">
      <c r="A839" s="384"/>
      <c r="B839" s="385"/>
      <c r="C839" s="145"/>
      <c r="D839" s="439"/>
      <c r="E839" s="352"/>
      <c r="F839" s="349" t="s">
        <v>92</v>
      </c>
      <c r="G839" s="350">
        <f>SUM(G837:G838)</f>
        <v>13.82</v>
      </c>
      <c r="H839" s="392"/>
    </row>
    <row r="840" spans="1:8">
      <c r="A840" s="390"/>
      <c r="B840" s="391"/>
      <c r="C840" s="379"/>
      <c r="D840" s="377"/>
      <c r="E840" s="378"/>
      <c r="F840" s="378"/>
      <c r="G840" s="378"/>
      <c r="H840" s="377"/>
    </row>
    <row r="842" spans="1:8">
      <c r="A842" s="145" t="s">
        <v>282</v>
      </c>
    </row>
    <row r="843" spans="1:8">
      <c r="A843" s="145" t="s">
        <v>35</v>
      </c>
      <c r="B843" s="376" t="s">
        <v>610</v>
      </c>
    </row>
    <row r="844" spans="1:8">
      <c r="A844" s="145" t="s">
        <v>219</v>
      </c>
      <c r="B844" s="630" t="s">
        <v>608</v>
      </c>
      <c r="C844" s="630"/>
      <c r="D844" s="630"/>
      <c r="E844" s="395" t="s">
        <v>202</v>
      </c>
      <c r="F844" s="395"/>
    </row>
    <row r="845" spans="1:8" ht="25.5" customHeight="1">
      <c r="A845" s="417" t="s">
        <v>32</v>
      </c>
      <c r="B845" s="508" t="s">
        <v>21</v>
      </c>
      <c r="C845" s="343" t="s">
        <v>81</v>
      </c>
      <c r="D845" s="343" t="s">
        <v>77</v>
      </c>
      <c r="E845" s="506" t="s">
        <v>82</v>
      </c>
      <c r="F845" s="382" t="s">
        <v>83</v>
      </c>
      <c r="G845" s="400" t="s">
        <v>84</v>
      </c>
      <c r="H845" s="147"/>
    </row>
    <row r="846" spans="1:8">
      <c r="A846" s="407">
        <v>246</v>
      </c>
      <c r="B846" s="508" t="s">
        <v>615</v>
      </c>
      <c r="C846" s="506" t="s">
        <v>98</v>
      </c>
      <c r="D846" s="343" t="s">
        <v>202</v>
      </c>
      <c r="E846" s="373">
        <v>1</v>
      </c>
      <c r="F846" s="532">
        <f>10.75/118.57%</f>
        <v>9.0663742936661897</v>
      </c>
      <c r="G846" s="346">
        <f>TRUNC(E846*F846,2)</f>
        <v>9.06</v>
      </c>
      <c r="H846" s="147"/>
    </row>
    <row r="847" spans="1:8" ht="22.5">
      <c r="A847" s="515" t="s">
        <v>205</v>
      </c>
      <c r="B847" s="508" t="s">
        <v>206</v>
      </c>
      <c r="C847" s="506" t="s">
        <v>295</v>
      </c>
      <c r="D847" s="343" t="s">
        <v>202</v>
      </c>
      <c r="E847" s="373">
        <v>1</v>
      </c>
      <c r="F847" s="375">
        <v>2.15</v>
      </c>
      <c r="G847" s="345">
        <f t="shared" ref="G847:G853" si="39">TRUNC(E847*F847,2)</f>
        <v>2.15</v>
      </c>
      <c r="H847" s="147"/>
    </row>
    <row r="848" spans="1:8" ht="22.5">
      <c r="A848" s="515" t="s">
        <v>207</v>
      </c>
      <c r="B848" s="508" t="s">
        <v>208</v>
      </c>
      <c r="C848" s="506" t="s">
        <v>295</v>
      </c>
      <c r="D848" s="343" t="s">
        <v>202</v>
      </c>
      <c r="E848" s="373">
        <v>1</v>
      </c>
      <c r="F848" s="375">
        <v>0.6</v>
      </c>
      <c r="G848" s="346">
        <f t="shared" si="39"/>
        <v>0.6</v>
      </c>
      <c r="H848" s="147"/>
    </row>
    <row r="849" spans="1:8" ht="22.5">
      <c r="A849" s="515" t="s">
        <v>209</v>
      </c>
      <c r="B849" s="508" t="s">
        <v>210</v>
      </c>
      <c r="C849" s="506" t="s">
        <v>295</v>
      </c>
      <c r="D849" s="343" t="s">
        <v>202</v>
      </c>
      <c r="E849" s="373">
        <v>1</v>
      </c>
      <c r="F849" s="375">
        <v>0.37</v>
      </c>
      <c r="G849" s="345">
        <f t="shared" si="39"/>
        <v>0.37</v>
      </c>
      <c r="H849" s="147"/>
    </row>
    <row r="850" spans="1:8" ht="22.5">
      <c r="A850" s="515" t="s">
        <v>211</v>
      </c>
      <c r="B850" s="508" t="s">
        <v>212</v>
      </c>
      <c r="C850" s="506" t="s">
        <v>295</v>
      </c>
      <c r="D850" s="343" t="s">
        <v>202</v>
      </c>
      <c r="E850" s="373">
        <v>1</v>
      </c>
      <c r="F850" s="375">
        <v>0.02</v>
      </c>
      <c r="G850" s="345">
        <f t="shared" si="39"/>
        <v>0.02</v>
      </c>
      <c r="H850" s="147"/>
    </row>
    <row r="851" spans="1:8" ht="22.5">
      <c r="A851" s="515" t="s">
        <v>213</v>
      </c>
      <c r="B851" s="508" t="s">
        <v>214</v>
      </c>
      <c r="C851" s="506" t="s">
        <v>87</v>
      </c>
      <c r="D851" s="343" t="s">
        <v>202</v>
      </c>
      <c r="E851" s="373">
        <v>1</v>
      </c>
      <c r="F851" s="375">
        <f>'COMP AUX'!G22</f>
        <v>0.44000000000000006</v>
      </c>
      <c r="G851" s="345">
        <f t="shared" si="39"/>
        <v>0.44</v>
      </c>
      <c r="H851" s="147"/>
    </row>
    <row r="852" spans="1:8">
      <c r="A852" s="515" t="s">
        <v>215</v>
      </c>
      <c r="B852" s="508" t="s">
        <v>216</v>
      </c>
      <c r="C852" s="506" t="s">
        <v>87</v>
      </c>
      <c r="D852" s="343" t="s">
        <v>202</v>
      </c>
      <c r="E852" s="373">
        <v>1</v>
      </c>
      <c r="F852" s="375">
        <f>'COMP AUX'!G38</f>
        <v>0.98</v>
      </c>
      <c r="G852" s="345">
        <f t="shared" si="39"/>
        <v>0.98</v>
      </c>
      <c r="H852" s="147"/>
    </row>
    <row r="853" spans="1:8" ht="33.75">
      <c r="A853" s="407">
        <v>95317</v>
      </c>
      <c r="B853" s="508" t="s">
        <v>611</v>
      </c>
      <c r="C853" s="506" t="s">
        <v>98</v>
      </c>
      <c r="D853" s="343" t="s">
        <v>202</v>
      </c>
      <c r="E853" s="373">
        <v>1</v>
      </c>
      <c r="F853" s="502">
        <f>'COMP AUX'!G743</f>
        <v>0.13</v>
      </c>
      <c r="G853" s="345">
        <f t="shared" si="39"/>
        <v>0.13</v>
      </c>
      <c r="H853" s="147"/>
    </row>
    <row r="854" spans="1:8">
      <c r="C854" s="145"/>
      <c r="D854" s="437"/>
      <c r="E854" s="352"/>
      <c r="F854" s="349" t="s">
        <v>90</v>
      </c>
      <c r="G854" s="346">
        <f>G846+G853</f>
        <v>9.1900000000000013</v>
      </c>
      <c r="H854" s="147"/>
    </row>
    <row r="855" spans="1:8">
      <c r="C855" s="145"/>
      <c r="D855" s="439"/>
      <c r="E855" s="352"/>
      <c r="F855" s="349" t="s">
        <v>91</v>
      </c>
      <c r="G855" s="346">
        <f>SUM(G847:G852)</f>
        <v>4.5600000000000005</v>
      </c>
      <c r="H855" s="147"/>
    </row>
    <row r="856" spans="1:8">
      <c r="A856" s="384"/>
      <c r="B856" s="385"/>
      <c r="C856" s="145"/>
      <c r="D856" s="439"/>
      <c r="E856" s="352"/>
      <c r="F856" s="349" t="s">
        <v>92</v>
      </c>
      <c r="G856" s="350">
        <f>SUM(G854:G855)</f>
        <v>13.750000000000002</v>
      </c>
      <c r="H856" s="392"/>
    </row>
    <row r="857" spans="1:8">
      <c r="A857" s="390"/>
      <c r="B857" s="391"/>
      <c r="C857" s="379"/>
      <c r="D857" s="377"/>
      <c r="E857" s="378"/>
      <c r="F857" s="378"/>
      <c r="G857" s="378"/>
      <c r="H857" s="377"/>
    </row>
    <row r="859" spans="1:8">
      <c r="A859" s="145" t="s">
        <v>282</v>
      </c>
    </row>
    <row r="860" spans="1:8">
      <c r="A860" s="145" t="s">
        <v>35</v>
      </c>
      <c r="B860" s="376" t="s">
        <v>612</v>
      </c>
    </row>
    <row r="861" spans="1:8">
      <c r="A861" s="145" t="s">
        <v>219</v>
      </c>
      <c r="B861" s="630" t="s">
        <v>609</v>
      </c>
      <c r="C861" s="630"/>
      <c r="D861" s="630"/>
      <c r="E861" s="395" t="s">
        <v>202</v>
      </c>
      <c r="F861" s="395"/>
    </row>
    <row r="862" spans="1:8" ht="22.5">
      <c r="A862" s="417" t="s">
        <v>32</v>
      </c>
      <c r="B862" s="508" t="s">
        <v>21</v>
      </c>
      <c r="C862" s="343" t="s">
        <v>81</v>
      </c>
      <c r="D862" s="343" t="s">
        <v>77</v>
      </c>
      <c r="E862" s="506" t="s">
        <v>82</v>
      </c>
      <c r="F862" s="382" t="s">
        <v>83</v>
      </c>
      <c r="G862" s="400" t="s">
        <v>84</v>
      </c>
      <c r="H862" s="147"/>
    </row>
    <row r="863" spans="1:8">
      <c r="A863" s="407">
        <v>2696</v>
      </c>
      <c r="B863" s="508" t="s">
        <v>613</v>
      </c>
      <c r="C863" s="506" t="s">
        <v>98</v>
      </c>
      <c r="D863" s="343" t="s">
        <v>202</v>
      </c>
      <c r="E863" s="373">
        <v>1</v>
      </c>
      <c r="F863" s="532">
        <f>15.19/118.57%</f>
        <v>12.81099772286413</v>
      </c>
      <c r="G863" s="346">
        <f>TRUNC(E863*F863,2)</f>
        <v>12.81</v>
      </c>
      <c r="H863" s="147"/>
    </row>
    <row r="864" spans="1:8" ht="22.5">
      <c r="A864" s="515" t="s">
        <v>205</v>
      </c>
      <c r="B864" s="508" t="s">
        <v>206</v>
      </c>
      <c r="C864" s="506" t="s">
        <v>295</v>
      </c>
      <c r="D864" s="343" t="s">
        <v>202</v>
      </c>
      <c r="E864" s="373">
        <v>1</v>
      </c>
      <c r="F864" s="375">
        <v>2.15</v>
      </c>
      <c r="G864" s="345">
        <f t="shared" ref="G864:G870" si="40">TRUNC(E864*F864,2)</f>
        <v>2.15</v>
      </c>
      <c r="H864" s="147"/>
    </row>
    <row r="865" spans="1:8" ht="22.5">
      <c r="A865" s="515" t="s">
        <v>207</v>
      </c>
      <c r="B865" s="508" t="s">
        <v>208</v>
      </c>
      <c r="C865" s="506" t="s">
        <v>295</v>
      </c>
      <c r="D865" s="343" t="s">
        <v>202</v>
      </c>
      <c r="E865" s="373">
        <v>1</v>
      </c>
      <c r="F865" s="375">
        <v>0.6</v>
      </c>
      <c r="G865" s="346">
        <f t="shared" si="40"/>
        <v>0.6</v>
      </c>
      <c r="H865" s="147"/>
    </row>
    <row r="866" spans="1:8" ht="22.5">
      <c r="A866" s="515" t="s">
        <v>209</v>
      </c>
      <c r="B866" s="508" t="s">
        <v>210</v>
      </c>
      <c r="C866" s="506" t="s">
        <v>295</v>
      </c>
      <c r="D866" s="343" t="s">
        <v>202</v>
      </c>
      <c r="E866" s="373">
        <v>1</v>
      </c>
      <c r="F866" s="375">
        <v>0.37</v>
      </c>
      <c r="G866" s="345">
        <f t="shared" si="40"/>
        <v>0.37</v>
      </c>
      <c r="H866" s="147"/>
    </row>
    <row r="867" spans="1:8" ht="22.5">
      <c r="A867" s="515" t="s">
        <v>211</v>
      </c>
      <c r="B867" s="508" t="s">
        <v>212</v>
      </c>
      <c r="C867" s="506" t="s">
        <v>295</v>
      </c>
      <c r="D867" s="343" t="s">
        <v>202</v>
      </c>
      <c r="E867" s="373">
        <v>1</v>
      </c>
      <c r="F867" s="375">
        <v>0.02</v>
      </c>
      <c r="G867" s="345">
        <f t="shared" si="40"/>
        <v>0.02</v>
      </c>
      <c r="H867" s="147"/>
    </row>
    <row r="868" spans="1:8" ht="22.5">
      <c r="A868" s="515" t="s">
        <v>213</v>
      </c>
      <c r="B868" s="508" t="s">
        <v>214</v>
      </c>
      <c r="C868" s="506" t="s">
        <v>87</v>
      </c>
      <c r="D868" s="343" t="s">
        <v>202</v>
      </c>
      <c r="E868" s="373">
        <v>1</v>
      </c>
      <c r="F868" s="375">
        <f>'COMP AUX'!G22</f>
        <v>0.44000000000000006</v>
      </c>
      <c r="G868" s="345">
        <f t="shared" si="40"/>
        <v>0.44</v>
      </c>
      <c r="H868" s="147"/>
    </row>
    <row r="869" spans="1:8">
      <c r="A869" s="515" t="s">
        <v>215</v>
      </c>
      <c r="B869" s="508" t="s">
        <v>216</v>
      </c>
      <c r="C869" s="506" t="s">
        <v>87</v>
      </c>
      <c r="D869" s="343" t="s">
        <v>202</v>
      </c>
      <c r="E869" s="373">
        <v>1</v>
      </c>
      <c r="F869" s="375">
        <f>'COMP AUX'!G38</f>
        <v>0.98</v>
      </c>
      <c r="G869" s="345">
        <f t="shared" si="40"/>
        <v>0.98</v>
      </c>
      <c r="H869" s="147"/>
    </row>
    <row r="870" spans="1:8" ht="33.75">
      <c r="A870" s="407">
        <v>95335</v>
      </c>
      <c r="B870" s="508" t="s">
        <v>614</v>
      </c>
      <c r="C870" s="506" t="s">
        <v>98</v>
      </c>
      <c r="D870" s="343" t="s">
        <v>202</v>
      </c>
      <c r="E870" s="373">
        <v>1</v>
      </c>
      <c r="F870" s="502">
        <f>'COMP AUX'!G753</f>
        <v>0.18</v>
      </c>
      <c r="G870" s="345">
        <f t="shared" si="40"/>
        <v>0.18</v>
      </c>
      <c r="H870" s="147"/>
    </row>
    <row r="871" spans="1:8">
      <c r="C871" s="145"/>
      <c r="D871" s="437"/>
      <c r="E871" s="352"/>
      <c r="F871" s="349" t="s">
        <v>90</v>
      </c>
      <c r="G871" s="346">
        <f>G863+G870</f>
        <v>12.99</v>
      </c>
      <c r="H871" s="147"/>
    </row>
    <row r="872" spans="1:8">
      <c r="C872" s="145"/>
      <c r="D872" s="439"/>
      <c r="E872" s="352"/>
      <c r="F872" s="349" t="s">
        <v>91</v>
      </c>
      <c r="G872" s="346">
        <f>SUM(G864:G869)</f>
        <v>4.5600000000000005</v>
      </c>
      <c r="H872" s="147"/>
    </row>
    <row r="873" spans="1:8">
      <c r="A873" s="384"/>
      <c r="B873" s="385"/>
      <c r="C873" s="145"/>
      <c r="D873" s="439"/>
      <c r="E873" s="352"/>
      <c r="F873" s="349" t="s">
        <v>92</v>
      </c>
      <c r="G873" s="350">
        <f>SUM(G871:G872)</f>
        <v>17.55</v>
      </c>
      <c r="H873" s="392"/>
    </row>
    <row r="874" spans="1:8">
      <c r="A874" s="390"/>
      <c r="B874" s="391"/>
      <c r="C874" s="379"/>
      <c r="D874" s="377"/>
      <c r="E874" s="378"/>
      <c r="F874" s="378"/>
      <c r="G874" s="378"/>
      <c r="H874" s="377"/>
    </row>
  </sheetData>
  <mergeCells count="391">
    <mergeCell ref="A562:A563"/>
    <mergeCell ref="B562:B563"/>
    <mergeCell ref="D562:D563"/>
    <mergeCell ref="E562:E563"/>
    <mergeCell ref="A544:A545"/>
    <mergeCell ref="A581:A582"/>
    <mergeCell ref="B581:B582"/>
    <mergeCell ref="D581:D582"/>
    <mergeCell ref="E581:E582"/>
    <mergeCell ref="E204:E205"/>
    <mergeCell ref="A206:A207"/>
    <mergeCell ref="B206:B207"/>
    <mergeCell ref="D206:D207"/>
    <mergeCell ref="E206:E207"/>
    <mergeCell ref="A560:A561"/>
    <mergeCell ref="B560:B561"/>
    <mergeCell ref="D560:D561"/>
    <mergeCell ref="E560:E561"/>
    <mergeCell ref="D529:D530"/>
    <mergeCell ref="B202:C202"/>
    <mergeCell ref="B285:D285"/>
    <mergeCell ref="A614:A615"/>
    <mergeCell ref="B614:B615"/>
    <mergeCell ref="D614:D615"/>
    <mergeCell ref="E614:E615"/>
    <mergeCell ref="A583:A584"/>
    <mergeCell ref="B583:B584"/>
    <mergeCell ref="D583:D584"/>
    <mergeCell ref="E583:E584"/>
    <mergeCell ref="A599:A600"/>
    <mergeCell ref="B599:B600"/>
    <mergeCell ref="D599:D600"/>
    <mergeCell ref="E599:E600"/>
    <mergeCell ref="B575:D575"/>
    <mergeCell ref="A579:A580"/>
    <mergeCell ref="B579:B580"/>
    <mergeCell ref="D579:D580"/>
    <mergeCell ref="E579:E580"/>
    <mergeCell ref="B612:C612"/>
    <mergeCell ref="B220:C220"/>
    <mergeCell ref="A204:A205"/>
    <mergeCell ref="B204:B205"/>
    <mergeCell ref="D204:D205"/>
    <mergeCell ref="E529:E530"/>
    <mergeCell ref="A542:A543"/>
    <mergeCell ref="B542:B543"/>
    <mergeCell ref="D542:D543"/>
    <mergeCell ref="E542:E543"/>
    <mergeCell ref="B544:B545"/>
    <mergeCell ref="D544:D545"/>
    <mergeCell ref="E544:E545"/>
    <mergeCell ref="A529:A530"/>
    <mergeCell ref="B529:B530"/>
    <mergeCell ref="A516:A517"/>
    <mergeCell ref="B516:B517"/>
    <mergeCell ref="D516:D517"/>
    <mergeCell ref="E516:E517"/>
    <mergeCell ref="B525:D525"/>
    <mergeCell ref="A527:A528"/>
    <mergeCell ref="B527:B528"/>
    <mergeCell ref="D527:D528"/>
    <mergeCell ref="E527:E528"/>
    <mergeCell ref="A497:A498"/>
    <mergeCell ref="B497:B498"/>
    <mergeCell ref="D497:D498"/>
    <mergeCell ref="E497:E498"/>
    <mergeCell ref="B510:D510"/>
    <mergeCell ref="A514:A515"/>
    <mergeCell ref="B514:B515"/>
    <mergeCell ref="D514:D515"/>
    <mergeCell ref="E514:E515"/>
    <mergeCell ref="D491:D492"/>
    <mergeCell ref="E491:E492"/>
    <mergeCell ref="A493:A494"/>
    <mergeCell ref="B493:B494"/>
    <mergeCell ref="D493:D494"/>
    <mergeCell ref="E493:E494"/>
    <mergeCell ref="A495:A496"/>
    <mergeCell ref="B495:B496"/>
    <mergeCell ref="D495:D496"/>
    <mergeCell ref="E495:E496"/>
    <mergeCell ref="B627:D627"/>
    <mergeCell ref="B479:D479"/>
    <mergeCell ref="A481:A482"/>
    <mergeCell ref="B481:B482"/>
    <mergeCell ref="D481:D482"/>
    <mergeCell ref="E481:E482"/>
    <mergeCell ref="A483:A484"/>
    <mergeCell ref="B483:B484"/>
    <mergeCell ref="D483:D484"/>
    <mergeCell ref="E483:E484"/>
    <mergeCell ref="A485:A486"/>
    <mergeCell ref="B485:B486"/>
    <mergeCell ref="D485:D486"/>
    <mergeCell ref="E485:E486"/>
    <mergeCell ref="A487:A488"/>
    <mergeCell ref="B487:B488"/>
    <mergeCell ref="D487:D488"/>
    <mergeCell ref="E487:E488"/>
    <mergeCell ref="A489:A490"/>
    <mergeCell ref="B489:B490"/>
    <mergeCell ref="D489:D490"/>
    <mergeCell ref="E489:E490"/>
    <mergeCell ref="A491:A492"/>
    <mergeCell ref="B491:B492"/>
    <mergeCell ref="A468:A469"/>
    <mergeCell ref="B468:B469"/>
    <mergeCell ref="D468:D469"/>
    <mergeCell ref="E468:E469"/>
    <mergeCell ref="A470:A471"/>
    <mergeCell ref="B470:B471"/>
    <mergeCell ref="D470:D471"/>
    <mergeCell ref="E470:E471"/>
    <mergeCell ref="B466:D466"/>
    <mergeCell ref="A457:A458"/>
    <mergeCell ref="B457:B458"/>
    <mergeCell ref="D457:D458"/>
    <mergeCell ref="E457:E458"/>
    <mergeCell ref="E323:E324"/>
    <mergeCell ref="D323:D324"/>
    <mergeCell ref="B323:B324"/>
    <mergeCell ref="A323:A324"/>
    <mergeCell ref="B325:B326"/>
    <mergeCell ref="A325:A326"/>
    <mergeCell ref="D325:D326"/>
    <mergeCell ref="E325:E326"/>
    <mergeCell ref="B450:D450"/>
    <mergeCell ref="A453:A454"/>
    <mergeCell ref="B453:B454"/>
    <mergeCell ref="D453:D454"/>
    <mergeCell ref="E453:E454"/>
    <mergeCell ref="A455:A456"/>
    <mergeCell ref="B455:B456"/>
    <mergeCell ref="D455:D456"/>
    <mergeCell ref="E455:E456"/>
    <mergeCell ref="B436:D436"/>
    <mergeCell ref="A439:A440"/>
    <mergeCell ref="B439:B440"/>
    <mergeCell ref="E439:E440"/>
    <mergeCell ref="A441:A442"/>
    <mergeCell ref="B441:B442"/>
    <mergeCell ref="D441:D442"/>
    <mergeCell ref="E441:E442"/>
    <mergeCell ref="B421:D421"/>
    <mergeCell ref="A425:A426"/>
    <mergeCell ref="B425:B426"/>
    <mergeCell ref="D425:D426"/>
    <mergeCell ref="E425:E426"/>
    <mergeCell ref="A427:A428"/>
    <mergeCell ref="B427:B428"/>
    <mergeCell ref="D427:D428"/>
    <mergeCell ref="E427:E428"/>
    <mergeCell ref="A412:A413"/>
    <mergeCell ref="B412:B413"/>
    <mergeCell ref="D412:D413"/>
    <mergeCell ref="E412:E413"/>
    <mergeCell ref="D317:D318"/>
    <mergeCell ref="E317:E318"/>
    <mergeCell ref="B317:B318"/>
    <mergeCell ref="A317:A318"/>
    <mergeCell ref="E319:E320"/>
    <mergeCell ref="D319:D320"/>
    <mergeCell ref="B319:B320"/>
    <mergeCell ref="A319:A320"/>
    <mergeCell ref="E321:E322"/>
    <mergeCell ref="D321:D322"/>
    <mergeCell ref="B321:B322"/>
    <mergeCell ref="A321:A322"/>
    <mergeCell ref="A398:A399"/>
    <mergeCell ref="B398:B399"/>
    <mergeCell ref="D398:D399"/>
    <mergeCell ref="E398:E399"/>
    <mergeCell ref="B364:D364"/>
    <mergeCell ref="A381:A382"/>
    <mergeCell ref="B381:B382"/>
    <mergeCell ref="D381:D382"/>
    <mergeCell ref="A366:A367"/>
    <mergeCell ref="A410:A411"/>
    <mergeCell ref="B410:B411"/>
    <mergeCell ref="D410:D411"/>
    <mergeCell ref="E410:E411"/>
    <mergeCell ref="B147:B148"/>
    <mergeCell ref="A147:A148"/>
    <mergeCell ref="D147:D148"/>
    <mergeCell ref="E147:E148"/>
    <mergeCell ref="A161:D161"/>
    <mergeCell ref="A315:A316"/>
    <mergeCell ref="D315:D316"/>
    <mergeCell ref="E315:E316"/>
    <mergeCell ref="B407:D407"/>
    <mergeCell ref="E370:E371"/>
    <mergeCell ref="D370:D371"/>
    <mergeCell ref="B370:B371"/>
    <mergeCell ref="A370:A371"/>
    <mergeCell ref="B392:D392"/>
    <mergeCell ref="A396:A397"/>
    <mergeCell ref="B396:B397"/>
    <mergeCell ref="D396:D397"/>
    <mergeCell ref="E396:E397"/>
    <mergeCell ref="D366:D367"/>
    <mergeCell ref="E366:E367"/>
    <mergeCell ref="A368:A369"/>
    <mergeCell ref="B368:B369"/>
    <mergeCell ref="D368:D369"/>
    <mergeCell ref="E368:E369"/>
    <mergeCell ref="A4:H4"/>
    <mergeCell ref="A98:D98"/>
    <mergeCell ref="B101:B102"/>
    <mergeCell ref="B103:B104"/>
    <mergeCell ref="A101:A102"/>
    <mergeCell ref="A103:A104"/>
    <mergeCell ref="D101:D102"/>
    <mergeCell ref="D103:D104"/>
    <mergeCell ref="E101:E102"/>
    <mergeCell ref="E103:E104"/>
    <mergeCell ref="E45:E46"/>
    <mergeCell ref="A24:H24"/>
    <mergeCell ref="A25:D25"/>
    <mergeCell ref="A62:A63"/>
    <mergeCell ref="B62:B63"/>
    <mergeCell ref="D62:D63"/>
    <mergeCell ref="A60:D60"/>
    <mergeCell ref="B45:B46"/>
    <mergeCell ref="A45:A46"/>
    <mergeCell ref="B47:B48"/>
    <mergeCell ref="A47:A48"/>
    <mergeCell ref="E82:E83"/>
    <mergeCell ref="E84:E85"/>
    <mergeCell ref="B105:B106"/>
    <mergeCell ref="A105:A106"/>
    <mergeCell ref="D105:D106"/>
    <mergeCell ref="A77:B77"/>
    <mergeCell ref="A80:A81"/>
    <mergeCell ref="B80:B81"/>
    <mergeCell ref="D80:D81"/>
    <mergeCell ref="B82:B83"/>
    <mergeCell ref="B84:B85"/>
    <mergeCell ref="A84:A85"/>
    <mergeCell ref="A82:A83"/>
    <mergeCell ref="D82:D83"/>
    <mergeCell ref="D84:D85"/>
    <mergeCell ref="D45:D46"/>
    <mergeCell ref="D47:D48"/>
    <mergeCell ref="E47:E48"/>
    <mergeCell ref="A39:E39"/>
    <mergeCell ref="A122:A123"/>
    <mergeCell ref="B122:B123"/>
    <mergeCell ref="D122:D123"/>
    <mergeCell ref="E122:E123"/>
    <mergeCell ref="A124:A125"/>
    <mergeCell ref="B124:B125"/>
    <mergeCell ref="D124:D125"/>
    <mergeCell ref="E124:E125"/>
    <mergeCell ref="A120:D120"/>
    <mergeCell ref="E62:E63"/>
    <mergeCell ref="A64:A65"/>
    <mergeCell ref="B64:B65"/>
    <mergeCell ref="D64:D65"/>
    <mergeCell ref="E64:E65"/>
    <mergeCell ref="E105:E106"/>
    <mergeCell ref="B107:B108"/>
    <mergeCell ref="A107:A108"/>
    <mergeCell ref="D107:D108"/>
    <mergeCell ref="E107:E108"/>
    <mergeCell ref="E80:E81"/>
    <mergeCell ref="B126:B127"/>
    <mergeCell ref="A126:A127"/>
    <mergeCell ref="E126:E127"/>
    <mergeCell ref="D126:D127"/>
    <mergeCell ref="A143:A144"/>
    <mergeCell ref="A184:A185"/>
    <mergeCell ref="B184:B185"/>
    <mergeCell ref="D184:D185"/>
    <mergeCell ref="E184:E185"/>
    <mergeCell ref="A182:A183"/>
    <mergeCell ref="B182:B183"/>
    <mergeCell ref="E182:E183"/>
    <mergeCell ref="E145:E146"/>
    <mergeCell ref="D145:D146"/>
    <mergeCell ref="B145:B146"/>
    <mergeCell ref="A145:A146"/>
    <mergeCell ref="A165:A166"/>
    <mergeCell ref="B165:B166"/>
    <mergeCell ref="D165:D166"/>
    <mergeCell ref="E165:E166"/>
    <mergeCell ref="A167:A168"/>
    <mergeCell ref="B167:B168"/>
    <mergeCell ref="D167:D168"/>
    <mergeCell ref="E167:E168"/>
    <mergeCell ref="B742:D742"/>
    <mergeCell ref="D143:D144"/>
    <mergeCell ref="E143:E144"/>
    <mergeCell ref="B143:B144"/>
    <mergeCell ref="B725:D725"/>
    <mergeCell ref="B708:C708"/>
    <mergeCell ref="B644:C644"/>
    <mergeCell ref="A243:A244"/>
    <mergeCell ref="B243:B244"/>
    <mergeCell ref="D243:D244"/>
    <mergeCell ref="B678:C678"/>
    <mergeCell ref="B693:C693"/>
    <mergeCell ref="E243:E244"/>
    <mergeCell ref="A241:A242"/>
    <mergeCell ref="B241:B242"/>
    <mergeCell ref="D241:D242"/>
    <mergeCell ref="E241:E242"/>
    <mergeCell ref="E222:E223"/>
    <mergeCell ref="A180:E180"/>
    <mergeCell ref="D182:D183"/>
    <mergeCell ref="A264:A265"/>
    <mergeCell ref="D264:D265"/>
    <mergeCell ref="E264:E265"/>
    <mergeCell ref="B266:B267"/>
    <mergeCell ref="E224:E225"/>
    <mergeCell ref="A222:A223"/>
    <mergeCell ref="B222:B223"/>
    <mergeCell ref="D222:D223"/>
    <mergeCell ref="D224:D225"/>
    <mergeCell ref="B224:B225"/>
    <mergeCell ref="A224:A225"/>
    <mergeCell ref="B287:B288"/>
    <mergeCell ref="D287:D288"/>
    <mergeCell ref="E287:E288"/>
    <mergeCell ref="A266:A267"/>
    <mergeCell ref="D266:D267"/>
    <mergeCell ref="E266:E267"/>
    <mergeCell ref="A260:A261"/>
    <mergeCell ref="B260:B261"/>
    <mergeCell ref="D260:D261"/>
    <mergeCell ref="E260:E261"/>
    <mergeCell ref="A262:A263"/>
    <mergeCell ref="B262:B263"/>
    <mergeCell ref="D262:D263"/>
    <mergeCell ref="E262:E263"/>
    <mergeCell ref="A289:A290"/>
    <mergeCell ref="B289:B290"/>
    <mergeCell ref="D289:D290"/>
    <mergeCell ref="E289:E290"/>
    <mergeCell ref="A291:A292"/>
    <mergeCell ref="B291:B292"/>
    <mergeCell ref="D291:D292"/>
    <mergeCell ref="E291:E292"/>
    <mergeCell ref="A287:A288"/>
    <mergeCell ref="A293:A294"/>
    <mergeCell ref="A313:A314"/>
    <mergeCell ref="B338:D338"/>
    <mergeCell ref="A340:A341"/>
    <mergeCell ref="B340:B341"/>
    <mergeCell ref="D340:D341"/>
    <mergeCell ref="E340:E341"/>
    <mergeCell ref="B793:D793"/>
    <mergeCell ref="A309:A310"/>
    <mergeCell ref="B309:B310"/>
    <mergeCell ref="D309:D310"/>
    <mergeCell ref="E309:E310"/>
    <mergeCell ref="A311:A312"/>
    <mergeCell ref="B311:B312"/>
    <mergeCell ref="D311:D312"/>
    <mergeCell ref="E311:E312"/>
    <mergeCell ref="A342:A343"/>
    <mergeCell ref="B342:B343"/>
    <mergeCell ref="D342:D343"/>
    <mergeCell ref="E342:E343"/>
    <mergeCell ref="A353:A354"/>
    <mergeCell ref="B353:B354"/>
    <mergeCell ref="D353:D354"/>
    <mergeCell ref="E353:E354"/>
    <mergeCell ref="A355:A356"/>
    <mergeCell ref="K246:M246"/>
    <mergeCell ref="B844:D844"/>
    <mergeCell ref="B861:D861"/>
    <mergeCell ref="B810:D810"/>
    <mergeCell ref="B827:D827"/>
    <mergeCell ref="B307:D307"/>
    <mergeCell ref="E313:E314"/>
    <mergeCell ref="D313:D314"/>
    <mergeCell ref="B313:B314"/>
    <mergeCell ref="B355:B356"/>
    <mergeCell ref="D355:D356"/>
    <mergeCell ref="E355:E356"/>
    <mergeCell ref="B293:B294"/>
    <mergeCell ref="D293:D294"/>
    <mergeCell ref="E293:E294"/>
    <mergeCell ref="B264:B265"/>
    <mergeCell ref="B258:E258"/>
    <mergeCell ref="E381:E382"/>
    <mergeCell ref="B379:D379"/>
    <mergeCell ref="B759:D759"/>
    <mergeCell ref="B315:B316"/>
    <mergeCell ref="D439:D440"/>
    <mergeCell ref="B366:B367"/>
  </mergeCells>
  <printOptions horizontalCentered="1"/>
  <pageMargins left="0.19685039370078741" right="0.19685039370078741" top="0.78740157480314965" bottom="0.19685039370078741" header="0" footer="0"/>
  <pageSetup paperSize="9" scale="74" orientation="portrait" horizontalDpi="300" verticalDpi="300" r:id="rId1"/>
  <headerFooter alignWithMargins="0"/>
  <ignoredErrors>
    <ignoredError sqref="G242:G244 G223:G2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95"/>
  <sheetViews>
    <sheetView showGridLines="0" view="pageBreakPreview" topLeftCell="A577" zoomScale="115" zoomScaleSheetLayoutView="115" workbookViewId="0">
      <selection activeCell="F520" sqref="F520"/>
    </sheetView>
  </sheetViews>
  <sheetFormatPr defaultRowHeight="11.25"/>
  <cols>
    <col min="1" max="1" width="11.5703125" style="145" customWidth="1"/>
    <col min="2" max="2" width="36.7109375" style="147" customWidth="1"/>
    <col min="3" max="3" width="6.42578125" style="341" customWidth="1"/>
    <col min="4" max="4" width="6.85546875" style="146" customWidth="1"/>
    <col min="5" max="5" width="8.7109375" style="145" customWidth="1"/>
    <col min="6" max="6" width="9.5703125" style="147" customWidth="1"/>
    <col min="7" max="7" width="16.140625" style="147" customWidth="1"/>
    <col min="8" max="8" width="9.42578125" style="147" customWidth="1"/>
    <col min="9" max="9" width="7.7109375" style="145" customWidth="1"/>
    <col min="10" max="250" width="9.140625" style="145"/>
    <col min="251" max="251" width="5.85546875" style="145" customWidth="1"/>
    <col min="252" max="252" width="50.42578125" style="145" customWidth="1"/>
    <col min="253" max="256" width="7.7109375" style="145" customWidth="1"/>
    <col min="257" max="257" width="10.140625" style="145" customWidth="1"/>
    <col min="258" max="261" width="7.7109375" style="145" customWidth="1"/>
    <col min="262" max="262" width="31.7109375" style="145" bestFit="1" customWidth="1"/>
    <col min="263" max="506" width="9.140625" style="145"/>
    <col min="507" max="507" width="5.85546875" style="145" customWidth="1"/>
    <col min="508" max="508" width="50.42578125" style="145" customWidth="1"/>
    <col min="509" max="512" width="7.7109375" style="145" customWidth="1"/>
    <col min="513" max="513" width="10.140625" style="145" customWidth="1"/>
    <col min="514" max="517" width="7.7109375" style="145" customWidth="1"/>
    <col min="518" max="518" width="31.7109375" style="145" bestFit="1" customWidth="1"/>
    <col min="519" max="762" width="9.140625" style="145"/>
    <col min="763" max="763" width="5.85546875" style="145" customWidth="1"/>
    <col min="764" max="764" width="50.42578125" style="145" customWidth="1"/>
    <col min="765" max="768" width="7.7109375" style="145" customWidth="1"/>
    <col min="769" max="769" width="10.140625" style="145" customWidth="1"/>
    <col min="770" max="773" width="7.7109375" style="145" customWidth="1"/>
    <col min="774" max="774" width="31.7109375" style="145" bestFit="1" customWidth="1"/>
    <col min="775" max="1018" width="9.140625" style="145"/>
    <col min="1019" max="1019" width="5.85546875" style="145" customWidth="1"/>
    <col min="1020" max="1020" width="50.42578125" style="145" customWidth="1"/>
    <col min="1021" max="1024" width="7.7109375" style="145" customWidth="1"/>
    <col min="1025" max="1025" width="10.140625" style="145" customWidth="1"/>
    <col min="1026" max="1029" width="7.7109375" style="145" customWidth="1"/>
    <col min="1030" max="1030" width="31.7109375" style="145" bestFit="1" customWidth="1"/>
    <col min="1031" max="1274" width="9.140625" style="145"/>
    <col min="1275" max="1275" width="5.85546875" style="145" customWidth="1"/>
    <col min="1276" max="1276" width="50.42578125" style="145" customWidth="1"/>
    <col min="1277" max="1280" width="7.7109375" style="145" customWidth="1"/>
    <col min="1281" max="1281" width="10.140625" style="145" customWidth="1"/>
    <col min="1282" max="1285" width="7.7109375" style="145" customWidth="1"/>
    <col min="1286" max="1286" width="31.7109375" style="145" bestFit="1" customWidth="1"/>
    <col min="1287" max="1530" width="9.140625" style="145"/>
    <col min="1531" max="1531" width="5.85546875" style="145" customWidth="1"/>
    <col min="1532" max="1532" width="50.42578125" style="145" customWidth="1"/>
    <col min="1533" max="1536" width="7.7109375" style="145" customWidth="1"/>
    <col min="1537" max="1537" width="10.140625" style="145" customWidth="1"/>
    <col min="1538" max="1541" width="7.7109375" style="145" customWidth="1"/>
    <col min="1542" max="1542" width="31.7109375" style="145" bestFit="1" customWidth="1"/>
    <col min="1543" max="1786" width="9.140625" style="145"/>
    <col min="1787" max="1787" width="5.85546875" style="145" customWidth="1"/>
    <col min="1788" max="1788" width="50.42578125" style="145" customWidth="1"/>
    <col min="1789" max="1792" width="7.7109375" style="145" customWidth="1"/>
    <col min="1793" max="1793" width="10.140625" style="145" customWidth="1"/>
    <col min="1794" max="1797" width="7.7109375" style="145" customWidth="1"/>
    <col min="1798" max="1798" width="31.7109375" style="145" bestFit="1" customWidth="1"/>
    <col min="1799" max="2042" width="9.140625" style="145"/>
    <col min="2043" max="2043" width="5.85546875" style="145" customWidth="1"/>
    <col min="2044" max="2044" width="50.42578125" style="145" customWidth="1"/>
    <col min="2045" max="2048" width="7.7109375" style="145" customWidth="1"/>
    <col min="2049" max="2049" width="10.140625" style="145" customWidth="1"/>
    <col min="2050" max="2053" width="7.7109375" style="145" customWidth="1"/>
    <col min="2054" max="2054" width="31.7109375" style="145" bestFit="1" customWidth="1"/>
    <col min="2055" max="2298" width="9.140625" style="145"/>
    <col min="2299" max="2299" width="5.85546875" style="145" customWidth="1"/>
    <col min="2300" max="2300" width="50.42578125" style="145" customWidth="1"/>
    <col min="2301" max="2304" width="7.7109375" style="145" customWidth="1"/>
    <col min="2305" max="2305" width="10.140625" style="145" customWidth="1"/>
    <col min="2306" max="2309" width="7.7109375" style="145" customWidth="1"/>
    <col min="2310" max="2310" width="31.7109375" style="145" bestFit="1" customWidth="1"/>
    <col min="2311" max="2554" width="9.140625" style="145"/>
    <col min="2555" max="2555" width="5.85546875" style="145" customWidth="1"/>
    <col min="2556" max="2556" width="50.42578125" style="145" customWidth="1"/>
    <col min="2557" max="2560" width="7.7109375" style="145" customWidth="1"/>
    <col min="2561" max="2561" width="10.140625" style="145" customWidth="1"/>
    <col min="2562" max="2565" width="7.7109375" style="145" customWidth="1"/>
    <col min="2566" max="2566" width="31.7109375" style="145" bestFit="1" customWidth="1"/>
    <col min="2567" max="2810" width="9.140625" style="145"/>
    <col min="2811" max="2811" width="5.85546875" style="145" customWidth="1"/>
    <col min="2812" max="2812" width="50.42578125" style="145" customWidth="1"/>
    <col min="2813" max="2816" width="7.7109375" style="145" customWidth="1"/>
    <col min="2817" max="2817" width="10.140625" style="145" customWidth="1"/>
    <col min="2818" max="2821" width="7.7109375" style="145" customWidth="1"/>
    <col min="2822" max="2822" width="31.7109375" style="145" bestFit="1" customWidth="1"/>
    <col min="2823" max="3066" width="9.140625" style="145"/>
    <col min="3067" max="3067" width="5.85546875" style="145" customWidth="1"/>
    <col min="3068" max="3068" width="50.42578125" style="145" customWidth="1"/>
    <col min="3069" max="3072" width="7.7109375" style="145" customWidth="1"/>
    <col min="3073" max="3073" width="10.140625" style="145" customWidth="1"/>
    <col min="3074" max="3077" width="7.7109375" style="145" customWidth="1"/>
    <col min="3078" max="3078" width="31.7109375" style="145" bestFit="1" customWidth="1"/>
    <col min="3079" max="3322" width="9.140625" style="145"/>
    <col min="3323" max="3323" width="5.85546875" style="145" customWidth="1"/>
    <col min="3324" max="3324" width="50.42578125" style="145" customWidth="1"/>
    <col min="3325" max="3328" width="7.7109375" style="145" customWidth="1"/>
    <col min="3329" max="3329" width="10.140625" style="145" customWidth="1"/>
    <col min="3330" max="3333" width="7.7109375" style="145" customWidth="1"/>
    <col min="3334" max="3334" width="31.7109375" style="145" bestFit="1" customWidth="1"/>
    <col min="3335" max="3578" width="9.140625" style="145"/>
    <col min="3579" max="3579" width="5.85546875" style="145" customWidth="1"/>
    <col min="3580" max="3580" width="50.42578125" style="145" customWidth="1"/>
    <col min="3581" max="3584" width="7.7109375" style="145" customWidth="1"/>
    <col min="3585" max="3585" width="10.140625" style="145" customWidth="1"/>
    <col min="3586" max="3589" width="7.7109375" style="145" customWidth="1"/>
    <col min="3590" max="3590" width="31.7109375" style="145" bestFit="1" customWidth="1"/>
    <col min="3591" max="3834" width="9.140625" style="145"/>
    <col min="3835" max="3835" width="5.85546875" style="145" customWidth="1"/>
    <col min="3836" max="3836" width="50.42578125" style="145" customWidth="1"/>
    <col min="3837" max="3840" width="7.7109375" style="145" customWidth="1"/>
    <col min="3841" max="3841" width="10.140625" style="145" customWidth="1"/>
    <col min="3842" max="3845" width="7.7109375" style="145" customWidth="1"/>
    <col min="3846" max="3846" width="31.7109375" style="145" bestFit="1" customWidth="1"/>
    <col min="3847" max="4090" width="9.140625" style="145"/>
    <col min="4091" max="4091" width="5.85546875" style="145" customWidth="1"/>
    <col min="4092" max="4092" width="50.42578125" style="145" customWidth="1"/>
    <col min="4093" max="4096" width="7.7109375" style="145" customWidth="1"/>
    <col min="4097" max="4097" width="10.140625" style="145" customWidth="1"/>
    <col min="4098" max="4101" width="7.7109375" style="145" customWidth="1"/>
    <col min="4102" max="4102" width="31.7109375" style="145" bestFit="1" customWidth="1"/>
    <col min="4103" max="4346" width="9.140625" style="145"/>
    <col min="4347" max="4347" width="5.85546875" style="145" customWidth="1"/>
    <col min="4348" max="4348" width="50.42578125" style="145" customWidth="1"/>
    <col min="4349" max="4352" width="7.7109375" style="145" customWidth="1"/>
    <col min="4353" max="4353" width="10.140625" style="145" customWidth="1"/>
    <col min="4354" max="4357" width="7.7109375" style="145" customWidth="1"/>
    <col min="4358" max="4358" width="31.7109375" style="145" bestFit="1" customWidth="1"/>
    <col min="4359" max="4602" width="9.140625" style="145"/>
    <col min="4603" max="4603" width="5.85546875" style="145" customWidth="1"/>
    <col min="4604" max="4604" width="50.42578125" style="145" customWidth="1"/>
    <col min="4605" max="4608" width="7.7109375" style="145" customWidth="1"/>
    <col min="4609" max="4609" width="10.140625" style="145" customWidth="1"/>
    <col min="4610" max="4613" width="7.7109375" style="145" customWidth="1"/>
    <col min="4614" max="4614" width="31.7109375" style="145" bestFit="1" customWidth="1"/>
    <col min="4615" max="4858" width="9.140625" style="145"/>
    <col min="4859" max="4859" width="5.85546875" style="145" customWidth="1"/>
    <col min="4860" max="4860" width="50.42578125" style="145" customWidth="1"/>
    <col min="4861" max="4864" width="7.7109375" style="145" customWidth="1"/>
    <col min="4865" max="4865" width="10.140625" style="145" customWidth="1"/>
    <col min="4866" max="4869" width="7.7109375" style="145" customWidth="1"/>
    <col min="4870" max="4870" width="31.7109375" style="145" bestFit="1" customWidth="1"/>
    <col min="4871" max="5114" width="9.140625" style="145"/>
    <col min="5115" max="5115" width="5.85546875" style="145" customWidth="1"/>
    <col min="5116" max="5116" width="50.42578125" style="145" customWidth="1"/>
    <col min="5117" max="5120" width="7.7109375" style="145" customWidth="1"/>
    <col min="5121" max="5121" width="10.140625" style="145" customWidth="1"/>
    <col min="5122" max="5125" width="7.7109375" style="145" customWidth="1"/>
    <col min="5126" max="5126" width="31.7109375" style="145" bestFit="1" customWidth="1"/>
    <col min="5127" max="5370" width="9.140625" style="145"/>
    <col min="5371" max="5371" width="5.85546875" style="145" customWidth="1"/>
    <col min="5372" max="5372" width="50.42578125" style="145" customWidth="1"/>
    <col min="5373" max="5376" width="7.7109375" style="145" customWidth="1"/>
    <col min="5377" max="5377" width="10.140625" style="145" customWidth="1"/>
    <col min="5378" max="5381" width="7.7109375" style="145" customWidth="1"/>
    <col min="5382" max="5382" width="31.7109375" style="145" bestFit="1" customWidth="1"/>
    <col min="5383" max="5626" width="9.140625" style="145"/>
    <col min="5627" max="5627" width="5.85546875" style="145" customWidth="1"/>
    <col min="5628" max="5628" width="50.42578125" style="145" customWidth="1"/>
    <col min="5629" max="5632" width="7.7109375" style="145" customWidth="1"/>
    <col min="5633" max="5633" width="10.140625" style="145" customWidth="1"/>
    <col min="5634" max="5637" width="7.7109375" style="145" customWidth="1"/>
    <col min="5638" max="5638" width="31.7109375" style="145" bestFit="1" customWidth="1"/>
    <col min="5639" max="5882" width="9.140625" style="145"/>
    <col min="5883" max="5883" width="5.85546875" style="145" customWidth="1"/>
    <col min="5884" max="5884" width="50.42578125" style="145" customWidth="1"/>
    <col min="5885" max="5888" width="7.7109375" style="145" customWidth="1"/>
    <col min="5889" max="5889" width="10.140625" style="145" customWidth="1"/>
    <col min="5890" max="5893" width="7.7109375" style="145" customWidth="1"/>
    <col min="5894" max="5894" width="31.7109375" style="145" bestFit="1" customWidth="1"/>
    <col min="5895" max="6138" width="9.140625" style="145"/>
    <col min="6139" max="6139" width="5.85546875" style="145" customWidth="1"/>
    <col min="6140" max="6140" width="50.42578125" style="145" customWidth="1"/>
    <col min="6141" max="6144" width="7.7109375" style="145" customWidth="1"/>
    <col min="6145" max="6145" width="10.140625" style="145" customWidth="1"/>
    <col min="6146" max="6149" width="7.7109375" style="145" customWidth="1"/>
    <col min="6150" max="6150" width="31.7109375" style="145" bestFit="1" customWidth="1"/>
    <col min="6151" max="6394" width="9.140625" style="145"/>
    <col min="6395" max="6395" width="5.85546875" style="145" customWidth="1"/>
    <col min="6396" max="6396" width="50.42578125" style="145" customWidth="1"/>
    <col min="6397" max="6400" width="7.7109375" style="145" customWidth="1"/>
    <col min="6401" max="6401" width="10.140625" style="145" customWidth="1"/>
    <col min="6402" max="6405" width="7.7109375" style="145" customWidth="1"/>
    <col min="6406" max="6406" width="31.7109375" style="145" bestFit="1" customWidth="1"/>
    <col min="6407" max="6650" width="9.140625" style="145"/>
    <col min="6651" max="6651" width="5.85546875" style="145" customWidth="1"/>
    <col min="6652" max="6652" width="50.42578125" style="145" customWidth="1"/>
    <col min="6653" max="6656" width="7.7109375" style="145" customWidth="1"/>
    <col min="6657" max="6657" width="10.140625" style="145" customWidth="1"/>
    <col min="6658" max="6661" width="7.7109375" style="145" customWidth="1"/>
    <col min="6662" max="6662" width="31.7109375" style="145" bestFit="1" customWidth="1"/>
    <col min="6663" max="6906" width="9.140625" style="145"/>
    <col min="6907" max="6907" width="5.85546875" style="145" customWidth="1"/>
    <col min="6908" max="6908" width="50.42578125" style="145" customWidth="1"/>
    <col min="6909" max="6912" width="7.7109375" style="145" customWidth="1"/>
    <col min="6913" max="6913" width="10.140625" style="145" customWidth="1"/>
    <col min="6914" max="6917" width="7.7109375" style="145" customWidth="1"/>
    <col min="6918" max="6918" width="31.7109375" style="145" bestFit="1" customWidth="1"/>
    <col min="6919" max="7162" width="9.140625" style="145"/>
    <col min="7163" max="7163" width="5.85546875" style="145" customWidth="1"/>
    <col min="7164" max="7164" width="50.42578125" style="145" customWidth="1"/>
    <col min="7165" max="7168" width="7.7109375" style="145" customWidth="1"/>
    <col min="7169" max="7169" width="10.140625" style="145" customWidth="1"/>
    <col min="7170" max="7173" width="7.7109375" style="145" customWidth="1"/>
    <col min="7174" max="7174" width="31.7109375" style="145" bestFit="1" customWidth="1"/>
    <col min="7175" max="7418" width="9.140625" style="145"/>
    <col min="7419" max="7419" width="5.85546875" style="145" customWidth="1"/>
    <col min="7420" max="7420" width="50.42578125" style="145" customWidth="1"/>
    <col min="7421" max="7424" width="7.7109375" style="145" customWidth="1"/>
    <col min="7425" max="7425" width="10.140625" style="145" customWidth="1"/>
    <col min="7426" max="7429" width="7.7109375" style="145" customWidth="1"/>
    <col min="7430" max="7430" width="31.7109375" style="145" bestFit="1" customWidth="1"/>
    <col min="7431" max="7674" width="9.140625" style="145"/>
    <col min="7675" max="7675" width="5.85546875" style="145" customWidth="1"/>
    <col min="7676" max="7676" width="50.42578125" style="145" customWidth="1"/>
    <col min="7677" max="7680" width="7.7109375" style="145" customWidth="1"/>
    <col min="7681" max="7681" width="10.140625" style="145" customWidth="1"/>
    <col min="7682" max="7685" width="7.7109375" style="145" customWidth="1"/>
    <col min="7686" max="7686" width="31.7109375" style="145" bestFit="1" customWidth="1"/>
    <col min="7687" max="7930" width="9.140625" style="145"/>
    <col min="7931" max="7931" width="5.85546875" style="145" customWidth="1"/>
    <col min="7932" max="7932" width="50.42578125" style="145" customWidth="1"/>
    <col min="7933" max="7936" width="7.7109375" style="145" customWidth="1"/>
    <col min="7937" max="7937" width="10.140625" style="145" customWidth="1"/>
    <col min="7938" max="7941" width="7.7109375" style="145" customWidth="1"/>
    <col min="7942" max="7942" width="31.7109375" style="145" bestFit="1" customWidth="1"/>
    <col min="7943" max="8186" width="9.140625" style="145"/>
    <col min="8187" max="8187" width="5.85546875" style="145" customWidth="1"/>
    <col min="8188" max="8188" width="50.42578125" style="145" customWidth="1"/>
    <col min="8189" max="8192" width="7.7109375" style="145" customWidth="1"/>
    <col min="8193" max="8193" width="10.140625" style="145" customWidth="1"/>
    <col min="8194" max="8197" width="7.7109375" style="145" customWidth="1"/>
    <col min="8198" max="8198" width="31.7109375" style="145" bestFit="1" customWidth="1"/>
    <col min="8199" max="8442" width="9.140625" style="145"/>
    <col min="8443" max="8443" width="5.85546875" style="145" customWidth="1"/>
    <col min="8444" max="8444" width="50.42578125" style="145" customWidth="1"/>
    <col min="8445" max="8448" width="7.7109375" style="145" customWidth="1"/>
    <col min="8449" max="8449" width="10.140625" style="145" customWidth="1"/>
    <col min="8450" max="8453" width="7.7109375" style="145" customWidth="1"/>
    <col min="8454" max="8454" width="31.7109375" style="145" bestFit="1" customWidth="1"/>
    <col min="8455" max="8698" width="9.140625" style="145"/>
    <col min="8699" max="8699" width="5.85546875" style="145" customWidth="1"/>
    <col min="8700" max="8700" width="50.42578125" style="145" customWidth="1"/>
    <col min="8701" max="8704" width="7.7109375" style="145" customWidth="1"/>
    <col min="8705" max="8705" width="10.140625" style="145" customWidth="1"/>
    <col min="8706" max="8709" width="7.7109375" style="145" customWidth="1"/>
    <col min="8710" max="8710" width="31.7109375" style="145" bestFit="1" customWidth="1"/>
    <col min="8711" max="8954" width="9.140625" style="145"/>
    <col min="8955" max="8955" width="5.85546875" style="145" customWidth="1"/>
    <col min="8956" max="8956" width="50.42578125" style="145" customWidth="1"/>
    <col min="8957" max="8960" width="7.7109375" style="145" customWidth="1"/>
    <col min="8961" max="8961" width="10.140625" style="145" customWidth="1"/>
    <col min="8962" max="8965" width="7.7109375" style="145" customWidth="1"/>
    <col min="8966" max="8966" width="31.7109375" style="145" bestFit="1" customWidth="1"/>
    <col min="8967" max="9210" width="9.140625" style="145"/>
    <col min="9211" max="9211" width="5.85546875" style="145" customWidth="1"/>
    <col min="9212" max="9212" width="50.42578125" style="145" customWidth="1"/>
    <col min="9213" max="9216" width="7.7109375" style="145" customWidth="1"/>
    <col min="9217" max="9217" width="10.140625" style="145" customWidth="1"/>
    <col min="9218" max="9221" width="7.7109375" style="145" customWidth="1"/>
    <col min="9222" max="9222" width="31.7109375" style="145" bestFit="1" customWidth="1"/>
    <col min="9223" max="9466" width="9.140625" style="145"/>
    <col min="9467" max="9467" width="5.85546875" style="145" customWidth="1"/>
    <col min="9468" max="9468" width="50.42578125" style="145" customWidth="1"/>
    <col min="9469" max="9472" width="7.7109375" style="145" customWidth="1"/>
    <col min="9473" max="9473" width="10.140625" style="145" customWidth="1"/>
    <col min="9474" max="9477" width="7.7109375" style="145" customWidth="1"/>
    <col min="9478" max="9478" width="31.7109375" style="145" bestFit="1" customWidth="1"/>
    <col min="9479" max="9722" width="9.140625" style="145"/>
    <col min="9723" max="9723" width="5.85546875" style="145" customWidth="1"/>
    <col min="9724" max="9724" width="50.42578125" style="145" customWidth="1"/>
    <col min="9725" max="9728" width="7.7109375" style="145" customWidth="1"/>
    <col min="9729" max="9729" width="10.140625" style="145" customWidth="1"/>
    <col min="9730" max="9733" width="7.7109375" style="145" customWidth="1"/>
    <col min="9734" max="9734" width="31.7109375" style="145" bestFit="1" customWidth="1"/>
    <col min="9735" max="9978" width="9.140625" style="145"/>
    <col min="9979" max="9979" width="5.85546875" style="145" customWidth="1"/>
    <col min="9980" max="9980" width="50.42578125" style="145" customWidth="1"/>
    <col min="9981" max="9984" width="7.7109375" style="145" customWidth="1"/>
    <col min="9985" max="9985" width="10.140625" style="145" customWidth="1"/>
    <col min="9986" max="9989" width="7.7109375" style="145" customWidth="1"/>
    <col min="9990" max="9990" width="31.7109375" style="145" bestFit="1" customWidth="1"/>
    <col min="9991" max="10234" width="9.140625" style="145"/>
    <col min="10235" max="10235" width="5.85546875" style="145" customWidth="1"/>
    <col min="10236" max="10236" width="50.42578125" style="145" customWidth="1"/>
    <col min="10237" max="10240" width="7.7109375" style="145" customWidth="1"/>
    <col min="10241" max="10241" width="10.140625" style="145" customWidth="1"/>
    <col min="10242" max="10245" width="7.7109375" style="145" customWidth="1"/>
    <col min="10246" max="10246" width="31.7109375" style="145" bestFit="1" customWidth="1"/>
    <col min="10247" max="10490" width="9.140625" style="145"/>
    <col min="10491" max="10491" width="5.85546875" style="145" customWidth="1"/>
    <col min="10492" max="10492" width="50.42578125" style="145" customWidth="1"/>
    <col min="10493" max="10496" width="7.7109375" style="145" customWidth="1"/>
    <col min="10497" max="10497" width="10.140625" style="145" customWidth="1"/>
    <col min="10498" max="10501" width="7.7109375" style="145" customWidth="1"/>
    <col min="10502" max="10502" width="31.7109375" style="145" bestFit="1" customWidth="1"/>
    <col min="10503" max="10746" width="9.140625" style="145"/>
    <col min="10747" max="10747" width="5.85546875" style="145" customWidth="1"/>
    <col min="10748" max="10748" width="50.42578125" style="145" customWidth="1"/>
    <col min="10749" max="10752" width="7.7109375" style="145" customWidth="1"/>
    <col min="10753" max="10753" width="10.140625" style="145" customWidth="1"/>
    <col min="10754" max="10757" width="7.7109375" style="145" customWidth="1"/>
    <col min="10758" max="10758" width="31.7109375" style="145" bestFit="1" customWidth="1"/>
    <col min="10759" max="11002" width="9.140625" style="145"/>
    <col min="11003" max="11003" width="5.85546875" style="145" customWidth="1"/>
    <col min="11004" max="11004" width="50.42578125" style="145" customWidth="1"/>
    <col min="11005" max="11008" width="7.7109375" style="145" customWidth="1"/>
    <col min="11009" max="11009" width="10.140625" style="145" customWidth="1"/>
    <col min="11010" max="11013" width="7.7109375" style="145" customWidth="1"/>
    <col min="11014" max="11014" width="31.7109375" style="145" bestFit="1" customWidth="1"/>
    <col min="11015" max="11258" width="9.140625" style="145"/>
    <col min="11259" max="11259" width="5.85546875" style="145" customWidth="1"/>
    <col min="11260" max="11260" width="50.42578125" style="145" customWidth="1"/>
    <col min="11261" max="11264" width="7.7109375" style="145" customWidth="1"/>
    <col min="11265" max="11265" width="10.140625" style="145" customWidth="1"/>
    <col min="11266" max="11269" width="7.7109375" style="145" customWidth="1"/>
    <col min="11270" max="11270" width="31.7109375" style="145" bestFit="1" customWidth="1"/>
    <col min="11271" max="11514" width="9.140625" style="145"/>
    <col min="11515" max="11515" width="5.85546875" style="145" customWidth="1"/>
    <col min="11516" max="11516" width="50.42578125" style="145" customWidth="1"/>
    <col min="11517" max="11520" width="7.7109375" style="145" customWidth="1"/>
    <col min="11521" max="11521" width="10.140625" style="145" customWidth="1"/>
    <col min="11522" max="11525" width="7.7109375" style="145" customWidth="1"/>
    <col min="11526" max="11526" width="31.7109375" style="145" bestFit="1" customWidth="1"/>
    <col min="11527" max="11770" width="9.140625" style="145"/>
    <col min="11771" max="11771" width="5.85546875" style="145" customWidth="1"/>
    <col min="11772" max="11772" width="50.42578125" style="145" customWidth="1"/>
    <col min="11773" max="11776" width="7.7109375" style="145" customWidth="1"/>
    <col min="11777" max="11777" width="10.140625" style="145" customWidth="1"/>
    <col min="11778" max="11781" width="7.7109375" style="145" customWidth="1"/>
    <col min="11782" max="11782" width="31.7109375" style="145" bestFit="1" customWidth="1"/>
    <col min="11783" max="12026" width="9.140625" style="145"/>
    <col min="12027" max="12027" width="5.85546875" style="145" customWidth="1"/>
    <col min="12028" max="12028" width="50.42578125" style="145" customWidth="1"/>
    <col min="12029" max="12032" width="7.7109375" style="145" customWidth="1"/>
    <col min="12033" max="12033" width="10.140625" style="145" customWidth="1"/>
    <col min="12034" max="12037" width="7.7109375" style="145" customWidth="1"/>
    <col min="12038" max="12038" width="31.7109375" style="145" bestFit="1" customWidth="1"/>
    <col min="12039" max="12282" width="9.140625" style="145"/>
    <col min="12283" max="12283" width="5.85546875" style="145" customWidth="1"/>
    <col min="12284" max="12284" width="50.42578125" style="145" customWidth="1"/>
    <col min="12285" max="12288" width="7.7109375" style="145" customWidth="1"/>
    <col min="12289" max="12289" width="10.140625" style="145" customWidth="1"/>
    <col min="12290" max="12293" width="7.7109375" style="145" customWidth="1"/>
    <col min="12294" max="12294" width="31.7109375" style="145" bestFit="1" customWidth="1"/>
    <col min="12295" max="12538" width="9.140625" style="145"/>
    <col min="12539" max="12539" width="5.85546875" style="145" customWidth="1"/>
    <col min="12540" max="12540" width="50.42578125" style="145" customWidth="1"/>
    <col min="12541" max="12544" width="7.7109375" style="145" customWidth="1"/>
    <col min="12545" max="12545" width="10.140625" style="145" customWidth="1"/>
    <col min="12546" max="12549" width="7.7109375" style="145" customWidth="1"/>
    <col min="12550" max="12550" width="31.7109375" style="145" bestFit="1" customWidth="1"/>
    <col min="12551" max="12794" width="9.140625" style="145"/>
    <col min="12795" max="12795" width="5.85546875" style="145" customWidth="1"/>
    <col min="12796" max="12796" width="50.42578125" style="145" customWidth="1"/>
    <col min="12797" max="12800" width="7.7109375" style="145" customWidth="1"/>
    <col min="12801" max="12801" width="10.140625" style="145" customWidth="1"/>
    <col min="12802" max="12805" width="7.7109375" style="145" customWidth="1"/>
    <col min="12806" max="12806" width="31.7109375" style="145" bestFit="1" customWidth="1"/>
    <col min="12807" max="13050" width="9.140625" style="145"/>
    <col min="13051" max="13051" width="5.85546875" style="145" customWidth="1"/>
    <col min="13052" max="13052" width="50.42578125" style="145" customWidth="1"/>
    <col min="13053" max="13056" width="7.7109375" style="145" customWidth="1"/>
    <col min="13057" max="13057" width="10.140625" style="145" customWidth="1"/>
    <col min="13058" max="13061" width="7.7109375" style="145" customWidth="1"/>
    <col min="13062" max="13062" width="31.7109375" style="145" bestFit="1" customWidth="1"/>
    <col min="13063" max="13306" width="9.140625" style="145"/>
    <col min="13307" max="13307" width="5.85546875" style="145" customWidth="1"/>
    <col min="13308" max="13308" width="50.42578125" style="145" customWidth="1"/>
    <col min="13309" max="13312" width="7.7109375" style="145" customWidth="1"/>
    <col min="13313" max="13313" width="10.140625" style="145" customWidth="1"/>
    <col min="13314" max="13317" width="7.7109375" style="145" customWidth="1"/>
    <col min="13318" max="13318" width="31.7109375" style="145" bestFit="1" customWidth="1"/>
    <col min="13319" max="13562" width="9.140625" style="145"/>
    <col min="13563" max="13563" width="5.85546875" style="145" customWidth="1"/>
    <col min="13564" max="13564" width="50.42578125" style="145" customWidth="1"/>
    <col min="13565" max="13568" width="7.7109375" style="145" customWidth="1"/>
    <col min="13569" max="13569" width="10.140625" style="145" customWidth="1"/>
    <col min="13570" max="13573" width="7.7109375" style="145" customWidth="1"/>
    <col min="13574" max="13574" width="31.7109375" style="145" bestFit="1" customWidth="1"/>
    <col min="13575" max="13818" width="9.140625" style="145"/>
    <col min="13819" max="13819" width="5.85546875" style="145" customWidth="1"/>
    <col min="13820" max="13820" width="50.42578125" style="145" customWidth="1"/>
    <col min="13821" max="13824" width="7.7109375" style="145" customWidth="1"/>
    <col min="13825" max="13825" width="10.140625" style="145" customWidth="1"/>
    <col min="13826" max="13829" width="7.7109375" style="145" customWidth="1"/>
    <col min="13830" max="13830" width="31.7109375" style="145" bestFit="1" customWidth="1"/>
    <col min="13831" max="14074" width="9.140625" style="145"/>
    <col min="14075" max="14075" width="5.85546875" style="145" customWidth="1"/>
    <col min="14076" max="14076" width="50.42578125" style="145" customWidth="1"/>
    <col min="14077" max="14080" width="7.7109375" style="145" customWidth="1"/>
    <col min="14081" max="14081" width="10.140625" style="145" customWidth="1"/>
    <col min="14082" max="14085" width="7.7109375" style="145" customWidth="1"/>
    <col min="14086" max="14086" width="31.7109375" style="145" bestFit="1" customWidth="1"/>
    <col min="14087" max="14330" width="9.140625" style="145"/>
    <col min="14331" max="14331" width="5.85546875" style="145" customWidth="1"/>
    <col min="14332" max="14332" width="50.42578125" style="145" customWidth="1"/>
    <col min="14333" max="14336" width="7.7109375" style="145" customWidth="1"/>
    <col min="14337" max="14337" width="10.140625" style="145" customWidth="1"/>
    <col min="14338" max="14341" width="7.7109375" style="145" customWidth="1"/>
    <col min="14342" max="14342" width="31.7109375" style="145" bestFit="1" customWidth="1"/>
    <col min="14343" max="14586" width="9.140625" style="145"/>
    <col min="14587" max="14587" width="5.85546875" style="145" customWidth="1"/>
    <col min="14588" max="14588" width="50.42578125" style="145" customWidth="1"/>
    <col min="14589" max="14592" width="7.7109375" style="145" customWidth="1"/>
    <col min="14593" max="14593" width="10.140625" style="145" customWidth="1"/>
    <col min="14594" max="14597" width="7.7109375" style="145" customWidth="1"/>
    <col min="14598" max="14598" width="31.7109375" style="145" bestFit="1" customWidth="1"/>
    <col min="14599" max="14842" width="9.140625" style="145"/>
    <col min="14843" max="14843" width="5.85546875" style="145" customWidth="1"/>
    <col min="14844" max="14844" width="50.42578125" style="145" customWidth="1"/>
    <col min="14845" max="14848" width="7.7109375" style="145" customWidth="1"/>
    <col min="14849" max="14849" width="10.140625" style="145" customWidth="1"/>
    <col min="14850" max="14853" width="7.7109375" style="145" customWidth="1"/>
    <col min="14854" max="14854" width="31.7109375" style="145" bestFit="1" customWidth="1"/>
    <col min="14855" max="15098" width="9.140625" style="145"/>
    <col min="15099" max="15099" width="5.85546875" style="145" customWidth="1"/>
    <col min="15100" max="15100" width="50.42578125" style="145" customWidth="1"/>
    <col min="15101" max="15104" width="7.7109375" style="145" customWidth="1"/>
    <col min="15105" max="15105" width="10.140625" style="145" customWidth="1"/>
    <col min="15106" max="15109" width="7.7109375" style="145" customWidth="1"/>
    <col min="15110" max="15110" width="31.7109375" style="145" bestFit="1" customWidth="1"/>
    <col min="15111" max="15354" width="9.140625" style="145"/>
    <col min="15355" max="15355" width="5.85546875" style="145" customWidth="1"/>
    <col min="15356" max="15356" width="50.42578125" style="145" customWidth="1"/>
    <col min="15357" max="15360" width="7.7109375" style="145" customWidth="1"/>
    <col min="15361" max="15361" width="10.140625" style="145" customWidth="1"/>
    <col min="15362" max="15365" width="7.7109375" style="145" customWidth="1"/>
    <col min="15366" max="15366" width="31.7109375" style="145" bestFit="1" customWidth="1"/>
    <col min="15367" max="15610" width="9.140625" style="145"/>
    <col min="15611" max="15611" width="5.85546875" style="145" customWidth="1"/>
    <col min="15612" max="15612" width="50.42578125" style="145" customWidth="1"/>
    <col min="15613" max="15616" width="7.7109375" style="145" customWidth="1"/>
    <col min="15617" max="15617" width="10.140625" style="145" customWidth="1"/>
    <col min="15618" max="15621" width="7.7109375" style="145" customWidth="1"/>
    <col min="15622" max="15622" width="31.7109375" style="145" bestFit="1" customWidth="1"/>
    <col min="15623" max="15866" width="9.140625" style="145"/>
    <col min="15867" max="15867" width="5.85546875" style="145" customWidth="1"/>
    <col min="15868" max="15868" width="50.42578125" style="145" customWidth="1"/>
    <col min="15869" max="15872" width="7.7109375" style="145" customWidth="1"/>
    <col min="15873" max="15873" width="10.140625" style="145" customWidth="1"/>
    <col min="15874" max="15877" width="7.7109375" style="145" customWidth="1"/>
    <col min="15878" max="15878" width="31.7109375" style="145" bestFit="1" customWidth="1"/>
    <col min="15879" max="16122" width="9.140625" style="145"/>
    <col min="16123" max="16123" width="5.85546875" style="145" customWidth="1"/>
    <col min="16124" max="16124" width="50.42578125" style="145" customWidth="1"/>
    <col min="16125" max="16128" width="7.7109375" style="145" customWidth="1"/>
    <col min="16129" max="16129" width="10.140625" style="145" customWidth="1"/>
    <col min="16130" max="16133" width="7.7109375" style="145" customWidth="1"/>
    <col min="16134" max="16134" width="31.7109375" style="145" bestFit="1" customWidth="1"/>
    <col min="16135" max="16384" width="9.140625" style="145"/>
  </cols>
  <sheetData>
    <row r="1" spans="1:8" s="364" customFormat="1">
      <c r="A1" s="367" t="s">
        <v>201</v>
      </c>
      <c r="B1" s="365"/>
      <c r="C1" s="401"/>
      <c r="D1" s="366"/>
      <c r="F1" s="365"/>
      <c r="G1" s="365"/>
      <c r="H1" s="365"/>
    </row>
    <row r="3" spans="1:8">
      <c r="A3" s="145" t="s">
        <v>284</v>
      </c>
    </row>
    <row r="4" spans="1:8">
      <c r="A4" s="145" t="s">
        <v>259</v>
      </c>
      <c r="B4" s="151" t="s">
        <v>287</v>
      </c>
      <c r="C4" s="402"/>
    </row>
    <row r="5" spans="1:8" ht="22.5">
      <c r="A5" s="145" t="s">
        <v>219</v>
      </c>
      <c r="B5" s="359" t="s">
        <v>214</v>
      </c>
      <c r="C5" s="369" t="s">
        <v>202</v>
      </c>
      <c r="E5" s="341" t="s">
        <v>6</v>
      </c>
      <c r="F5" s="341"/>
      <c r="G5" s="341"/>
    </row>
    <row r="6" spans="1:8" ht="33.75">
      <c r="A6" s="370" t="s">
        <v>32</v>
      </c>
      <c r="B6" s="381" t="s">
        <v>21</v>
      </c>
      <c r="C6" s="343" t="s">
        <v>81</v>
      </c>
      <c r="D6" s="343" t="s">
        <v>77</v>
      </c>
      <c r="E6" s="344" t="s">
        <v>82</v>
      </c>
      <c r="F6" s="382" t="s">
        <v>83</v>
      </c>
      <c r="G6" s="345" t="s">
        <v>84</v>
      </c>
    </row>
    <row r="7" spans="1:8" ht="15" customHeight="1">
      <c r="A7" s="370" t="s">
        <v>222</v>
      </c>
      <c r="B7" s="342" t="s">
        <v>223</v>
      </c>
      <c r="C7" s="382" t="s">
        <v>87</v>
      </c>
      <c r="D7" s="343" t="s">
        <v>224</v>
      </c>
      <c r="E7" s="344" t="s">
        <v>225</v>
      </c>
      <c r="F7" s="388">
        <v>10.62</v>
      </c>
      <c r="G7" s="345">
        <f t="shared" ref="G7:G19" si="0">TRUNC(E7*F7,2)</f>
        <v>0.08</v>
      </c>
    </row>
    <row r="8" spans="1:8" ht="30" customHeight="1">
      <c r="A8" s="370" t="s">
        <v>226</v>
      </c>
      <c r="B8" s="342" t="s">
        <v>227</v>
      </c>
      <c r="C8" s="382" t="s">
        <v>87</v>
      </c>
      <c r="D8" s="343" t="s">
        <v>224</v>
      </c>
      <c r="E8" s="344" t="s">
        <v>228</v>
      </c>
      <c r="F8" s="388">
        <v>103.29</v>
      </c>
      <c r="G8" s="345">
        <f t="shared" si="0"/>
        <v>0.06</v>
      </c>
    </row>
    <row r="9" spans="1:8" ht="37.5" customHeight="1">
      <c r="A9" s="370" t="s">
        <v>229</v>
      </c>
      <c r="B9" s="342" t="s">
        <v>230</v>
      </c>
      <c r="C9" s="382" t="s">
        <v>87</v>
      </c>
      <c r="D9" s="343" t="s">
        <v>224</v>
      </c>
      <c r="E9" s="344" t="s">
        <v>231</v>
      </c>
      <c r="F9" s="347">
        <v>532.5</v>
      </c>
      <c r="G9" s="345">
        <f t="shared" si="0"/>
        <v>0.03</v>
      </c>
    </row>
    <row r="10" spans="1:8" ht="15" customHeight="1">
      <c r="A10" s="370" t="s">
        <v>232</v>
      </c>
      <c r="B10" s="342" t="s">
        <v>233</v>
      </c>
      <c r="C10" s="382" t="s">
        <v>87</v>
      </c>
      <c r="D10" s="343" t="s">
        <v>224</v>
      </c>
      <c r="E10" s="344" t="s">
        <v>234</v>
      </c>
      <c r="F10" s="388">
        <v>6.74</v>
      </c>
      <c r="G10" s="345">
        <f t="shared" si="0"/>
        <v>0.06</v>
      </c>
    </row>
    <row r="11" spans="1:8" ht="15" customHeight="1">
      <c r="A11" s="370" t="s">
        <v>235</v>
      </c>
      <c r="B11" s="342" t="s">
        <v>236</v>
      </c>
      <c r="C11" s="382" t="s">
        <v>87</v>
      </c>
      <c r="D11" s="343" t="s">
        <v>198</v>
      </c>
      <c r="E11" s="344" t="s">
        <v>237</v>
      </c>
      <c r="F11" s="388">
        <v>14.79</v>
      </c>
      <c r="G11" s="345">
        <f t="shared" si="0"/>
        <v>0.02</v>
      </c>
    </row>
    <row r="12" spans="1:8" ht="15" customHeight="1">
      <c r="A12" s="370" t="s">
        <v>238</v>
      </c>
      <c r="B12" s="342" t="s">
        <v>239</v>
      </c>
      <c r="C12" s="382" t="s">
        <v>87</v>
      </c>
      <c r="D12" s="343" t="s">
        <v>224</v>
      </c>
      <c r="E12" s="344" t="s">
        <v>240</v>
      </c>
      <c r="F12" s="388">
        <v>8.7899999999999991</v>
      </c>
      <c r="G12" s="345">
        <f t="shared" si="0"/>
        <v>0.02</v>
      </c>
    </row>
    <row r="13" spans="1:8" ht="15" customHeight="1">
      <c r="A13" s="370" t="s">
        <v>241</v>
      </c>
      <c r="B13" s="342" t="s">
        <v>242</v>
      </c>
      <c r="C13" s="382" t="s">
        <v>87</v>
      </c>
      <c r="D13" s="343" t="s">
        <v>224</v>
      </c>
      <c r="E13" s="344" t="s">
        <v>237</v>
      </c>
      <c r="F13" s="347">
        <v>26.5</v>
      </c>
      <c r="G13" s="345">
        <f t="shared" si="0"/>
        <v>0.04</v>
      </c>
    </row>
    <row r="14" spans="1:8" ht="15" customHeight="1">
      <c r="A14" s="370" t="s">
        <v>243</v>
      </c>
      <c r="B14" s="342" t="s">
        <v>244</v>
      </c>
      <c r="C14" s="382" t="s">
        <v>87</v>
      </c>
      <c r="D14" s="343" t="s">
        <v>224</v>
      </c>
      <c r="E14" s="344" t="s">
        <v>237</v>
      </c>
      <c r="F14" s="388">
        <v>11.95</v>
      </c>
      <c r="G14" s="345">
        <f t="shared" si="0"/>
        <v>0.01</v>
      </c>
    </row>
    <row r="15" spans="1:8" ht="15" customHeight="1">
      <c r="A15" s="370" t="s">
        <v>245</v>
      </c>
      <c r="B15" s="342" t="s">
        <v>246</v>
      </c>
      <c r="C15" s="382" t="s">
        <v>87</v>
      </c>
      <c r="D15" s="343" t="s">
        <v>224</v>
      </c>
      <c r="E15" s="344" t="s">
        <v>247</v>
      </c>
      <c r="F15" s="388">
        <v>401.46</v>
      </c>
      <c r="G15" s="345">
        <f t="shared" si="0"/>
        <v>0.02</v>
      </c>
    </row>
    <row r="16" spans="1:8" ht="15" customHeight="1">
      <c r="A16" s="370" t="s">
        <v>248</v>
      </c>
      <c r="B16" s="342" t="s">
        <v>249</v>
      </c>
      <c r="C16" s="382" t="s">
        <v>87</v>
      </c>
      <c r="D16" s="343" t="s">
        <v>224</v>
      </c>
      <c r="E16" s="344" t="s">
        <v>250</v>
      </c>
      <c r="F16" s="388">
        <v>127.63</v>
      </c>
      <c r="G16" s="345">
        <f t="shared" si="0"/>
        <v>0.03</v>
      </c>
    </row>
    <row r="17" spans="1:9" ht="30" customHeight="1">
      <c r="A17" s="370" t="s">
        <v>251</v>
      </c>
      <c r="B17" s="342" t="s">
        <v>252</v>
      </c>
      <c r="C17" s="382" t="s">
        <v>87</v>
      </c>
      <c r="D17" s="343" t="s">
        <v>224</v>
      </c>
      <c r="E17" s="344" t="s">
        <v>253</v>
      </c>
      <c r="F17" s="347">
        <v>549</v>
      </c>
      <c r="G17" s="345">
        <f t="shared" si="0"/>
        <v>0.02</v>
      </c>
    </row>
    <row r="18" spans="1:9" ht="30" customHeight="1">
      <c r="A18" s="370" t="s">
        <v>254</v>
      </c>
      <c r="B18" s="342" t="s">
        <v>255</v>
      </c>
      <c r="C18" s="382" t="s">
        <v>87</v>
      </c>
      <c r="D18" s="343" t="s">
        <v>224</v>
      </c>
      <c r="E18" s="344" t="s">
        <v>256</v>
      </c>
      <c r="F18" s="388">
        <v>192.31</v>
      </c>
      <c r="G18" s="345">
        <f t="shared" si="0"/>
        <v>0.03</v>
      </c>
    </row>
    <row r="19" spans="1:9" ht="30" customHeight="1">
      <c r="A19" s="370" t="s">
        <v>257</v>
      </c>
      <c r="B19" s="342" t="s">
        <v>258</v>
      </c>
      <c r="C19" s="382" t="s">
        <v>87</v>
      </c>
      <c r="D19" s="343" t="s">
        <v>224</v>
      </c>
      <c r="E19" s="344" t="s">
        <v>253</v>
      </c>
      <c r="F19" s="388">
        <v>544.62</v>
      </c>
      <c r="G19" s="345">
        <f t="shared" si="0"/>
        <v>0.02</v>
      </c>
    </row>
    <row r="20" spans="1:9">
      <c r="D20" s="372"/>
      <c r="E20" s="352"/>
      <c r="F20" s="349" t="s">
        <v>90</v>
      </c>
      <c r="G20" s="345"/>
    </row>
    <row r="21" spans="1:9">
      <c r="D21" s="372"/>
      <c r="E21" s="352"/>
      <c r="F21" s="349" t="s">
        <v>91</v>
      </c>
      <c r="G21" s="345">
        <f>SUM(G7:G19)</f>
        <v>0.44000000000000006</v>
      </c>
    </row>
    <row r="22" spans="1:9">
      <c r="A22" s="340"/>
      <c r="D22" s="372"/>
      <c r="E22" s="352"/>
      <c r="F22" s="349" t="s">
        <v>92</v>
      </c>
      <c r="G22" s="380">
        <f>SUM(G20:G21)</f>
        <v>0.44000000000000006</v>
      </c>
      <c r="H22" s="392"/>
    </row>
    <row r="23" spans="1:9">
      <c r="A23" s="377"/>
      <c r="B23" s="378"/>
      <c r="C23" s="404"/>
      <c r="D23" s="379"/>
      <c r="E23" s="377"/>
      <c r="F23" s="378"/>
      <c r="G23" s="378"/>
      <c r="H23" s="378"/>
      <c r="I23" s="377"/>
    </row>
    <row r="25" spans="1:9" ht="15" customHeight="1">
      <c r="A25" s="145" t="s">
        <v>284</v>
      </c>
    </row>
    <row r="26" spans="1:9" ht="15" customHeight="1">
      <c r="A26" s="145" t="s">
        <v>259</v>
      </c>
      <c r="B26" s="376" t="s">
        <v>286</v>
      </c>
      <c r="C26" s="402"/>
    </row>
    <row r="27" spans="1:9" ht="15" customHeight="1">
      <c r="A27" s="145" t="s">
        <v>219</v>
      </c>
      <c r="B27" s="359" t="s">
        <v>216</v>
      </c>
      <c r="C27" s="369" t="s">
        <v>202</v>
      </c>
      <c r="E27" s="341" t="s">
        <v>6</v>
      </c>
      <c r="F27" s="341"/>
      <c r="G27" s="341"/>
    </row>
    <row r="28" spans="1:9" ht="33.75">
      <c r="A28" s="370" t="s">
        <v>32</v>
      </c>
      <c r="B28" s="381" t="s">
        <v>21</v>
      </c>
      <c r="C28" s="343" t="s">
        <v>81</v>
      </c>
      <c r="D28" s="343" t="s">
        <v>77</v>
      </c>
      <c r="E28" s="344" t="s">
        <v>82</v>
      </c>
      <c r="F28" s="382" t="s">
        <v>83</v>
      </c>
      <c r="G28" s="345" t="s">
        <v>84</v>
      </c>
    </row>
    <row r="29" spans="1:9" ht="15" customHeight="1">
      <c r="A29" s="370" t="s">
        <v>85</v>
      </c>
      <c r="B29" s="342" t="s">
        <v>86</v>
      </c>
      <c r="C29" s="382" t="s">
        <v>87</v>
      </c>
      <c r="D29" s="343" t="s">
        <v>260</v>
      </c>
      <c r="E29" s="344" t="s">
        <v>261</v>
      </c>
      <c r="F29" s="347">
        <v>10.8</v>
      </c>
      <c r="G29" s="345">
        <f t="shared" ref="G29:G35" si="1">TRUNC(E29*F29,2)</f>
        <v>0.14000000000000001</v>
      </c>
    </row>
    <row r="30" spans="1:9" ht="30" customHeight="1">
      <c r="A30" s="370" t="s">
        <v>88</v>
      </c>
      <c r="B30" s="342" t="s">
        <v>89</v>
      </c>
      <c r="C30" s="382" t="s">
        <v>87</v>
      </c>
      <c r="D30" s="343" t="s">
        <v>260</v>
      </c>
      <c r="E30" s="344" t="s">
        <v>262</v>
      </c>
      <c r="F30" s="347">
        <v>57.6</v>
      </c>
      <c r="G30" s="345">
        <f t="shared" si="1"/>
        <v>0.09</v>
      </c>
    </row>
    <row r="31" spans="1:9" ht="30" customHeight="1">
      <c r="A31" s="370" t="s">
        <v>263</v>
      </c>
      <c r="B31" s="342" t="s">
        <v>264</v>
      </c>
      <c r="C31" s="382" t="s">
        <v>87</v>
      </c>
      <c r="D31" s="343" t="s">
        <v>224</v>
      </c>
      <c r="E31" s="344" t="s">
        <v>265</v>
      </c>
      <c r="F31" s="347">
        <v>1.34</v>
      </c>
      <c r="G31" s="345">
        <f t="shared" si="1"/>
        <v>0.14000000000000001</v>
      </c>
    </row>
    <row r="32" spans="1:9" ht="15" customHeight="1">
      <c r="A32" s="370" t="s">
        <v>266</v>
      </c>
      <c r="B32" s="342" t="s">
        <v>267</v>
      </c>
      <c r="C32" s="382" t="s">
        <v>87</v>
      </c>
      <c r="D32" s="343" t="s">
        <v>224</v>
      </c>
      <c r="E32" s="344" t="s">
        <v>268</v>
      </c>
      <c r="F32" s="347">
        <v>204</v>
      </c>
      <c r="G32" s="345">
        <f t="shared" si="1"/>
        <v>0.25</v>
      </c>
    </row>
    <row r="33" spans="1:9" ht="33.75">
      <c r="A33" s="370" t="s">
        <v>269</v>
      </c>
      <c r="B33" s="342" t="s">
        <v>270</v>
      </c>
      <c r="C33" s="382" t="s">
        <v>87</v>
      </c>
      <c r="D33" s="343" t="s">
        <v>224</v>
      </c>
      <c r="E33" s="344" t="s">
        <v>271</v>
      </c>
      <c r="F33" s="347">
        <v>141</v>
      </c>
      <c r="G33" s="345">
        <f t="shared" si="1"/>
        <v>0.1</v>
      </c>
    </row>
    <row r="34" spans="1:9" ht="30" customHeight="1">
      <c r="A34" s="370" t="s">
        <v>272</v>
      </c>
      <c r="B34" s="342" t="s">
        <v>273</v>
      </c>
      <c r="C34" s="382" t="s">
        <v>87</v>
      </c>
      <c r="D34" s="343" t="s">
        <v>224</v>
      </c>
      <c r="E34" s="344" t="s">
        <v>274</v>
      </c>
      <c r="F34" s="347">
        <v>35.64</v>
      </c>
      <c r="G34" s="345">
        <f t="shared" si="1"/>
        <v>0.09</v>
      </c>
    </row>
    <row r="35" spans="1:9" ht="33.75">
      <c r="A35" s="370" t="s">
        <v>275</v>
      </c>
      <c r="B35" s="342" t="s">
        <v>276</v>
      </c>
      <c r="C35" s="382" t="s">
        <v>87</v>
      </c>
      <c r="D35" s="343" t="s">
        <v>224</v>
      </c>
      <c r="E35" s="344" t="s">
        <v>277</v>
      </c>
      <c r="F35" s="347">
        <v>160.5</v>
      </c>
      <c r="G35" s="345">
        <f t="shared" si="1"/>
        <v>0.17</v>
      </c>
    </row>
    <row r="36" spans="1:9" ht="15" customHeight="1">
      <c r="D36" s="372"/>
      <c r="E36" s="352"/>
      <c r="F36" s="349" t="s">
        <v>90</v>
      </c>
      <c r="G36" s="345"/>
    </row>
    <row r="37" spans="1:9" ht="15" customHeight="1">
      <c r="D37" s="372"/>
      <c r="E37" s="352"/>
      <c r="F37" s="349" t="s">
        <v>91</v>
      </c>
      <c r="G37" s="345">
        <f>SUM(G29:G35)</f>
        <v>0.98</v>
      </c>
    </row>
    <row r="38" spans="1:9" ht="15" customHeight="1">
      <c r="A38" s="340"/>
      <c r="D38" s="372"/>
      <c r="E38" s="352"/>
      <c r="F38" s="349" t="s">
        <v>92</v>
      </c>
      <c r="G38" s="380">
        <f>SUM(G36:G37)</f>
        <v>0.98</v>
      </c>
      <c r="H38" s="392"/>
    </row>
    <row r="39" spans="1:9">
      <c r="A39" s="377"/>
      <c r="B39" s="378"/>
      <c r="C39" s="404"/>
      <c r="D39" s="379"/>
      <c r="E39" s="377"/>
      <c r="F39" s="378"/>
      <c r="G39" s="378"/>
      <c r="H39" s="378"/>
      <c r="I39" s="377"/>
    </row>
    <row r="41" spans="1:9" ht="15" customHeight="1">
      <c r="A41" s="145" t="s">
        <v>284</v>
      </c>
    </row>
    <row r="42" spans="1:9" ht="15" customHeight="1">
      <c r="A42" s="145" t="s">
        <v>259</v>
      </c>
      <c r="B42" s="376" t="s">
        <v>285</v>
      </c>
      <c r="C42" s="402"/>
    </row>
    <row r="43" spans="1:9" ht="33.75">
      <c r="A43" s="145" t="s">
        <v>219</v>
      </c>
      <c r="B43" s="359" t="s">
        <v>218</v>
      </c>
      <c r="C43" s="369" t="s">
        <v>202</v>
      </c>
      <c r="E43" s="341" t="s">
        <v>6</v>
      </c>
      <c r="F43" s="341"/>
      <c r="G43" s="341"/>
    </row>
    <row r="44" spans="1:9" ht="33.75">
      <c r="A44" s="370" t="s">
        <v>32</v>
      </c>
      <c r="B44" s="381" t="s">
        <v>21</v>
      </c>
      <c r="C44" s="343" t="s">
        <v>81</v>
      </c>
      <c r="D44" s="343" t="s">
        <v>77</v>
      </c>
      <c r="E44" s="344" t="s">
        <v>82</v>
      </c>
      <c r="F44" s="382" t="s">
        <v>83</v>
      </c>
      <c r="G44" s="345" t="s">
        <v>84</v>
      </c>
    </row>
    <row r="45" spans="1:9" ht="15" customHeight="1">
      <c r="A45" s="370" t="s">
        <v>203</v>
      </c>
      <c r="B45" s="342" t="s">
        <v>204</v>
      </c>
      <c r="C45" s="382" t="s">
        <v>98</v>
      </c>
      <c r="D45" s="343" t="s">
        <v>202</v>
      </c>
      <c r="E45" s="344" t="s">
        <v>261</v>
      </c>
      <c r="F45" s="347">
        <f>10.6/118.57%</f>
        <v>8.9398667453824743</v>
      </c>
      <c r="G45" s="345">
        <f>TRUNC(E45*F45,2)</f>
        <v>0.12</v>
      </c>
    </row>
    <row r="46" spans="1:9" ht="15" customHeight="1">
      <c r="D46" s="372"/>
      <c r="E46" s="352"/>
      <c r="F46" s="349" t="s">
        <v>90</v>
      </c>
      <c r="G46" s="345">
        <f>G45</f>
        <v>0.12</v>
      </c>
    </row>
    <row r="47" spans="1:9" ht="15" customHeight="1">
      <c r="D47" s="372"/>
      <c r="E47" s="352"/>
      <c r="F47" s="349" t="s">
        <v>91</v>
      </c>
      <c r="G47" s="345"/>
    </row>
    <row r="48" spans="1:9" ht="15" customHeight="1">
      <c r="A48" s="340"/>
      <c r="D48" s="372"/>
      <c r="E48" s="352"/>
      <c r="F48" s="349" t="s">
        <v>92</v>
      </c>
      <c r="G48" s="380">
        <f>SUM(G46:G47)</f>
        <v>0.12</v>
      </c>
      <c r="H48" s="392"/>
    </row>
    <row r="49" spans="1:9">
      <c r="A49" s="377"/>
      <c r="B49" s="378"/>
      <c r="C49" s="404"/>
      <c r="D49" s="379"/>
      <c r="E49" s="377"/>
      <c r="F49" s="378"/>
      <c r="G49" s="378"/>
      <c r="H49" s="378"/>
      <c r="I49" s="377"/>
    </row>
    <row r="50" spans="1:9" s="364" customFormat="1">
      <c r="B50" s="365"/>
      <c r="C50" s="401"/>
      <c r="D50" s="366"/>
      <c r="F50" s="365"/>
      <c r="G50" s="365"/>
      <c r="H50" s="365"/>
    </row>
    <row r="51" spans="1:9" ht="15" customHeight="1">
      <c r="A51" s="145" t="s">
        <v>284</v>
      </c>
    </row>
    <row r="52" spans="1:9" ht="15" customHeight="1">
      <c r="A52" s="145" t="s">
        <v>259</v>
      </c>
      <c r="B52" s="415" t="s">
        <v>321</v>
      </c>
      <c r="C52" s="416"/>
    </row>
    <row r="53" spans="1:9" ht="22.5">
      <c r="A53" s="145" t="s">
        <v>219</v>
      </c>
      <c r="B53" s="396" t="s">
        <v>320</v>
      </c>
      <c r="C53" s="369" t="s">
        <v>202</v>
      </c>
      <c r="E53" s="341" t="s">
        <v>6</v>
      </c>
      <c r="F53" s="341"/>
      <c r="G53" s="341"/>
    </row>
    <row r="54" spans="1:9" ht="33.75">
      <c r="A54" s="370" t="s">
        <v>32</v>
      </c>
      <c r="B54" s="381" t="s">
        <v>21</v>
      </c>
      <c r="C54" s="343" t="s">
        <v>81</v>
      </c>
      <c r="D54" s="343" t="s">
        <v>77</v>
      </c>
      <c r="E54" s="398" t="s">
        <v>82</v>
      </c>
      <c r="F54" s="382" t="s">
        <v>83</v>
      </c>
      <c r="G54" s="345" t="s">
        <v>84</v>
      </c>
    </row>
    <row r="55" spans="1:9" ht="15" customHeight="1">
      <c r="A55" s="407">
        <v>6111</v>
      </c>
      <c r="B55" s="408" t="s">
        <v>289</v>
      </c>
      <c r="C55" s="413" t="s">
        <v>98</v>
      </c>
      <c r="D55" s="343" t="s">
        <v>202</v>
      </c>
      <c r="E55" s="414">
        <v>1.7100000000000001E-2</v>
      </c>
      <c r="F55" s="358">
        <f>10.92/118.57%</f>
        <v>9.2097495150543978</v>
      </c>
      <c r="G55" s="345">
        <f>TRUNC(E55*F55,2)</f>
        <v>0.15</v>
      </c>
    </row>
    <row r="56" spans="1:9" ht="15" customHeight="1">
      <c r="D56" s="372"/>
      <c r="E56" s="352"/>
      <c r="F56" s="349" t="s">
        <v>90</v>
      </c>
      <c r="G56" s="345">
        <f>G55</f>
        <v>0.15</v>
      </c>
    </row>
    <row r="57" spans="1:9" ht="15" customHeight="1">
      <c r="D57" s="372"/>
      <c r="E57" s="352"/>
      <c r="F57" s="349" t="s">
        <v>91</v>
      </c>
      <c r="G57" s="345"/>
    </row>
    <row r="58" spans="1:9" ht="15" customHeight="1">
      <c r="A58" s="340"/>
      <c r="D58" s="372"/>
      <c r="E58" s="352"/>
      <c r="F58" s="349" t="s">
        <v>92</v>
      </c>
      <c r="G58" s="380">
        <f>SUM(G56:G57)</f>
        <v>0.15</v>
      </c>
      <c r="H58" s="392"/>
    </row>
    <row r="59" spans="1:9">
      <c r="A59" s="377"/>
      <c r="B59" s="378"/>
      <c r="C59" s="404"/>
      <c r="D59" s="379"/>
      <c r="E59" s="377"/>
      <c r="F59" s="378"/>
      <c r="G59" s="378"/>
      <c r="H59" s="378"/>
      <c r="I59" s="377"/>
    </row>
    <row r="61" spans="1:9">
      <c r="A61" s="145" t="s">
        <v>284</v>
      </c>
    </row>
    <row r="62" spans="1:9">
      <c r="A62" s="145" t="s">
        <v>259</v>
      </c>
      <c r="B62" s="415" t="s">
        <v>298</v>
      </c>
      <c r="C62" s="416"/>
    </row>
    <row r="63" spans="1:9" ht="22.5">
      <c r="A63" s="145" t="s">
        <v>219</v>
      </c>
      <c r="B63" s="368" t="s">
        <v>294</v>
      </c>
      <c r="C63" s="369" t="s">
        <v>202</v>
      </c>
      <c r="E63" s="341" t="s">
        <v>6</v>
      </c>
      <c r="F63" s="341"/>
      <c r="G63" s="341"/>
    </row>
    <row r="64" spans="1:9" ht="33.75">
      <c r="A64" s="370" t="s">
        <v>32</v>
      </c>
      <c r="B64" s="381" t="s">
        <v>21</v>
      </c>
      <c r="C64" s="343" t="s">
        <v>81</v>
      </c>
      <c r="D64" s="343" t="s">
        <v>77</v>
      </c>
      <c r="E64" s="388" t="s">
        <v>82</v>
      </c>
      <c r="F64" s="382" t="s">
        <v>83</v>
      </c>
      <c r="G64" s="345" t="s">
        <v>84</v>
      </c>
    </row>
    <row r="65" spans="1:9" ht="15" customHeight="1">
      <c r="A65" s="407">
        <v>4094</v>
      </c>
      <c r="B65" s="408" t="s">
        <v>299</v>
      </c>
      <c r="C65" s="413" t="s">
        <v>98</v>
      </c>
      <c r="D65" s="343" t="s">
        <v>202</v>
      </c>
      <c r="E65" s="414">
        <v>4.1000000000000003E-3</v>
      </c>
      <c r="F65" s="358">
        <f>16.13/118.57%</f>
        <v>13.603778358775406</v>
      </c>
      <c r="G65" s="345">
        <f>TRUNC(E65*F65,2)</f>
        <v>0.05</v>
      </c>
    </row>
    <row r="66" spans="1:9" ht="15" customHeight="1">
      <c r="D66" s="372"/>
      <c r="E66" s="352"/>
      <c r="F66" s="349" t="s">
        <v>90</v>
      </c>
      <c r="G66" s="345">
        <f>G65</f>
        <v>0.05</v>
      </c>
    </row>
    <row r="67" spans="1:9" ht="15" customHeight="1">
      <c r="D67" s="372"/>
      <c r="E67" s="352"/>
      <c r="F67" s="349" t="s">
        <v>91</v>
      </c>
      <c r="G67" s="345"/>
    </row>
    <row r="68" spans="1:9" ht="15" customHeight="1">
      <c r="A68" s="340"/>
      <c r="D68" s="372"/>
      <c r="E68" s="352"/>
      <c r="F68" s="349" t="s">
        <v>92</v>
      </c>
      <c r="G68" s="380">
        <f>SUM(G66:G67)</f>
        <v>0.05</v>
      </c>
      <c r="H68" s="392"/>
    </row>
    <row r="69" spans="1:9">
      <c r="A69" s="377"/>
      <c r="B69" s="378"/>
      <c r="C69" s="404"/>
      <c r="D69" s="379"/>
      <c r="E69" s="377"/>
      <c r="F69" s="378"/>
      <c r="G69" s="378"/>
      <c r="H69" s="378"/>
      <c r="I69" s="377"/>
    </row>
    <row r="71" spans="1:9" ht="15" customHeight="1">
      <c r="A71" s="145" t="s">
        <v>284</v>
      </c>
    </row>
    <row r="72" spans="1:9" ht="15" customHeight="1">
      <c r="A72" s="145" t="s">
        <v>259</v>
      </c>
      <c r="B72" s="415" t="s">
        <v>333</v>
      </c>
      <c r="C72" s="416"/>
    </row>
    <row r="73" spans="1:9" ht="33.75">
      <c r="A73" s="145" t="s">
        <v>219</v>
      </c>
      <c r="B73" s="444" t="s">
        <v>330</v>
      </c>
      <c r="C73" s="369" t="s">
        <v>202</v>
      </c>
      <c r="E73" s="341" t="s">
        <v>6</v>
      </c>
      <c r="F73" s="341"/>
      <c r="G73" s="341"/>
    </row>
    <row r="74" spans="1:9" ht="33.75">
      <c r="A74" s="370" t="s">
        <v>32</v>
      </c>
      <c r="B74" s="381" t="s">
        <v>21</v>
      </c>
      <c r="C74" s="343" t="s">
        <v>81</v>
      </c>
      <c r="D74" s="343" t="s">
        <v>77</v>
      </c>
      <c r="E74" s="398" t="s">
        <v>82</v>
      </c>
      <c r="F74" s="382" t="s">
        <v>83</v>
      </c>
      <c r="G74" s="345" t="s">
        <v>84</v>
      </c>
    </row>
    <row r="75" spans="1:9" ht="15" customHeight="1">
      <c r="A75" s="407">
        <v>20020</v>
      </c>
      <c r="B75" s="408" t="s">
        <v>331</v>
      </c>
      <c r="C75" s="413" t="s">
        <v>98</v>
      </c>
      <c r="D75" s="343" t="s">
        <v>202</v>
      </c>
      <c r="E75" s="414">
        <v>4.1000000000000003E-3</v>
      </c>
      <c r="F75" s="358">
        <f>11.38/118.57%</f>
        <v>9.5977059964577887</v>
      </c>
      <c r="G75" s="345">
        <f>TRUNC(E75*F75,2)</f>
        <v>0.03</v>
      </c>
    </row>
    <row r="76" spans="1:9" ht="15" customHeight="1">
      <c r="D76" s="372"/>
      <c r="E76" s="352"/>
      <c r="F76" s="349" t="s">
        <v>90</v>
      </c>
      <c r="G76" s="345">
        <f>G75</f>
        <v>0.03</v>
      </c>
    </row>
    <row r="77" spans="1:9" ht="15" customHeight="1">
      <c r="D77" s="372"/>
      <c r="E77" s="352"/>
      <c r="F77" s="349" t="s">
        <v>91</v>
      </c>
      <c r="G77" s="345"/>
    </row>
    <row r="78" spans="1:9" ht="15" customHeight="1">
      <c r="A78" s="340"/>
      <c r="D78" s="372"/>
      <c r="E78" s="352"/>
      <c r="F78" s="349" t="s">
        <v>92</v>
      </c>
      <c r="G78" s="380">
        <f>SUM(G76:G77)</f>
        <v>0.03</v>
      </c>
      <c r="H78" s="392"/>
    </row>
    <row r="79" spans="1:9">
      <c r="A79" s="377"/>
      <c r="B79" s="378"/>
      <c r="C79" s="404"/>
      <c r="D79" s="379"/>
      <c r="E79" s="377"/>
      <c r="F79" s="378"/>
      <c r="G79" s="378"/>
      <c r="H79" s="378"/>
      <c r="I79" s="377"/>
    </row>
    <row r="81" spans="1:9" ht="15" customHeight="1">
      <c r="A81" s="145" t="s">
        <v>284</v>
      </c>
    </row>
    <row r="82" spans="1:9" ht="15" customHeight="1">
      <c r="A82" s="145" t="s">
        <v>259</v>
      </c>
      <c r="B82" s="415" t="s">
        <v>300</v>
      </c>
      <c r="C82" s="416"/>
    </row>
    <row r="83" spans="1:9" ht="30" customHeight="1">
      <c r="A83" s="145" t="s">
        <v>219</v>
      </c>
      <c r="B83" s="368" t="s">
        <v>301</v>
      </c>
      <c r="C83" s="369" t="s">
        <v>202</v>
      </c>
      <c r="E83" s="341" t="s">
        <v>6</v>
      </c>
      <c r="F83" s="341"/>
      <c r="G83" s="341"/>
    </row>
    <row r="84" spans="1:9" ht="33.75">
      <c r="A84" s="370" t="s">
        <v>32</v>
      </c>
      <c r="B84" s="381" t="s">
        <v>21</v>
      </c>
      <c r="C84" s="343" t="s">
        <v>81</v>
      </c>
      <c r="D84" s="343" t="s">
        <v>77</v>
      </c>
      <c r="E84" s="388" t="s">
        <v>82</v>
      </c>
      <c r="F84" s="382" t="s">
        <v>83</v>
      </c>
      <c r="G84" s="345" t="s">
        <v>84</v>
      </c>
    </row>
    <row r="85" spans="1:9" ht="15" customHeight="1">
      <c r="A85" s="407">
        <v>1213</v>
      </c>
      <c r="B85" s="408" t="s">
        <v>278</v>
      </c>
      <c r="C85" s="413" t="s">
        <v>98</v>
      </c>
      <c r="D85" s="343" t="s">
        <v>202</v>
      </c>
      <c r="E85" s="414">
        <v>9.2999999999999992E-3</v>
      </c>
      <c r="F85" s="358">
        <f>14.68/118.57%</f>
        <v>12.380872058699502</v>
      </c>
      <c r="G85" s="345">
        <f>TRUNC(E85*F85,2)</f>
        <v>0.11</v>
      </c>
    </row>
    <row r="86" spans="1:9" ht="15" customHeight="1">
      <c r="D86" s="372"/>
      <c r="E86" s="352"/>
      <c r="F86" s="349" t="s">
        <v>90</v>
      </c>
      <c r="G86" s="345">
        <f>G85</f>
        <v>0.11</v>
      </c>
    </row>
    <row r="87" spans="1:9" ht="15" customHeight="1">
      <c r="D87" s="372"/>
      <c r="E87" s="352"/>
      <c r="F87" s="349" t="s">
        <v>91</v>
      </c>
      <c r="G87" s="345"/>
    </row>
    <row r="88" spans="1:9" ht="15" customHeight="1">
      <c r="A88" s="340"/>
      <c r="D88" s="372"/>
      <c r="E88" s="352"/>
      <c r="F88" s="349" t="s">
        <v>92</v>
      </c>
      <c r="G88" s="380">
        <f>SUM(G86:G87)</f>
        <v>0.11</v>
      </c>
      <c r="H88" s="392"/>
    </row>
    <row r="89" spans="1:9">
      <c r="A89" s="377"/>
      <c r="B89" s="378"/>
      <c r="C89" s="404"/>
      <c r="D89" s="379"/>
      <c r="E89" s="377"/>
      <c r="F89" s="378"/>
      <c r="G89" s="378"/>
      <c r="H89" s="378"/>
      <c r="I89" s="377"/>
    </row>
    <row r="91" spans="1:9" ht="15" customHeight="1">
      <c r="A91" s="145" t="s">
        <v>284</v>
      </c>
    </row>
    <row r="92" spans="1:9" ht="15" customHeight="1">
      <c r="A92" s="145" t="s">
        <v>259</v>
      </c>
      <c r="B92" s="415" t="s">
        <v>324</v>
      </c>
      <c r="C92" s="416"/>
    </row>
    <row r="93" spans="1:9" ht="22.5">
      <c r="A93" s="145" t="s">
        <v>219</v>
      </c>
      <c r="B93" s="396" t="s">
        <v>323</v>
      </c>
      <c r="C93" s="369" t="s">
        <v>202</v>
      </c>
      <c r="E93" s="341" t="s">
        <v>6</v>
      </c>
      <c r="F93" s="341"/>
      <c r="G93" s="341"/>
    </row>
    <row r="94" spans="1:9" ht="33.75">
      <c r="A94" s="370" t="s">
        <v>32</v>
      </c>
      <c r="B94" s="381" t="s">
        <v>21</v>
      </c>
      <c r="C94" s="343" t="s">
        <v>81</v>
      </c>
      <c r="D94" s="343" t="s">
        <v>77</v>
      </c>
      <c r="E94" s="398" t="s">
        <v>82</v>
      </c>
      <c r="F94" s="382" t="s">
        <v>83</v>
      </c>
      <c r="G94" s="345" t="s">
        <v>84</v>
      </c>
    </row>
    <row r="95" spans="1:9" ht="15" customHeight="1">
      <c r="A95" s="407">
        <v>4750</v>
      </c>
      <c r="B95" s="408" t="s">
        <v>322</v>
      </c>
      <c r="C95" s="413" t="s">
        <v>98</v>
      </c>
      <c r="D95" s="343" t="s">
        <v>202</v>
      </c>
      <c r="E95" s="414">
        <v>1.7100000000000001E-2</v>
      </c>
      <c r="F95" s="358">
        <f>14.68/118.57%</f>
        <v>12.380872058699502</v>
      </c>
      <c r="G95" s="345">
        <f>TRUNC(E95*F95,2)</f>
        <v>0.21</v>
      </c>
    </row>
    <row r="96" spans="1:9" ht="15" customHeight="1">
      <c r="D96" s="372"/>
      <c r="E96" s="352"/>
      <c r="F96" s="349" t="s">
        <v>90</v>
      </c>
      <c r="G96" s="345">
        <f>G95</f>
        <v>0.21</v>
      </c>
    </row>
    <row r="97" spans="1:9" ht="15" customHeight="1">
      <c r="D97" s="372"/>
      <c r="E97" s="352"/>
      <c r="F97" s="349" t="s">
        <v>91</v>
      </c>
      <c r="G97" s="345"/>
    </row>
    <row r="98" spans="1:9" ht="15" customHeight="1">
      <c r="A98" s="340"/>
      <c r="D98" s="372"/>
      <c r="E98" s="352"/>
      <c r="F98" s="349" t="s">
        <v>92</v>
      </c>
      <c r="G98" s="380">
        <f>SUM(G96:G97)</f>
        <v>0.21</v>
      </c>
      <c r="H98" s="392"/>
    </row>
    <row r="99" spans="1:9">
      <c r="A99" s="377"/>
      <c r="B99" s="378"/>
      <c r="C99" s="404"/>
      <c r="D99" s="379"/>
      <c r="E99" s="377"/>
      <c r="F99" s="378"/>
      <c r="G99" s="378"/>
      <c r="H99" s="378"/>
      <c r="I99" s="377"/>
    </row>
    <row r="101" spans="1:9">
      <c r="A101" s="145" t="s">
        <v>284</v>
      </c>
    </row>
    <row r="102" spans="1:9">
      <c r="A102" s="145" t="s">
        <v>259</v>
      </c>
      <c r="B102" s="151" t="s">
        <v>335</v>
      </c>
      <c r="C102" s="402"/>
    </row>
    <row r="103" spans="1:9" ht="38.25" customHeight="1">
      <c r="A103" s="145" t="s">
        <v>219</v>
      </c>
      <c r="B103" s="631" t="s">
        <v>334</v>
      </c>
      <c r="C103" s="631"/>
      <c r="D103" s="631"/>
      <c r="E103" s="369" t="s">
        <v>327</v>
      </c>
      <c r="F103" s="341"/>
      <c r="G103" s="341"/>
    </row>
    <row r="104" spans="1:9" ht="33.75">
      <c r="A104" s="370" t="s">
        <v>32</v>
      </c>
      <c r="B104" s="381" t="s">
        <v>21</v>
      </c>
      <c r="C104" s="343" t="s">
        <v>81</v>
      </c>
      <c r="D104" s="343" t="s">
        <v>77</v>
      </c>
      <c r="E104" s="398" t="s">
        <v>82</v>
      </c>
      <c r="F104" s="382" t="s">
        <v>83</v>
      </c>
      <c r="G104" s="345" t="s">
        <v>84</v>
      </c>
    </row>
    <row r="105" spans="1:9" ht="15" customHeight="1">
      <c r="A105" s="650">
        <v>88281</v>
      </c>
      <c r="B105" s="639" t="s">
        <v>329</v>
      </c>
      <c r="C105" s="345" t="s">
        <v>98</v>
      </c>
      <c r="D105" s="675" t="s">
        <v>202</v>
      </c>
      <c r="E105" s="677">
        <v>1</v>
      </c>
      <c r="F105" s="347">
        <f>COMPOSIÇÕES!G701</f>
        <v>9.6199999999999992</v>
      </c>
      <c r="G105" s="345">
        <f t="shared" ref="G105:G109" si="2">TRUNC(E105*F105,2)</f>
        <v>9.6199999999999992</v>
      </c>
    </row>
    <row r="106" spans="1:9" ht="15" customHeight="1">
      <c r="A106" s="651"/>
      <c r="B106" s="640"/>
      <c r="C106" s="345" t="s">
        <v>87</v>
      </c>
      <c r="D106" s="676"/>
      <c r="E106" s="678"/>
      <c r="F106" s="347">
        <f>COMPOSIÇÕES!G702</f>
        <v>3.14</v>
      </c>
      <c r="G106" s="345">
        <f>TRUNC(E105*F106,2)</f>
        <v>3.14</v>
      </c>
    </row>
    <row r="107" spans="1:9" ht="48.75" customHeight="1">
      <c r="A107" s="370" t="s">
        <v>336</v>
      </c>
      <c r="B107" s="397" t="s">
        <v>340</v>
      </c>
      <c r="C107" s="398" t="s">
        <v>343</v>
      </c>
      <c r="D107" s="343" t="s">
        <v>202</v>
      </c>
      <c r="E107" s="348">
        <v>1</v>
      </c>
      <c r="F107" s="398">
        <f>G124</f>
        <v>11.15</v>
      </c>
      <c r="G107" s="346">
        <f t="shared" si="2"/>
        <v>11.15</v>
      </c>
    </row>
    <row r="108" spans="1:9" ht="53.25" customHeight="1">
      <c r="A108" s="370" t="s">
        <v>338</v>
      </c>
      <c r="B108" s="397" t="s">
        <v>341</v>
      </c>
      <c r="C108" s="398" t="s">
        <v>343</v>
      </c>
      <c r="D108" s="343" t="s">
        <v>202</v>
      </c>
      <c r="E108" s="348">
        <v>1</v>
      </c>
      <c r="F108" s="347">
        <f>G135</f>
        <v>3.9</v>
      </c>
      <c r="G108" s="346">
        <f t="shared" si="2"/>
        <v>3.9</v>
      </c>
    </row>
    <row r="109" spans="1:9" ht="51.75" customHeight="1">
      <c r="A109" s="370" t="s">
        <v>339</v>
      </c>
      <c r="B109" s="397" t="s">
        <v>342</v>
      </c>
      <c r="C109" s="398" t="s">
        <v>343</v>
      </c>
      <c r="D109" s="343" t="s">
        <v>202</v>
      </c>
      <c r="E109" s="348">
        <v>1</v>
      </c>
      <c r="F109" s="347">
        <f>G146</f>
        <v>0.79</v>
      </c>
      <c r="G109" s="346">
        <f t="shared" si="2"/>
        <v>0.79</v>
      </c>
    </row>
    <row r="110" spans="1:9" ht="14.1" customHeight="1">
      <c r="D110" s="372"/>
      <c r="E110" s="352"/>
      <c r="F110" s="349" t="s">
        <v>90</v>
      </c>
      <c r="G110" s="345">
        <f>G105</f>
        <v>9.6199999999999992</v>
      </c>
    </row>
    <row r="111" spans="1:9" ht="14.1" customHeight="1">
      <c r="D111" s="372"/>
      <c r="E111" s="352"/>
      <c r="F111" s="349" t="s">
        <v>91</v>
      </c>
      <c r="G111" s="345">
        <f>SUM(G106:G109)</f>
        <v>18.98</v>
      </c>
    </row>
    <row r="112" spans="1:9" ht="14.1" customHeight="1">
      <c r="A112" s="340"/>
      <c r="D112" s="372"/>
      <c r="E112" s="352"/>
      <c r="F112" s="349" t="s">
        <v>92</v>
      </c>
      <c r="G112" s="350">
        <f>SUM(G110:G111)</f>
        <v>28.6</v>
      </c>
      <c r="H112" s="392"/>
    </row>
    <row r="113" spans="1:9">
      <c r="A113" s="377"/>
      <c r="B113" s="378"/>
      <c r="C113" s="404"/>
      <c r="D113" s="379"/>
      <c r="E113" s="377"/>
      <c r="F113" s="378"/>
      <c r="G113" s="378"/>
      <c r="H113" s="378"/>
      <c r="I113" s="377"/>
    </row>
    <row r="116" spans="1:9">
      <c r="A116" s="145" t="s">
        <v>284</v>
      </c>
    </row>
    <row r="117" spans="1:9">
      <c r="A117" s="145" t="s">
        <v>259</v>
      </c>
      <c r="B117" s="151" t="s">
        <v>344</v>
      </c>
      <c r="C117" s="402"/>
    </row>
    <row r="118" spans="1:9" ht="39" customHeight="1">
      <c r="A118" s="145" t="s">
        <v>219</v>
      </c>
      <c r="B118" s="631" t="s">
        <v>337</v>
      </c>
      <c r="C118" s="631"/>
      <c r="D118" s="631"/>
      <c r="E118" s="369" t="s">
        <v>327</v>
      </c>
      <c r="F118" s="341"/>
      <c r="G118" s="341"/>
    </row>
    <row r="119" spans="1:9" ht="33.75">
      <c r="A119" s="370" t="s">
        <v>32</v>
      </c>
      <c r="B119" s="381" t="s">
        <v>21</v>
      </c>
      <c r="C119" s="343" t="s">
        <v>81</v>
      </c>
      <c r="D119" s="343" t="s">
        <v>77</v>
      </c>
      <c r="E119" s="398" t="s">
        <v>82</v>
      </c>
      <c r="F119" s="382" t="s">
        <v>83</v>
      </c>
      <c r="G119" s="345" t="s">
        <v>84</v>
      </c>
    </row>
    <row r="120" spans="1:9" ht="28.5" customHeight="1">
      <c r="A120" s="370" t="s">
        <v>345</v>
      </c>
      <c r="B120" s="397" t="s">
        <v>346</v>
      </c>
      <c r="C120" s="398" t="s">
        <v>343</v>
      </c>
      <c r="D120" s="343" t="s">
        <v>77</v>
      </c>
      <c r="E120" s="445">
        <v>4.0000000000000003E-5</v>
      </c>
      <c r="F120" s="446">
        <v>27342.65</v>
      </c>
      <c r="G120" s="346">
        <f t="shared" ref="G120:G121" si="3">TRUNC(E120*F120,2)</f>
        <v>1.0900000000000001</v>
      </c>
    </row>
    <row r="121" spans="1:9" ht="47.25" customHeight="1">
      <c r="A121" s="370" t="s">
        <v>347</v>
      </c>
      <c r="B121" s="397" t="s">
        <v>348</v>
      </c>
      <c r="C121" s="398" t="s">
        <v>343</v>
      </c>
      <c r="D121" s="343" t="s">
        <v>77</v>
      </c>
      <c r="E121" s="445">
        <v>4.0000000000000003E-5</v>
      </c>
      <c r="F121" s="446" t="s">
        <v>349</v>
      </c>
      <c r="G121" s="346">
        <f t="shared" si="3"/>
        <v>10.06</v>
      </c>
    </row>
    <row r="122" spans="1:9" ht="14.1" customHeight="1">
      <c r="D122" s="372"/>
      <c r="E122" s="352"/>
      <c r="F122" s="349" t="s">
        <v>90</v>
      </c>
      <c r="G122" s="345"/>
    </row>
    <row r="123" spans="1:9" ht="14.1" customHeight="1">
      <c r="D123" s="372"/>
      <c r="E123" s="352"/>
      <c r="F123" s="349" t="s">
        <v>91</v>
      </c>
      <c r="G123" s="346">
        <f>SUM(G120:G121)</f>
        <v>11.15</v>
      </c>
    </row>
    <row r="124" spans="1:9" ht="14.1" customHeight="1">
      <c r="D124" s="372"/>
      <c r="E124" s="352"/>
      <c r="F124" s="349" t="s">
        <v>92</v>
      </c>
      <c r="G124" s="380">
        <f>SUM(G122:G123)</f>
        <v>11.15</v>
      </c>
    </row>
    <row r="125" spans="1:9">
      <c r="A125" s="378"/>
      <c r="B125" s="378"/>
      <c r="C125" s="378"/>
      <c r="D125" s="378"/>
      <c r="E125" s="378"/>
      <c r="F125" s="378"/>
      <c r="G125" s="378"/>
      <c r="H125" s="378"/>
      <c r="I125" s="378"/>
    </row>
    <row r="127" spans="1:9">
      <c r="A127" s="145" t="s">
        <v>284</v>
      </c>
    </row>
    <row r="128" spans="1:9">
      <c r="A128" s="145" t="s">
        <v>259</v>
      </c>
      <c r="B128" s="151" t="s">
        <v>350</v>
      </c>
      <c r="C128" s="402"/>
    </row>
    <row r="129" spans="1:9" ht="41.25" customHeight="1">
      <c r="A129" s="145" t="s">
        <v>219</v>
      </c>
      <c r="B129" s="631" t="s">
        <v>341</v>
      </c>
      <c r="C129" s="631"/>
      <c r="D129" s="631"/>
      <c r="E129" s="369" t="s">
        <v>327</v>
      </c>
      <c r="F129" s="341"/>
      <c r="G129" s="341"/>
    </row>
    <row r="130" spans="1:9" ht="33.75">
      <c r="A130" s="370" t="s">
        <v>32</v>
      </c>
      <c r="B130" s="381" t="s">
        <v>21</v>
      </c>
      <c r="C130" s="343" t="s">
        <v>81</v>
      </c>
      <c r="D130" s="343" t="s">
        <v>77</v>
      </c>
      <c r="E130" s="398" t="s">
        <v>82</v>
      </c>
      <c r="F130" s="382" t="s">
        <v>83</v>
      </c>
      <c r="G130" s="345" t="s">
        <v>84</v>
      </c>
    </row>
    <row r="131" spans="1:9" ht="22.5">
      <c r="A131" s="370" t="s">
        <v>345</v>
      </c>
      <c r="B131" s="397" t="s">
        <v>346</v>
      </c>
      <c r="C131" s="398" t="s">
        <v>343</v>
      </c>
      <c r="D131" s="343" t="s">
        <v>77</v>
      </c>
      <c r="E131" s="447">
        <v>1.4E-5</v>
      </c>
      <c r="F131" s="446">
        <v>27342.65</v>
      </c>
      <c r="G131" s="346">
        <f t="shared" ref="G131:G132" si="4">TRUNC(E131*F131,2)</f>
        <v>0.38</v>
      </c>
    </row>
    <row r="132" spans="1:9" ht="45">
      <c r="A132" s="370" t="s">
        <v>347</v>
      </c>
      <c r="B132" s="397" t="s">
        <v>348</v>
      </c>
      <c r="C132" s="398" t="s">
        <v>343</v>
      </c>
      <c r="D132" s="343" t="s">
        <v>77</v>
      </c>
      <c r="E132" s="447">
        <v>1.4E-5</v>
      </c>
      <c r="F132" s="446" t="s">
        <v>349</v>
      </c>
      <c r="G132" s="346">
        <f t="shared" si="4"/>
        <v>3.52</v>
      </c>
    </row>
    <row r="133" spans="1:9">
      <c r="D133" s="372"/>
      <c r="E133" s="352"/>
      <c r="F133" s="349" t="s">
        <v>90</v>
      </c>
      <c r="G133" s="345"/>
    </row>
    <row r="134" spans="1:9">
      <c r="D134" s="372"/>
      <c r="E134" s="352"/>
      <c r="F134" s="349" t="s">
        <v>91</v>
      </c>
      <c r="G134" s="346">
        <f>SUM(G131:G132)</f>
        <v>3.9</v>
      </c>
    </row>
    <row r="135" spans="1:9">
      <c r="D135" s="372"/>
      <c r="E135" s="352"/>
      <c r="F135" s="349" t="s">
        <v>92</v>
      </c>
      <c r="G135" s="350">
        <f>SUM(G133:G134)</f>
        <v>3.9</v>
      </c>
    </row>
    <row r="136" spans="1:9">
      <c r="A136" s="378"/>
      <c r="B136" s="378"/>
      <c r="C136" s="378"/>
      <c r="D136" s="378"/>
      <c r="E136" s="378"/>
      <c r="F136" s="378"/>
      <c r="G136" s="378"/>
      <c r="H136" s="378"/>
      <c r="I136" s="378"/>
    </row>
    <row r="138" spans="1:9">
      <c r="A138" s="145" t="s">
        <v>284</v>
      </c>
    </row>
    <row r="139" spans="1:9">
      <c r="A139" s="145" t="s">
        <v>259</v>
      </c>
      <c r="B139" s="151" t="s">
        <v>351</v>
      </c>
      <c r="C139" s="402"/>
    </row>
    <row r="140" spans="1:9" ht="39.75" customHeight="1">
      <c r="A140" s="145" t="s">
        <v>219</v>
      </c>
      <c r="B140" s="631" t="s">
        <v>352</v>
      </c>
      <c r="C140" s="631"/>
      <c r="D140" s="631"/>
      <c r="E140" s="369" t="s">
        <v>327</v>
      </c>
      <c r="F140" s="341"/>
      <c r="G140" s="341"/>
    </row>
    <row r="141" spans="1:9" ht="33.75">
      <c r="A141" s="370" t="s">
        <v>32</v>
      </c>
      <c r="B141" s="381" t="s">
        <v>21</v>
      </c>
      <c r="C141" s="343" t="s">
        <v>81</v>
      </c>
      <c r="D141" s="343" t="s">
        <v>77</v>
      </c>
      <c r="E141" s="398" t="s">
        <v>82</v>
      </c>
      <c r="F141" s="382" t="s">
        <v>83</v>
      </c>
      <c r="G141" s="345" t="s">
        <v>84</v>
      </c>
    </row>
    <row r="142" spans="1:9" ht="22.5">
      <c r="A142" s="370" t="s">
        <v>345</v>
      </c>
      <c r="B142" s="397" t="s">
        <v>346</v>
      </c>
      <c r="C142" s="398" t="s">
        <v>343</v>
      </c>
      <c r="D142" s="343" t="s">
        <v>77</v>
      </c>
      <c r="E142" s="448">
        <v>2.9000000000000002E-6</v>
      </c>
      <c r="F142" s="446">
        <v>27342.65</v>
      </c>
      <c r="G142" s="346">
        <f t="shared" ref="G142:G143" si="5">TRUNC(E142*F142,2)</f>
        <v>7.0000000000000007E-2</v>
      </c>
    </row>
    <row r="143" spans="1:9" ht="45">
      <c r="A143" s="370" t="s">
        <v>347</v>
      </c>
      <c r="B143" s="397" t="s">
        <v>348</v>
      </c>
      <c r="C143" s="398" t="s">
        <v>343</v>
      </c>
      <c r="D143" s="343" t="s">
        <v>77</v>
      </c>
      <c r="E143" s="448">
        <v>2.9000000000000002E-6</v>
      </c>
      <c r="F143" s="446" t="s">
        <v>349</v>
      </c>
      <c r="G143" s="346">
        <f t="shared" si="5"/>
        <v>0.72</v>
      </c>
    </row>
    <row r="144" spans="1:9">
      <c r="D144" s="372"/>
      <c r="E144" s="352"/>
      <c r="F144" s="349" t="s">
        <v>90</v>
      </c>
      <c r="G144" s="345"/>
    </row>
    <row r="145" spans="1:9">
      <c r="D145" s="372"/>
      <c r="E145" s="352"/>
      <c r="F145" s="349" t="s">
        <v>91</v>
      </c>
      <c r="G145" s="346">
        <f>SUM(G142:G143)</f>
        <v>0.79</v>
      </c>
    </row>
    <row r="146" spans="1:9">
      <c r="D146" s="372"/>
      <c r="E146" s="352"/>
      <c r="F146" s="349" t="s">
        <v>92</v>
      </c>
      <c r="G146" s="350">
        <f>SUM(G144:G145)</f>
        <v>0.79</v>
      </c>
    </row>
    <row r="147" spans="1:9">
      <c r="A147" s="378"/>
      <c r="B147" s="378"/>
      <c r="C147" s="378"/>
      <c r="D147" s="378"/>
      <c r="E147" s="378"/>
      <c r="F147" s="378"/>
      <c r="G147" s="378"/>
      <c r="H147" s="378"/>
      <c r="I147" s="378"/>
    </row>
    <row r="149" spans="1:9">
      <c r="A149" s="145" t="s">
        <v>284</v>
      </c>
    </row>
    <row r="150" spans="1:9">
      <c r="A150" s="145" t="s">
        <v>259</v>
      </c>
      <c r="B150" s="151" t="s">
        <v>380</v>
      </c>
      <c r="C150" s="402"/>
    </row>
    <row r="151" spans="1:9" ht="27.75" customHeight="1">
      <c r="A151" s="145" t="s">
        <v>219</v>
      </c>
      <c r="B151" s="631" t="s">
        <v>381</v>
      </c>
      <c r="C151" s="631"/>
      <c r="D151" s="631"/>
      <c r="E151" s="482" t="s">
        <v>374</v>
      </c>
      <c r="F151" s="341"/>
      <c r="G151" s="341"/>
    </row>
    <row r="152" spans="1:9" ht="33.75">
      <c r="A152" s="370" t="s">
        <v>32</v>
      </c>
      <c r="B152" s="381" t="s">
        <v>21</v>
      </c>
      <c r="C152" s="343" t="s">
        <v>81</v>
      </c>
      <c r="D152" s="343" t="s">
        <v>77</v>
      </c>
      <c r="E152" s="406" t="s">
        <v>82</v>
      </c>
      <c r="F152" s="382" t="s">
        <v>83</v>
      </c>
      <c r="G152" s="345" t="s">
        <v>84</v>
      </c>
    </row>
    <row r="153" spans="1:9">
      <c r="A153" s="650">
        <v>88297</v>
      </c>
      <c r="B153" s="639" t="s">
        <v>382</v>
      </c>
      <c r="C153" s="345" t="s">
        <v>98</v>
      </c>
      <c r="D153" s="675" t="s">
        <v>202</v>
      </c>
      <c r="E153" s="677">
        <v>1</v>
      </c>
      <c r="F153" s="347">
        <f>G175</f>
        <v>9.51</v>
      </c>
      <c r="G153" s="346">
        <f t="shared" ref="G153" si="6">TRUNC(E153*F153,2)</f>
        <v>9.51</v>
      </c>
    </row>
    <row r="154" spans="1:9" ht="14.25" customHeight="1">
      <c r="A154" s="651"/>
      <c r="B154" s="640"/>
      <c r="C154" s="345" t="s">
        <v>87</v>
      </c>
      <c r="D154" s="676"/>
      <c r="E154" s="678"/>
      <c r="F154" s="347">
        <f>G176</f>
        <v>4.12</v>
      </c>
      <c r="G154" s="346">
        <f>TRUNC(E153*F154,2)</f>
        <v>4.12</v>
      </c>
    </row>
    <row r="155" spans="1:9" ht="38.25" customHeight="1">
      <c r="A155" s="370" t="s">
        <v>383</v>
      </c>
      <c r="B155" s="405" t="s">
        <v>390</v>
      </c>
      <c r="C155" s="406" t="s">
        <v>343</v>
      </c>
      <c r="D155" s="343" t="s">
        <v>202</v>
      </c>
      <c r="E155" s="348">
        <v>1</v>
      </c>
      <c r="F155" s="406">
        <f>G197</f>
        <v>0.64</v>
      </c>
      <c r="G155" s="346">
        <f t="shared" ref="G155:G157" si="7">TRUNC(E155*F155,2)</f>
        <v>0.64</v>
      </c>
    </row>
    <row r="156" spans="1:9" ht="36" customHeight="1">
      <c r="A156" s="370" t="s">
        <v>384</v>
      </c>
      <c r="B156" s="405" t="s">
        <v>389</v>
      </c>
      <c r="C156" s="406" t="s">
        <v>343</v>
      </c>
      <c r="D156" s="343" t="s">
        <v>202</v>
      </c>
      <c r="E156" s="348">
        <v>1</v>
      </c>
      <c r="F156" s="465">
        <f>G207</f>
        <v>0.16</v>
      </c>
      <c r="G156" s="346">
        <f t="shared" si="7"/>
        <v>0.16</v>
      </c>
    </row>
    <row r="157" spans="1:9" ht="36.75" customHeight="1">
      <c r="A157" s="370" t="s">
        <v>385</v>
      </c>
      <c r="B157" s="405" t="s">
        <v>387</v>
      </c>
      <c r="C157" s="406" t="s">
        <v>343</v>
      </c>
      <c r="D157" s="343" t="s">
        <v>202</v>
      </c>
      <c r="E157" s="348">
        <v>1</v>
      </c>
      <c r="F157" s="347">
        <f>G217</f>
        <v>0.8</v>
      </c>
      <c r="G157" s="346">
        <f t="shared" si="7"/>
        <v>0.8</v>
      </c>
    </row>
    <row r="158" spans="1:9" ht="39" customHeight="1">
      <c r="A158" s="370" t="s">
        <v>386</v>
      </c>
      <c r="B158" s="405" t="s">
        <v>388</v>
      </c>
      <c r="C158" s="406" t="s">
        <v>343</v>
      </c>
      <c r="D158" s="343" t="s">
        <v>202</v>
      </c>
      <c r="E158" s="348">
        <v>1</v>
      </c>
      <c r="F158" s="446">
        <f>G227</f>
        <v>2.5099999999999998</v>
      </c>
      <c r="G158" s="346">
        <f t="shared" ref="G158" si="8">TRUNC(E158*F158,2)</f>
        <v>2.5099999999999998</v>
      </c>
    </row>
    <row r="159" spans="1:9" ht="14.1" customHeight="1">
      <c r="D159" s="438"/>
      <c r="E159" s="483"/>
      <c r="F159" s="484" t="s">
        <v>90</v>
      </c>
      <c r="G159" s="389">
        <f>G153</f>
        <v>9.51</v>
      </c>
    </row>
    <row r="160" spans="1:9" ht="14.1" customHeight="1">
      <c r="A160" s="340"/>
      <c r="D160" s="372"/>
      <c r="E160" s="352"/>
      <c r="F160" s="349" t="s">
        <v>91</v>
      </c>
      <c r="G160" s="346">
        <f>SUM(G154:G158)</f>
        <v>8.23</v>
      </c>
      <c r="H160" s="392"/>
    </row>
    <row r="161" spans="1:9" ht="14.1" customHeight="1">
      <c r="A161" s="340"/>
      <c r="D161" s="439"/>
      <c r="E161" s="386"/>
      <c r="F161" s="349" t="s">
        <v>92</v>
      </c>
      <c r="G161" s="350">
        <f>SUM(G159:G160)</f>
        <v>17.740000000000002</v>
      </c>
      <c r="H161" s="392"/>
    </row>
    <row r="162" spans="1:9">
      <c r="A162" s="377"/>
      <c r="B162" s="378"/>
      <c r="C162" s="404"/>
      <c r="D162" s="379"/>
      <c r="E162" s="377"/>
      <c r="F162" s="378"/>
      <c r="G162" s="378"/>
      <c r="H162" s="378"/>
      <c r="I162" s="377"/>
    </row>
    <row r="164" spans="1:9">
      <c r="A164" s="145" t="s">
        <v>282</v>
      </c>
      <c r="C164" s="146"/>
      <c r="D164" s="145"/>
      <c r="E164" s="147"/>
      <c r="H164" s="145"/>
    </row>
    <row r="165" spans="1:9" ht="14.1" customHeight="1">
      <c r="A165" s="145" t="s">
        <v>35</v>
      </c>
      <c r="B165" s="376" t="s">
        <v>391</v>
      </c>
      <c r="C165" s="146"/>
      <c r="D165" s="145"/>
      <c r="E165" s="147"/>
      <c r="H165" s="145"/>
    </row>
    <row r="166" spans="1:9" ht="26.25" customHeight="1">
      <c r="A166" s="145" t="s">
        <v>219</v>
      </c>
      <c r="B166" s="630" t="s">
        <v>382</v>
      </c>
      <c r="C166" s="630"/>
      <c r="D166" s="369" t="s">
        <v>202</v>
      </c>
      <c r="H166" s="145"/>
    </row>
    <row r="167" spans="1:9" ht="33.75">
      <c r="A167" s="417" t="s">
        <v>32</v>
      </c>
      <c r="B167" s="405" t="s">
        <v>21</v>
      </c>
      <c r="C167" s="343" t="s">
        <v>81</v>
      </c>
      <c r="D167" s="343" t="s">
        <v>77</v>
      </c>
      <c r="E167" s="406" t="s">
        <v>82</v>
      </c>
      <c r="F167" s="382" t="s">
        <v>83</v>
      </c>
      <c r="G167" s="400" t="s">
        <v>84</v>
      </c>
      <c r="H167" s="145"/>
    </row>
    <row r="168" spans="1:9" ht="22.5">
      <c r="A168" s="407">
        <v>4230</v>
      </c>
      <c r="B168" s="408" t="s">
        <v>392</v>
      </c>
      <c r="C168" s="343" t="s">
        <v>98</v>
      </c>
      <c r="D168" s="409" t="s">
        <v>202</v>
      </c>
      <c r="E168" s="410">
        <v>1</v>
      </c>
      <c r="F168" s="411">
        <f>11.19/118.57%</f>
        <v>9.4374631019650845</v>
      </c>
      <c r="G168" s="412">
        <f>TRUNC(E168*F168,2)</f>
        <v>9.43</v>
      </c>
      <c r="H168" s="145"/>
    </row>
    <row r="169" spans="1:9" ht="22.5">
      <c r="A169" s="515" t="s">
        <v>205</v>
      </c>
      <c r="B169" s="405" t="s">
        <v>206</v>
      </c>
      <c r="C169" s="343" t="s">
        <v>295</v>
      </c>
      <c r="D169" s="343" t="s">
        <v>202</v>
      </c>
      <c r="E169" s="373">
        <v>1</v>
      </c>
      <c r="F169" s="375">
        <v>2.15</v>
      </c>
      <c r="G169" s="345">
        <f t="shared" ref="G169:G174" si="9">TRUNC(E169*F169,2)</f>
        <v>2.15</v>
      </c>
      <c r="H169" s="145"/>
    </row>
    <row r="170" spans="1:9" ht="22.5">
      <c r="A170" s="515" t="s">
        <v>207</v>
      </c>
      <c r="B170" s="405" t="s">
        <v>208</v>
      </c>
      <c r="C170" s="343" t="s">
        <v>295</v>
      </c>
      <c r="D170" s="343" t="s">
        <v>202</v>
      </c>
      <c r="E170" s="373">
        <v>1</v>
      </c>
      <c r="F170" s="375">
        <v>0.6</v>
      </c>
      <c r="G170" s="346">
        <f t="shared" si="9"/>
        <v>0.6</v>
      </c>
      <c r="H170" s="145"/>
    </row>
    <row r="171" spans="1:9" ht="22.5">
      <c r="A171" s="515" t="s">
        <v>209</v>
      </c>
      <c r="B171" s="405" t="s">
        <v>210</v>
      </c>
      <c r="C171" s="343" t="s">
        <v>295</v>
      </c>
      <c r="D171" s="343" t="s">
        <v>202</v>
      </c>
      <c r="E171" s="373">
        <v>1</v>
      </c>
      <c r="F171" s="375">
        <v>0.37</v>
      </c>
      <c r="G171" s="345">
        <f t="shared" si="9"/>
        <v>0.37</v>
      </c>
      <c r="H171" s="145"/>
    </row>
    <row r="172" spans="1:9" ht="22.5">
      <c r="A172" s="515" t="s">
        <v>211</v>
      </c>
      <c r="B172" s="405" t="s">
        <v>212</v>
      </c>
      <c r="C172" s="343" t="s">
        <v>295</v>
      </c>
      <c r="D172" s="343" t="s">
        <v>202</v>
      </c>
      <c r="E172" s="373">
        <v>1</v>
      </c>
      <c r="F172" s="375">
        <v>0.02</v>
      </c>
      <c r="G172" s="345">
        <f t="shared" si="9"/>
        <v>0.02</v>
      </c>
      <c r="H172" s="145"/>
    </row>
    <row r="173" spans="1:9" ht="14.1" customHeight="1">
      <c r="A173" s="515" t="s">
        <v>215</v>
      </c>
      <c r="B173" s="405" t="s">
        <v>216</v>
      </c>
      <c r="C173" s="343" t="s">
        <v>87</v>
      </c>
      <c r="D173" s="343" t="s">
        <v>202</v>
      </c>
      <c r="E173" s="373">
        <v>1</v>
      </c>
      <c r="F173" s="375">
        <f>'COMP AUX'!G38</f>
        <v>0.98</v>
      </c>
      <c r="G173" s="346">
        <f t="shared" si="9"/>
        <v>0.98</v>
      </c>
      <c r="H173" s="145"/>
    </row>
    <row r="174" spans="1:9" ht="33.75">
      <c r="A174" s="407">
        <v>95360</v>
      </c>
      <c r="B174" s="408" t="s">
        <v>393</v>
      </c>
      <c r="C174" s="343" t="s">
        <v>98</v>
      </c>
      <c r="D174" s="343" t="s">
        <v>202</v>
      </c>
      <c r="E174" s="373">
        <v>1</v>
      </c>
      <c r="F174" s="375">
        <f>G187</f>
        <v>0.08</v>
      </c>
      <c r="G174" s="346">
        <f t="shared" si="9"/>
        <v>0.08</v>
      </c>
      <c r="H174" s="145"/>
    </row>
    <row r="175" spans="1:9" ht="14.1" customHeight="1">
      <c r="C175" s="146"/>
      <c r="D175" s="437"/>
      <c r="E175" s="352"/>
      <c r="F175" s="349" t="s">
        <v>90</v>
      </c>
      <c r="G175" s="346">
        <f>G168+G174</f>
        <v>9.51</v>
      </c>
      <c r="H175" s="145"/>
    </row>
    <row r="176" spans="1:9" ht="14.1" customHeight="1">
      <c r="C176" s="146"/>
      <c r="D176" s="439"/>
      <c r="E176" s="352"/>
      <c r="F176" s="349" t="s">
        <v>91</v>
      </c>
      <c r="G176" s="346">
        <f>SUM(G169:G173)</f>
        <v>4.12</v>
      </c>
      <c r="H176" s="145"/>
    </row>
    <row r="177" spans="1:9" ht="14.1" customHeight="1">
      <c r="A177" s="384"/>
      <c r="B177" s="385"/>
      <c r="C177" s="146"/>
      <c r="D177" s="438"/>
      <c r="E177" s="352"/>
      <c r="F177" s="349" t="s">
        <v>92</v>
      </c>
      <c r="G177" s="380">
        <f>SUM(G175:G176)</f>
        <v>13.629999999999999</v>
      </c>
      <c r="H177" s="145"/>
    </row>
    <row r="178" spans="1:9">
      <c r="A178" s="377"/>
      <c r="B178" s="378"/>
      <c r="C178" s="379"/>
      <c r="D178" s="377"/>
      <c r="E178" s="378"/>
      <c r="F178" s="378"/>
      <c r="G178" s="378"/>
      <c r="H178" s="377"/>
    </row>
    <row r="180" spans="1:9">
      <c r="A180" s="145" t="s">
        <v>284</v>
      </c>
    </row>
    <row r="181" spans="1:9">
      <c r="A181" s="145" t="s">
        <v>259</v>
      </c>
      <c r="B181" s="415" t="s">
        <v>394</v>
      </c>
      <c r="C181" s="416"/>
    </row>
    <row r="182" spans="1:9" ht="28.5" customHeight="1">
      <c r="A182" s="145" t="s">
        <v>219</v>
      </c>
      <c r="B182" s="631" t="s">
        <v>393</v>
      </c>
      <c r="C182" s="631"/>
      <c r="D182" s="369" t="s">
        <v>202</v>
      </c>
      <c r="E182" s="341" t="s">
        <v>6</v>
      </c>
      <c r="F182" s="341"/>
      <c r="G182" s="341"/>
    </row>
    <row r="183" spans="1:9" ht="33.75">
      <c r="A183" s="370" t="s">
        <v>32</v>
      </c>
      <c r="B183" s="381" t="s">
        <v>21</v>
      </c>
      <c r="C183" s="343" t="s">
        <v>81</v>
      </c>
      <c r="D183" s="343" t="s">
        <v>77</v>
      </c>
      <c r="E183" s="406" t="s">
        <v>82</v>
      </c>
      <c r="F183" s="382" t="s">
        <v>83</v>
      </c>
      <c r="G183" s="345" t="s">
        <v>84</v>
      </c>
    </row>
    <row r="184" spans="1:9" ht="22.5">
      <c r="A184" s="407">
        <v>4230</v>
      </c>
      <c r="B184" s="408" t="s">
        <v>392</v>
      </c>
      <c r="C184" s="413" t="s">
        <v>98</v>
      </c>
      <c r="D184" s="343" t="s">
        <v>202</v>
      </c>
      <c r="E184" s="414">
        <v>9.2999999999999992E-3</v>
      </c>
      <c r="F184" s="411">
        <f>11.19/118.57%</f>
        <v>9.4374631019650845</v>
      </c>
      <c r="G184" s="345">
        <f>TRUNC(E184*F184,2)</f>
        <v>0.08</v>
      </c>
    </row>
    <row r="185" spans="1:9">
      <c r="D185" s="372"/>
      <c r="E185" s="352"/>
      <c r="F185" s="349" t="s">
        <v>90</v>
      </c>
      <c r="G185" s="345">
        <f>G184</f>
        <v>0.08</v>
      </c>
    </row>
    <row r="186" spans="1:9">
      <c r="D186" s="372"/>
      <c r="E186" s="352"/>
      <c r="F186" s="349" t="s">
        <v>91</v>
      </c>
      <c r="G186" s="345"/>
    </row>
    <row r="187" spans="1:9">
      <c r="A187" s="340"/>
      <c r="D187" s="372"/>
      <c r="E187" s="352"/>
      <c r="F187" s="349" t="s">
        <v>92</v>
      </c>
      <c r="G187" s="380">
        <f>SUM(G185:G186)</f>
        <v>0.08</v>
      </c>
      <c r="H187" s="392"/>
    </row>
    <row r="188" spans="1:9">
      <c r="A188" s="377"/>
      <c r="B188" s="378"/>
      <c r="C188" s="404"/>
      <c r="D188" s="379"/>
      <c r="E188" s="377"/>
      <c r="F188" s="378"/>
      <c r="G188" s="378"/>
      <c r="H188" s="378"/>
      <c r="I188" s="377"/>
    </row>
    <row r="190" spans="1:9">
      <c r="A190" s="145" t="s">
        <v>284</v>
      </c>
    </row>
    <row r="191" spans="1:9">
      <c r="A191" s="145" t="s">
        <v>259</v>
      </c>
      <c r="B191" s="415" t="s">
        <v>395</v>
      </c>
      <c r="C191" s="416"/>
    </row>
    <row r="192" spans="1:9" ht="30.75" customHeight="1">
      <c r="A192" s="145" t="s">
        <v>219</v>
      </c>
      <c r="B192" s="631" t="s">
        <v>390</v>
      </c>
      <c r="C192" s="631"/>
      <c r="D192" s="369" t="s">
        <v>202</v>
      </c>
      <c r="E192" s="341" t="s">
        <v>6</v>
      </c>
      <c r="F192" s="341"/>
      <c r="G192" s="341"/>
    </row>
    <row r="193" spans="1:9" ht="33.75">
      <c r="A193" s="370" t="s">
        <v>32</v>
      </c>
      <c r="B193" s="381" t="s">
        <v>21</v>
      </c>
      <c r="C193" s="343" t="s">
        <v>81</v>
      </c>
      <c r="D193" s="343" t="s">
        <v>77</v>
      </c>
      <c r="E193" s="406" t="s">
        <v>82</v>
      </c>
      <c r="F193" s="382" t="s">
        <v>83</v>
      </c>
      <c r="G193" s="345" t="s">
        <v>84</v>
      </c>
    </row>
    <row r="194" spans="1:9" ht="27" customHeight="1">
      <c r="A194" s="407" t="s">
        <v>396</v>
      </c>
      <c r="B194" s="408" t="s">
        <v>397</v>
      </c>
      <c r="C194" s="413" t="s">
        <v>343</v>
      </c>
      <c r="D194" s="343" t="s">
        <v>202</v>
      </c>
      <c r="E194" s="414">
        <v>5.3300000000000001E-5</v>
      </c>
      <c r="F194" s="424">
        <v>12083.1</v>
      </c>
      <c r="G194" s="345">
        <f>TRUNC(E194*F194,2)</f>
        <v>0.64</v>
      </c>
    </row>
    <row r="195" spans="1:9">
      <c r="D195" s="372"/>
      <c r="E195" s="352"/>
      <c r="F195" s="349" t="s">
        <v>90</v>
      </c>
      <c r="G195" s="345"/>
    </row>
    <row r="196" spans="1:9">
      <c r="D196" s="372"/>
      <c r="E196" s="352"/>
      <c r="F196" s="349" t="s">
        <v>91</v>
      </c>
      <c r="G196" s="345">
        <f>G194</f>
        <v>0.64</v>
      </c>
    </row>
    <row r="197" spans="1:9">
      <c r="A197" s="340"/>
      <c r="D197" s="372"/>
      <c r="E197" s="352"/>
      <c r="F197" s="349" t="s">
        <v>92</v>
      </c>
      <c r="G197" s="380">
        <f>SUM(G195:G196)</f>
        <v>0.64</v>
      </c>
      <c r="H197" s="392"/>
    </row>
    <row r="198" spans="1:9">
      <c r="A198" s="377"/>
      <c r="B198" s="378"/>
      <c r="C198" s="404"/>
      <c r="D198" s="379"/>
      <c r="E198" s="377"/>
      <c r="F198" s="378"/>
      <c r="G198" s="378"/>
      <c r="H198" s="378"/>
      <c r="I198" s="377"/>
    </row>
    <row r="200" spans="1:9">
      <c r="A200" s="145" t="s">
        <v>284</v>
      </c>
    </row>
    <row r="201" spans="1:9">
      <c r="A201" s="145" t="s">
        <v>259</v>
      </c>
      <c r="B201" s="415" t="s">
        <v>398</v>
      </c>
      <c r="C201" s="416"/>
    </row>
    <row r="202" spans="1:9" ht="27" customHeight="1">
      <c r="A202" s="145" t="s">
        <v>219</v>
      </c>
      <c r="B202" s="631" t="s">
        <v>399</v>
      </c>
      <c r="C202" s="631"/>
      <c r="D202" s="369" t="s">
        <v>202</v>
      </c>
      <c r="E202" s="341" t="s">
        <v>6</v>
      </c>
      <c r="F202" s="341"/>
      <c r="G202" s="341"/>
    </row>
    <row r="203" spans="1:9" ht="33.75">
      <c r="A203" s="370" t="s">
        <v>32</v>
      </c>
      <c r="B203" s="381" t="s">
        <v>21</v>
      </c>
      <c r="C203" s="343" t="s">
        <v>81</v>
      </c>
      <c r="D203" s="343" t="s">
        <v>77</v>
      </c>
      <c r="E203" s="465" t="s">
        <v>82</v>
      </c>
      <c r="F203" s="382" t="s">
        <v>83</v>
      </c>
      <c r="G203" s="345" t="s">
        <v>84</v>
      </c>
    </row>
    <row r="204" spans="1:9" ht="22.5">
      <c r="A204" s="407" t="s">
        <v>396</v>
      </c>
      <c r="B204" s="408" t="s">
        <v>397</v>
      </c>
      <c r="C204" s="413" t="s">
        <v>343</v>
      </c>
      <c r="D204" s="343" t="s">
        <v>202</v>
      </c>
      <c r="E204" s="414">
        <v>1.4E-5</v>
      </c>
      <c r="F204" s="424">
        <v>12083.1</v>
      </c>
      <c r="G204" s="345">
        <f>TRUNC(E204*F204,2)</f>
        <v>0.16</v>
      </c>
    </row>
    <row r="205" spans="1:9">
      <c r="D205" s="372"/>
      <c r="E205" s="352"/>
      <c r="F205" s="349" t="s">
        <v>90</v>
      </c>
      <c r="G205" s="345"/>
    </row>
    <row r="206" spans="1:9">
      <c r="D206" s="372"/>
      <c r="E206" s="352"/>
      <c r="F206" s="349" t="s">
        <v>91</v>
      </c>
      <c r="G206" s="345">
        <f>G204</f>
        <v>0.16</v>
      </c>
    </row>
    <row r="207" spans="1:9">
      <c r="A207" s="340"/>
      <c r="D207" s="372"/>
      <c r="E207" s="352"/>
      <c r="F207" s="349" t="s">
        <v>92</v>
      </c>
      <c r="G207" s="380">
        <f>SUM(G205:G206)</f>
        <v>0.16</v>
      </c>
      <c r="H207" s="392"/>
    </row>
    <row r="208" spans="1:9">
      <c r="A208" s="377"/>
      <c r="B208" s="378"/>
      <c r="C208" s="404"/>
      <c r="D208" s="379"/>
      <c r="E208" s="377"/>
      <c r="F208" s="378"/>
      <c r="G208" s="378"/>
      <c r="H208" s="378"/>
      <c r="I208" s="377"/>
    </row>
    <row r="210" spans="1:9">
      <c r="A210" s="145" t="s">
        <v>284</v>
      </c>
    </row>
    <row r="211" spans="1:9">
      <c r="A211" s="145" t="s">
        <v>259</v>
      </c>
      <c r="B211" s="415" t="s">
        <v>400</v>
      </c>
      <c r="C211" s="416"/>
    </row>
    <row r="212" spans="1:9" ht="29.25" customHeight="1">
      <c r="A212" s="145" t="s">
        <v>219</v>
      </c>
      <c r="B212" s="631" t="s">
        <v>401</v>
      </c>
      <c r="C212" s="631"/>
      <c r="D212" s="369" t="s">
        <v>202</v>
      </c>
      <c r="E212" s="341" t="s">
        <v>6</v>
      </c>
      <c r="F212" s="341"/>
      <c r="G212" s="341"/>
    </row>
    <row r="213" spans="1:9" ht="33.75">
      <c r="A213" s="370" t="s">
        <v>32</v>
      </c>
      <c r="B213" s="381" t="s">
        <v>21</v>
      </c>
      <c r="C213" s="343" t="s">
        <v>81</v>
      </c>
      <c r="D213" s="343" t="s">
        <v>77</v>
      </c>
      <c r="E213" s="465" t="s">
        <v>82</v>
      </c>
      <c r="F213" s="382" t="s">
        <v>83</v>
      </c>
      <c r="G213" s="345" t="s">
        <v>84</v>
      </c>
    </row>
    <row r="214" spans="1:9" ht="22.5">
      <c r="A214" s="407" t="s">
        <v>396</v>
      </c>
      <c r="B214" s="408" t="s">
        <v>397</v>
      </c>
      <c r="C214" s="413" t="s">
        <v>343</v>
      </c>
      <c r="D214" s="343" t="s">
        <v>202</v>
      </c>
      <c r="E214" s="414">
        <v>6.6699999999999995E-5</v>
      </c>
      <c r="F214" s="424">
        <v>12083.1</v>
      </c>
      <c r="G214" s="346">
        <f>TRUNC(E214*F214,2)</f>
        <v>0.8</v>
      </c>
    </row>
    <row r="215" spans="1:9">
      <c r="D215" s="372"/>
      <c r="E215" s="352"/>
      <c r="F215" s="349" t="s">
        <v>90</v>
      </c>
      <c r="G215" s="346"/>
    </row>
    <row r="216" spans="1:9">
      <c r="D216" s="372"/>
      <c r="E216" s="352"/>
      <c r="F216" s="349" t="s">
        <v>91</v>
      </c>
      <c r="G216" s="346">
        <f>G214</f>
        <v>0.8</v>
      </c>
    </row>
    <row r="217" spans="1:9">
      <c r="A217" s="340"/>
      <c r="D217" s="372"/>
      <c r="E217" s="352"/>
      <c r="F217" s="349" t="s">
        <v>92</v>
      </c>
      <c r="G217" s="350">
        <f>SUM(G215:G216)</f>
        <v>0.8</v>
      </c>
      <c r="H217" s="392"/>
    </row>
    <row r="218" spans="1:9">
      <c r="A218" s="377"/>
      <c r="B218" s="378"/>
      <c r="C218" s="404"/>
      <c r="D218" s="379"/>
      <c r="E218" s="377"/>
      <c r="F218" s="378"/>
      <c r="G218" s="378"/>
      <c r="H218" s="378"/>
      <c r="I218" s="377"/>
    </row>
    <row r="220" spans="1:9">
      <c r="A220" s="145" t="s">
        <v>284</v>
      </c>
    </row>
    <row r="221" spans="1:9">
      <c r="A221" s="145" t="s">
        <v>259</v>
      </c>
      <c r="B221" s="415" t="s">
        <v>402</v>
      </c>
      <c r="C221" s="416"/>
    </row>
    <row r="222" spans="1:9" ht="27.75" customHeight="1">
      <c r="A222" s="145" t="s">
        <v>219</v>
      </c>
      <c r="B222" s="631" t="s">
        <v>403</v>
      </c>
      <c r="C222" s="631"/>
      <c r="D222" s="369" t="s">
        <v>202</v>
      </c>
      <c r="E222" s="341" t="s">
        <v>6</v>
      </c>
      <c r="F222" s="341"/>
      <c r="G222" s="341"/>
    </row>
    <row r="223" spans="1:9" ht="33.75">
      <c r="A223" s="370" t="s">
        <v>32</v>
      </c>
      <c r="B223" s="381" t="s">
        <v>21</v>
      </c>
      <c r="C223" s="343" t="s">
        <v>81</v>
      </c>
      <c r="D223" s="343" t="s">
        <v>77</v>
      </c>
      <c r="E223" s="465" t="s">
        <v>82</v>
      </c>
      <c r="F223" s="382" t="s">
        <v>83</v>
      </c>
      <c r="G223" s="345" t="s">
        <v>84</v>
      </c>
    </row>
    <row r="224" spans="1:9">
      <c r="A224" s="407">
        <v>4222</v>
      </c>
      <c r="B224" s="408" t="s">
        <v>404</v>
      </c>
      <c r="C224" s="413" t="s">
        <v>343</v>
      </c>
      <c r="D224" s="343" t="s">
        <v>198</v>
      </c>
      <c r="E224" s="414">
        <v>0.59</v>
      </c>
      <c r="F224" s="424">
        <v>4.2699999999999996</v>
      </c>
      <c r="G224" s="373">
        <f>TRUNC(E224*F224,2)</f>
        <v>2.5099999999999998</v>
      </c>
    </row>
    <row r="225" spans="1:9">
      <c r="D225" s="372"/>
      <c r="E225" s="352"/>
      <c r="F225" s="349" t="s">
        <v>90</v>
      </c>
      <c r="G225" s="373"/>
    </row>
    <row r="226" spans="1:9">
      <c r="D226" s="372"/>
      <c r="E226" s="352"/>
      <c r="F226" s="349" t="s">
        <v>91</v>
      </c>
      <c r="G226" s="373">
        <f>G224</f>
        <v>2.5099999999999998</v>
      </c>
    </row>
    <row r="227" spans="1:9">
      <c r="A227" s="340"/>
      <c r="D227" s="372"/>
      <c r="E227" s="352"/>
      <c r="F227" s="349" t="s">
        <v>92</v>
      </c>
      <c r="G227" s="490">
        <f>SUM(G225:G226)</f>
        <v>2.5099999999999998</v>
      </c>
      <c r="H227" s="392"/>
    </row>
    <row r="228" spans="1:9">
      <c r="A228" s="377"/>
      <c r="B228" s="378"/>
      <c r="C228" s="404"/>
      <c r="D228" s="379"/>
      <c r="E228" s="377"/>
      <c r="F228" s="378"/>
      <c r="G228" s="378"/>
      <c r="H228" s="378"/>
      <c r="I228" s="377"/>
    </row>
    <row r="231" spans="1:9">
      <c r="A231" s="145" t="s">
        <v>284</v>
      </c>
    </row>
    <row r="232" spans="1:9">
      <c r="A232" s="145" t="s">
        <v>259</v>
      </c>
      <c r="B232" s="151" t="s">
        <v>405</v>
      </c>
      <c r="C232" s="402"/>
    </row>
    <row r="233" spans="1:9" ht="27" customHeight="1">
      <c r="A233" s="145" t="s">
        <v>219</v>
      </c>
      <c r="B233" s="631" t="s">
        <v>372</v>
      </c>
      <c r="C233" s="631"/>
      <c r="D233" s="631"/>
      <c r="E233" s="482" t="s">
        <v>374</v>
      </c>
      <c r="F233" s="341"/>
      <c r="G233" s="341"/>
    </row>
    <row r="234" spans="1:9" ht="33.75">
      <c r="A234" s="370" t="s">
        <v>32</v>
      </c>
      <c r="B234" s="381" t="s">
        <v>21</v>
      </c>
      <c r="C234" s="343" t="s">
        <v>81</v>
      </c>
      <c r="D234" s="343" t="s">
        <v>77</v>
      </c>
      <c r="E234" s="465" t="s">
        <v>82</v>
      </c>
      <c r="F234" s="382" t="s">
        <v>83</v>
      </c>
      <c r="G234" s="345" t="s">
        <v>84</v>
      </c>
    </row>
    <row r="235" spans="1:9" ht="14.1" customHeight="1">
      <c r="A235" s="650">
        <v>88297</v>
      </c>
      <c r="B235" s="639" t="s">
        <v>382</v>
      </c>
      <c r="C235" s="345" t="s">
        <v>98</v>
      </c>
      <c r="D235" s="675" t="s">
        <v>202</v>
      </c>
      <c r="E235" s="677">
        <v>1</v>
      </c>
      <c r="F235" s="347">
        <f>G175</f>
        <v>9.51</v>
      </c>
      <c r="G235" s="346">
        <f t="shared" ref="G235" si="10">TRUNC(E235*F235,2)</f>
        <v>9.51</v>
      </c>
    </row>
    <row r="236" spans="1:9" ht="14.1" customHeight="1">
      <c r="A236" s="651"/>
      <c r="B236" s="640"/>
      <c r="C236" s="345" t="s">
        <v>87</v>
      </c>
      <c r="D236" s="676"/>
      <c r="E236" s="678"/>
      <c r="F236" s="347">
        <f>G176</f>
        <v>4.12</v>
      </c>
      <c r="G236" s="346">
        <f>TRUNC(E235*F236,2)</f>
        <v>4.12</v>
      </c>
    </row>
    <row r="237" spans="1:9" ht="33.75">
      <c r="A237" s="370" t="s">
        <v>383</v>
      </c>
      <c r="B237" s="464" t="s">
        <v>390</v>
      </c>
      <c r="C237" s="465" t="s">
        <v>343</v>
      </c>
      <c r="D237" s="343" t="s">
        <v>202</v>
      </c>
      <c r="E237" s="348">
        <v>1</v>
      </c>
      <c r="F237" s="465">
        <f>G197</f>
        <v>0.64</v>
      </c>
      <c r="G237" s="346">
        <f t="shared" ref="G237:G238" si="11">TRUNC(E237*F237,2)</f>
        <v>0.64</v>
      </c>
    </row>
    <row r="238" spans="1:9" ht="33.75">
      <c r="A238" s="370" t="s">
        <v>384</v>
      </c>
      <c r="B238" s="464" t="s">
        <v>389</v>
      </c>
      <c r="C238" s="465" t="s">
        <v>343</v>
      </c>
      <c r="D238" s="343" t="s">
        <v>202</v>
      </c>
      <c r="E238" s="348">
        <v>1</v>
      </c>
      <c r="F238" s="465">
        <f>G207</f>
        <v>0.16</v>
      </c>
      <c r="G238" s="346">
        <f t="shared" si="11"/>
        <v>0.16</v>
      </c>
    </row>
    <row r="239" spans="1:9" ht="14.1" customHeight="1">
      <c r="D239" s="438"/>
      <c r="E239" s="483"/>
      <c r="F239" s="484" t="s">
        <v>90</v>
      </c>
      <c r="G239" s="389">
        <f>G235</f>
        <v>9.51</v>
      </c>
    </row>
    <row r="240" spans="1:9" ht="14.1" customHeight="1">
      <c r="A240" s="340"/>
      <c r="D240" s="372"/>
      <c r="E240" s="352"/>
      <c r="F240" s="349" t="s">
        <v>91</v>
      </c>
      <c r="G240" s="346">
        <f>SUM(G236:G238)</f>
        <v>4.92</v>
      </c>
      <c r="H240" s="365"/>
    </row>
    <row r="241" spans="1:9" ht="14.1" customHeight="1">
      <c r="A241" s="340"/>
      <c r="D241" s="439"/>
      <c r="E241" s="386"/>
      <c r="F241" s="349" t="s">
        <v>92</v>
      </c>
      <c r="G241" s="350">
        <f>SUM(G239:G240)</f>
        <v>14.43</v>
      </c>
      <c r="H241" s="392"/>
    </row>
    <row r="242" spans="1:9">
      <c r="A242" s="377"/>
      <c r="B242" s="378"/>
      <c r="C242" s="404"/>
      <c r="D242" s="379"/>
      <c r="E242" s="377"/>
      <c r="F242" s="378"/>
      <c r="G242" s="378"/>
      <c r="H242" s="378"/>
      <c r="I242" s="377"/>
    </row>
    <row r="245" spans="1:9" ht="14.1" customHeight="1">
      <c r="A245" s="145" t="s">
        <v>284</v>
      </c>
    </row>
    <row r="246" spans="1:9" ht="14.1" customHeight="1">
      <c r="A246" s="145" t="s">
        <v>259</v>
      </c>
      <c r="B246" s="151" t="s">
        <v>409</v>
      </c>
      <c r="C246" s="402"/>
    </row>
    <row r="247" spans="1:9" ht="25.5" customHeight="1">
      <c r="A247" s="145" t="s">
        <v>219</v>
      </c>
      <c r="B247" s="631" t="s">
        <v>410</v>
      </c>
      <c r="C247" s="631"/>
      <c r="D247" s="631"/>
      <c r="E247" s="369" t="s">
        <v>319</v>
      </c>
      <c r="F247" s="341"/>
      <c r="G247" s="341"/>
    </row>
    <row r="248" spans="1:9" ht="33.75">
      <c r="A248" s="370" t="s">
        <v>32</v>
      </c>
      <c r="B248" s="464" t="s">
        <v>21</v>
      </c>
      <c r="C248" s="343" t="s">
        <v>81</v>
      </c>
      <c r="D248" s="343" t="s">
        <v>77</v>
      </c>
      <c r="E248" s="465" t="s">
        <v>82</v>
      </c>
      <c r="F248" s="382" t="s">
        <v>83</v>
      </c>
      <c r="G248" s="345" t="s">
        <v>84</v>
      </c>
    </row>
    <row r="249" spans="1:9" ht="22.5">
      <c r="A249" s="466" t="s">
        <v>411</v>
      </c>
      <c r="B249" s="463" t="s">
        <v>412</v>
      </c>
      <c r="C249" s="345" t="s">
        <v>87</v>
      </c>
      <c r="D249" s="468" t="s">
        <v>319</v>
      </c>
      <c r="E249" s="470">
        <v>0.86399999999999999</v>
      </c>
      <c r="F249" s="347">
        <v>56.25</v>
      </c>
      <c r="G249" s="346">
        <f t="shared" ref="G249:G257" si="12">TRUNC(E249*F249,2)</f>
        <v>48.6</v>
      </c>
    </row>
    <row r="250" spans="1:9" ht="14.1" customHeight="1">
      <c r="A250" s="466" t="s">
        <v>413</v>
      </c>
      <c r="B250" s="463" t="s">
        <v>414</v>
      </c>
      <c r="C250" s="345" t="s">
        <v>87</v>
      </c>
      <c r="D250" s="468" t="s">
        <v>313</v>
      </c>
      <c r="E250" s="494">
        <v>213.45</v>
      </c>
      <c r="F250" s="347">
        <v>0.49</v>
      </c>
      <c r="G250" s="346">
        <f t="shared" si="12"/>
        <v>104.59</v>
      </c>
    </row>
    <row r="251" spans="1:9" ht="22.5">
      <c r="A251" s="466" t="s">
        <v>415</v>
      </c>
      <c r="B251" s="463" t="s">
        <v>416</v>
      </c>
      <c r="C251" s="345" t="s">
        <v>87</v>
      </c>
      <c r="D251" s="468" t="s">
        <v>319</v>
      </c>
      <c r="E251" s="548">
        <v>0.58199999999999996</v>
      </c>
      <c r="F251" s="347">
        <v>63.77</v>
      </c>
      <c r="G251" s="346">
        <f t="shared" si="12"/>
        <v>37.11</v>
      </c>
    </row>
    <row r="252" spans="1:9" ht="15" customHeight="1">
      <c r="A252" s="650" t="s">
        <v>310</v>
      </c>
      <c r="B252" s="639" t="s">
        <v>100</v>
      </c>
      <c r="C252" s="345" t="s">
        <v>98</v>
      </c>
      <c r="D252" s="675" t="s">
        <v>202</v>
      </c>
      <c r="E252" s="679">
        <v>2.11</v>
      </c>
      <c r="F252" s="347">
        <f>COMPOSIÇÕES!G671</f>
        <v>9.35</v>
      </c>
      <c r="G252" s="346">
        <f t="shared" si="12"/>
        <v>19.72</v>
      </c>
    </row>
    <row r="253" spans="1:9" ht="15" customHeight="1">
      <c r="A253" s="651"/>
      <c r="B253" s="640"/>
      <c r="C253" s="345" t="s">
        <v>87</v>
      </c>
      <c r="D253" s="676"/>
      <c r="E253" s="680"/>
      <c r="F253" s="347">
        <f>COMPOSIÇÕES!G672</f>
        <v>4.5600000000000005</v>
      </c>
      <c r="G253" s="346">
        <f>TRUNC(E252*F253,2)</f>
        <v>9.6199999999999992</v>
      </c>
    </row>
    <row r="254" spans="1:9" ht="15" customHeight="1">
      <c r="A254" s="650" t="s">
        <v>417</v>
      </c>
      <c r="B254" s="639" t="s">
        <v>418</v>
      </c>
      <c r="C254" s="345" t="s">
        <v>98</v>
      </c>
      <c r="D254" s="675" t="s">
        <v>202</v>
      </c>
      <c r="E254" s="679">
        <v>1.33</v>
      </c>
      <c r="F254" s="347">
        <f>G274</f>
        <v>8.92</v>
      </c>
      <c r="G254" s="346">
        <f>TRUNC(E254*F254,2)</f>
        <v>11.86</v>
      </c>
    </row>
    <row r="255" spans="1:9" ht="15" customHeight="1">
      <c r="A255" s="651"/>
      <c r="B255" s="640"/>
      <c r="C255" s="345" t="s">
        <v>87</v>
      </c>
      <c r="D255" s="676"/>
      <c r="E255" s="680"/>
      <c r="F255" s="347">
        <f>G275</f>
        <v>4.12</v>
      </c>
      <c r="G255" s="346">
        <f>TRUNC(E254*F255,2)</f>
        <v>5.47</v>
      </c>
    </row>
    <row r="256" spans="1:9" ht="45">
      <c r="A256" s="466" t="s">
        <v>419</v>
      </c>
      <c r="B256" s="463" t="s">
        <v>420</v>
      </c>
      <c r="C256" s="345" t="s">
        <v>343</v>
      </c>
      <c r="D256" s="468" t="s">
        <v>374</v>
      </c>
      <c r="E256" s="494">
        <v>0.69</v>
      </c>
      <c r="F256" s="347">
        <f>G299</f>
        <v>3.1</v>
      </c>
      <c r="G256" s="346">
        <f t="shared" si="12"/>
        <v>2.13</v>
      </c>
    </row>
    <row r="257" spans="1:9" ht="45">
      <c r="A257" s="466" t="s">
        <v>421</v>
      </c>
      <c r="B257" s="463" t="s">
        <v>422</v>
      </c>
      <c r="C257" s="345" t="s">
        <v>343</v>
      </c>
      <c r="D257" s="468" t="s">
        <v>327</v>
      </c>
      <c r="E257" s="494">
        <v>0.65</v>
      </c>
      <c r="F257" s="347">
        <f>G350</f>
        <v>1.0900000000000001</v>
      </c>
      <c r="G257" s="346">
        <f t="shared" si="12"/>
        <v>0.7</v>
      </c>
    </row>
    <row r="258" spans="1:9" ht="14.1" customHeight="1">
      <c r="D258" s="438"/>
      <c r="E258" s="483"/>
      <c r="F258" s="484" t="s">
        <v>90</v>
      </c>
      <c r="G258" s="389">
        <f>G252+G254</f>
        <v>31.58</v>
      </c>
    </row>
    <row r="259" spans="1:9" ht="14.1" customHeight="1">
      <c r="A259" s="340"/>
      <c r="D259" s="372"/>
      <c r="E259" s="352"/>
      <c r="F259" s="349" t="s">
        <v>91</v>
      </c>
      <c r="G259" s="346">
        <f>G249+G250+G251+G253+G255+G256+G257</f>
        <v>208.22</v>
      </c>
      <c r="H259" s="392"/>
    </row>
    <row r="260" spans="1:9" ht="14.1" customHeight="1">
      <c r="A260" s="340"/>
      <c r="D260" s="439"/>
      <c r="E260" s="386"/>
      <c r="F260" s="349" t="s">
        <v>92</v>
      </c>
      <c r="G260" s="350">
        <f>SUM(G258:G259)</f>
        <v>239.8</v>
      </c>
      <c r="H260" s="392"/>
    </row>
    <row r="261" spans="1:9">
      <c r="A261" s="377"/>
      <c r="B261" s="378"/>
      <c r="C261" s="404"/>
      <c r="D261" s="379"/>
      <c r="E261" s="377"/>
      <c r="F261" s="378"/>
      <c r="G261" s="378"/>
      <c r="H261" s="378"/>
      <c r="I261" s="377"/>
    </row>
    <row r="263" spans="1:9">
      <c r="A263" s="145" t="s">
        <v>282</v>
      </c>
      <c r="C263" s="146"/>
      <c r="D263" s="145"/>
      <c r="E263" s="147"/>
      <c r="H263" s="145"/>
    </row>
    <row r="264" spans="1:9">
      <c r="A264" s="145" t="s">
        <v>35</v>
      </c>
      <c r="B264" s="376" t="s">
        <v>423</v>
      </c>
      <c r="C264" s="146"/>
      <c r="D264" s="145"/>
      <c r="E264" s="147"/>
      <c r="H264" s="145"/>
    </row>
    <row r="265" spans="1:9" ht="27.75" customHeight="1">
      <c r="A265" s="145" t="s">
        <v>219</v>
      </c>
      <c r="B265" s="630" t="s">
        <v>418</v>
      </c>
      <c r="C265" s="630"/>
      <c r="D265" s="369" t="s">
        <v>202</v>
      </c>
      <c r="H265" s="145"/>
    </row>
    <row r="266" spans="1:9" ht="33.75">
      <c r="A266" s="417" t="s">
        <v>32</v>
      </c>
      <c r="B266" s="464" t="s">
        <v>21</v>
      </c>
      <c r="C266" s="343" t="s">
        <v>81</v>
      </c>
      <c r="D266" s="343" t="s">
        <v>77</v>
      </c>
      <c r="E266" s="465" t="s">
        <v>82</v>
      </c>
      <c r="F266" s="382" t="s">
        <v>83</v>
      </c>
      <c r="G266" s="400" t="s">
        <v>84</v>
      </c>
      <c r="H266" s="145"/>
    </row>
    <row r="267" spans="1:9" ht="22.5">
      <c r="A267" s="407">
        <v>37666</v>
      </c>
      <c r="B267" s="408" t="s">
        <v>424</v>
      </c>
      <c r="C267" s="343" t="s">
        <v>98</v>
      </c>
      <c r="D267" s="409" t="s">
        <v>202</v>
      </c>
      <c r="E267" s="410">
        <v>1</v>
      </c>
      <c r="F267" s="411">
        <f>10.49/118.57%</f>
        <v>8.847094543307751</v>
      </c>
      <c r="G267" s="412">
        <f>TRUNC(E267*F267,2)</f>
        <v>8.84</v>
      </c>
      <c r="H267" s="145"/>
    </row>
    <row r="268" spans="1:9" ht="22.5">
      <c r="A268" s="515" t="s">
        <v>205</v>
      </c>
      <c r="B268" s="464" t="s">
        <v>206</v>
      </c>
      <c r="C268" s="343" t="s">
        <v>295</v>
      </c>
      <c r="D268" s="343" t="s">
        <v>202</v>
      </c>
      <c r="E268" s="373">
        <v>1</v>
      </c>
      <c r="F268" s="375">
        <v>2.15</v>
      </c>
      <c r="G268" s="345">
        <f t="shared" ref="G268:G273" si="13">TRUNC(E268*F268,2)</f>
        <v>2.15</v>
      </c>
      <c r="H268" s="145"/>
    </row>
    <row r="269" spans="1:9" ht="22.5">
      <c r="A269" s="515" t="s">
        <v>207</v>
      </c>
      <c r="B269" s="464" t="s">
        <v>208</v>
      </c>
      <c r="C269" s="343" t="s">
        <v>295</v>
      </c>
      <c r="D269" s="343" t="s">
        <v>202</v>
      </c>
      <c r="E269" s="373">
        <v>1</v>
      </c>
      <c r="F269" s="375">
        <v>0.6</v>
      </c>
      <c r="G269" s="346">
        <f t="shared" si="13"/>
        <v>0.6</v>
      </c>
      <c r="H269" s="145"/>
    </row>
    <row r="270" spans="1:9" ht="22.5">
      <c r="A270" s="515" t="s">
        <v>209</v>
      </c>
      <c r="B270" s="464" t="s">
        <v>210</v>
      </c>
      <c r="C270" s="343" t="s">
        <v>295</v>
      </c>
      <c r="D270" s="343" t="s">
        <v>202</v>
      </c>
      <c r="E270" s="373">
        <v>1</v>
      </c>
      <c r="F270" s="375">
        <v>0.37</v>
      </c>
      <c r="G270" s="345">
        <f t="shared" si="13"/>
        <v>0.37</v>
      </c>
      <c r="H270" s="145"/>
    </row>
    <row r="271" spans="1:9" ht="22.5">
      <c r="A271" s="515" t="s">
        <v>211</v>
      </c>
      <c r="B271" s="464" t="s">
        <v>212</v>
      </c>
      <c r="C271" s="343" t="s">
        <v>295</v>
      </c>
      <c r="D271" s="343" t="s">
        <v>202</v>
      </c>
      <c r="E271" s="373">
        <v>1</v>
      </c>
      <c r="F271" s="375">
        <v>0.02</v>
      </c>
      <c r="G271" s="345">
        <f t="shared" si="13"/>
        <v>0.02</v>
      </c>
      <c r="H271" s="145"/>
    </row>
    <row r="272" spans="1:9" ht="14.1" customHeight="1">
      <c r="A272" s="515" t="s">
        <v>215</v>
      </c>
      <c r="B272" s="464" t="s">
        <v>216</v>
      </c>
      <c r="C272" s="343" t="s">
        <v>87</v>
      </c>
      <c r="D272" s="343" t="s">
        <v>202</v>
      </c>
      <c r="E272" s="373">
        <v>1</v>
      </c>
      <c r="F272" s="375">
        <f>'COMP AUX'!G38</f>
        <v>0.98</v>
      </c>
      <c r="G272" s="346">
        <f t="shared" si="13"/>
        <v>0.98</v>
      </c>
      <c r="H272" s="145"/>
    </row>
    <row r="273" spans="1:9" ht="33.75">
      <c r="A273" s="407">
        <v>95389</v>
      </c>
      <c r="B273" s="408" t="s">
        <v>425</v>
      </c>
      <c r="C273" s="343" t="s">
        <v>98</v>
      </c>
      <c r="D273" s="343" t="s">
        <v>202</v>
      </c>
      <c r="E273" s="373">
        <v>1</v>
      </c>
      <c r="F273" s="375">
        <f>G286</f>
        <v>0.08</v>
      </c>
      <c r="G273" s="346">
        <f t="shared" si="13"/>
        <v>0.08</v>
      </c>
      <c r="H273" s="145"/>
    </row>
    <row r="274" spans="1:9" ht="14.1" customHeight="1">
      <c r="C274" s="146"/>
      <c r="D274" s="437"/>
      <c r="E274" s="352"/>
      <c r="F274" s="349" t="s">
        <v>90</v>
      </c>
      <c r="G274" s="346">
        <f>G267+G273</f>
        <v>8.92</v>
      </c>
      <c r="H274" s="145"/>
    </row>
    <row r="275" spans="1:9" ht="14.1" customHeight="1">
      <c r="C275" s="146"/>
      <c r="D275" s="439"/>
      <c r="E275" s="352"/>
      <c r="F275" s="349" t="s">
        <v>91</v>
      </c>
      <c r="G275" s="346">
        <f>SUM(G268:G272)</f>
        <v>4.12</v>
      </c>
      <c r="H275" s="145"/>
    </row>
    <row r="276" spans="1:9" ht="14.1" customHeight="1">
      <c r="A276" s="384"/>
      <c r="B276" s="385"/>
      <c r="C276" s="146"/>
      <c r="D276" s="438"/>
      <c r="E276" s="352"/>
      <c r="F276" s="349" t="s">
        <v>92</v>
      </c>
      <c r="G276" s="380">
        <f>SUM(G274:G275)</f>
        <v>13.04</v>
      </c>
      <c r="H276" s="145"/>
    </row>
    <row r="277" spans="1:9">
      <c r="A277" s="377"/>
      <c r="B277" s="378"/>
      <c r="C277" s="379"/>
      <c r="D277" s="377"/>
      <c r="E277" s="378"/>
      <c r="F277" s="378"/>
      <c r="G277" s="378"/>
      <c r="H277" s="377"/>
      <c r="I277" s="377"/>
    </row>
    <row r="279" spans="1:9">
      <c r="A279" s="145" t="s">
        <v>284</v>
      </c>
    </row>
    <row r="280" spans="1:9">
      <c r="A280" s="145" t="s">
        <v>259</v>
      </c>
      <c r="B280" s="415" t="s">
        <v>426</v>
      </c>
      <c r="C280" s="416"/>
    </row>
    <row r="281" spans="1:9" ht="33" customHeight="1">
      <c r="A281" s="145" t="s">
        <v>219</v>
      </c>
      <c r="B281" s="631" t="s">
        <v>425</v>
      </c>
      <c r="C281" s="631"/>
      <c r="D281" s="369" t="s">
        <v>202</v>
      </c>
      <c r="E281" s="341" t="s">
        <v>6</v>
      </c>
      <c r="F281" s="341"/>
      <c r="G281" s="341"/>
    </row>
    <row r="282" spans="1:9" ht="33.75">
      <c r="A282" s="370" t="s">
        <v>32</v>
      </c>
      <c r="B282" s="381" t="s">
        <v>21</v>
      </c>
      <c r="C282" s="343" t="s">
        <v>81</v>
      </c>
      <c r="D282" s="343" t="s">
        <v>77</v>
      </c>
      <c r="E282" s="465" t="s">
        <v>82</v>
      </c>
      <c r="F282" s="382" t="s">
        <v>83</v>
      </c>
      <c r="G282" s="345" t="s">
        <v>84</v>
      </c>
    </row>
    <row r="283" spans="1:9" ht="22.5">
      <c r="A283" s="407">
        <v>37666</v>
      </c>
      <c r="B283" s="408" t="s">
        <v>424</v>
      </c>
      <c r="C283" s="413" t="s">
        <v>98</v>
      </c>
      <c r="D283" s="343" t="s">
        <v>202</v>
      </c>
      <c r="E283" s="414">
        <v>9.2999999999999992E-3</v>
      </c>
      <c r="F283" s="411">
        <f>10.49/118.57%</f>
        <v>8.847094543307751</v>
      </c>
      <c r="G283" s="345">
        <f>TRUNC(E283*F283,2)</f>
        <v>0.08</v>
      </c>
    </row>
    <row r="284" spans="1:9">
      <c r="D284" s="372"/>
      <c r="E284" s="352"/>
      <c r="F284" s="349" t="s">
        <v>90</v>
      </c>
      <c r="G284" s="345">
        <f>G283</f>
        <v>0.08</v>
      </c>
    </row>
    <row r="285" spans="1:9">
      <c r="D285" s="372"/>
      <c r="E285" s="352"/>
      <c r="F285" s="349" t="s">
        <v>91</v>
      </c>
      <c r="G285" s="345"/>
    </row>
    <row r="286" spans="1:9">
      <c r="A286" s="340"/>
      <c r="D286" s="372"/>
      <c r="E286" s="352"/>
      <c r="F286" s="349" t="s">
        <v>92</v>
      </c>
      <c r="G286" s="380">
        <f>SUM(G284:G285)</f>
        <v>0.08</v>
      </c>
      <c r="H286" s="392"/>
    </row>
    <row r="287" spans="1:9">
      <c r="A287" s="377"/>
      <c r="B287" s="378"/>
      <c r="C287" s="404"/>
      <c r="D287" s="379"/>
      <c r="E287" s="377"/>
      <c r="F287" s="378"/>
      <c r="G287" s="378"/>
      <c r="H287" s="378"/>
      <c r="I287" s="377"/>
    </row>
    <row r="289" spans="1:9">
      <c r="A289" s="145" t="s">
        <v>284</v>
      </c>
    </row>
    <row r="290" spans="1:9">
      <c r="A290" s="145" t="s">
        <v>259</v>
      </c>
      <c r="B290" s="151" t="s">
        <v>427</v>
      </c>
      <c r="C290" s="402"/>
    </row>
    <row r="291" spans="1:9" ht="40.5" customHeight="1">
      <c r="A291" s="145" t="s">
        <v>219</v>
      </c>
      <c r="B291" s="631" t="s">
        <v>436</v>
      </c>
      <c r="C291" s="631"/>
      <c r="D291" s="631"/>
      <c r="E291" s="369" t="s">
        <v>374</v>
      </c>
      <c r="F291" s="341"/>
      <c r="G291" s="341"/>
    </row>
    <row r="292" spans="1:9" ht="33.75">
      <c r="A292" s="370" t="s">
        <v>32</v>
      </c>
      <c r="B292" s="381" t="s">
        <v>21</v>
      </c>
      <c r="C292" s="343" t="s">
        <v>81</v>
      </c>
      <c r="D292" s="343" t="s">
        <v>77</v>
      </c>
      <c r="E292" s="465" t="s">
        <v>82</v>
      </c>
      <c r="F292" s="382" t="s">
        <v>83</v>
      </c>
      <c r="G292" s="345" t="s">
        <v>84</v>
      </c>
    </row>
    <row r="293" spans="1:9" ht="50.1" customHeight="1">
      <c r="A293" s="495" t="s">
        <v>428</v>
      </c>
      <c r="B293" s="496" t="s">
        <v>432</v>
      </c>
      <c r="C293" s="497" t="s">
        <v>343</v>
      </c>
      <c r="D293" s="467" t="s">
        <v>202</v>
      </c>
      <c r="E293" s="469">
        <v>1</v>
      </c>
      <c r="F293" s="491">
        <f>G309</f>
        <v>0.89</v>
      </c>
      <c r="G293" s="492">
        <f t="shared" ref="G293:G296" si="14">TRUNC(E293*F293,2)</f>
        <v>0.89</v>
      </c>
    </row>
    <row r="294" spans="1:9" ht="50.1" customHeight="1">
      <c r="A294" s="498" t="s">
        <v>429</v>
      </c>
      <c r="B294" s="464" t="s">
        <v>433</v>
      </c>
      <c r="C294" s="345" t="s">
        <v>343</v>
      </c>
      <c r="D294" s="343" t="s">
        <v>202</v>
      </c>
      <c r="E294" s="499">
        <v>1</v>
      </c>
      <c r="F294" s="347">
        <f>G319</f>
        <v>0.2</v>
      </c>
      <c r="G294" s="492">
        <f t="shared" si="14"/>
        <v>0.2</v>
      </c>
    </row>
    <row r="295" spans="1:9" ht="50.1" customHeight="1">
      <c r="A295" s="370" t="s">
        <v>430</v>
      </c>
      <c r="B295" s="464" t="s">
        <v>434</v>
      </c>
      <c r="C295" s="465" t="s">
        <v>343</v>
      </c>
      <c r="D295" s="343" t="s">
        <v>202</v>
      </c>
      <c r="E295" s="348">
        <v>1</v>
      </c>
      <c r="F295" s="347">
        <f>G329</f>
        <v>0.84</v>
      </c>
      <c r="G295" s="492">
        <f t="shared" si="14"/>
        <v>0.84</v>
      </c>
    </row>
    <row r="296" spans="1:9" ht="50.1" customHeight="1">
      <c r="A296" s="370" t="s">
        <v>431</v>
      </c>
      <c r="B296" s="464" t="s">
        <v>435</v>
      </c>
      <c r="C296" s="465" t="s">
        <v>343</v>
      </c>
      <c r="D296" s="343" t="s">
        <v>202</v>
      </c>
      <c r="E296" s="348">
        <v>1</v>
      </c>
      <c r="F296" s="347">
        <f>G339</f>
        <v>1.17</v>
      </c>
      <c r="G296" s="346">
        <f t="shared" si="14"/>
        <v>1.17</v>
      </c>
    </row>
    <row r="297" spans="1:9" ht="14.1" customHeight="1">
      <c r="D297" s="438"/>
      <c r="E297" s="483"/>
      <c r="F297" s="484" t="s">
        <v>90</v>
      </c>
      <c r="G297" s="389"/>
    </row>
    <row r="298" spans="1:9" ht="14.1" customHeight="1">
      <c r="A298" s="340"/>
      <c r="D298" s="372"/>
      <c r="E298" s="352"/>
      <c r="F298" s="349" t="s">
        <v>91</v>
      </c>
      <c r="G298" s="346">
        <f>SUM(G293:G296)</f>
        <v>3.1</v>
      </c>
      <c r="H298" s="365"/>
    </row>
    <row r="299" spans="1:9" ht="14.1" customHeight="1">
      <c r="A299" s="340"/>
      <c r="D299" s="439"/>
      <c r="E299" s="386"/>
      <c r="F299" s="349" t="s">
        <v>92</v>
      </c>
      <c r="G299" s="350">
        <f>SUM(G297:G298)</f>
        <v>3.1</v>
      </c>
      <c r="H299" s="392"/>
    </row>
    <row r="300" spans="1:9">
      <c r="A300" s="377"/>
      <c r="B300" s="378"/>
      <c r="C300" s="404"/>
      <c r="D300" s="379"/>
      <c r="E300" s="377"/>
      <c r="F300" s="378"/>
      <c r="G300" s="378"/>
      <c r="H300" s="378"/>
      <c r="I300" s="377"/>
    </row>
    <row r="302" spans="1:9">
      <c r="A302" s="145" t="s">
        <v>284</v>
      </c>
    </row>
    <row r="303" spans="1:9">
      <c r="A303" s="145" t="s">
        <v>259</v>
      </c>
      <c r="B303" s="151" t="s">
        <v>437</v>
      </c>
      <c r="C303" s="402"/>
    </row>
    <row r="304" spans="1:9" ht="35.25" customHeight="1">
      <c r="A304" s="145" t="s">
        <v>219</v>
      </c>
      <c r="B304" s="631" t="s">
        <v>432</v>
      </c>
      <c r="C304" s="631"/>
      <c r="D304" s="631"/>
      <c r="E304" s="369" t="s">
        <v>202</v>
      </c>
      <c r="F304" s="341"/>
      <c r="G304" s="341"/>
    </row>
    <row r="305" spans="1:9" ht="33.75">
      <c r="A305" s="370" t="s">
        <v>32</v>
      </c>
      <c r="B305" s="381" t="s">
        <v>21</v>
      </c>
      <c r="C305" s="343" t="s">
        <v>81</v>
      </c>
      <c r="D305" s="343" t="s">
        <v>77</v>
      </c>
      <c r="E305" s="465" t="s">
        <v>82</v>
      </c>
      <c r="F305" s="382" t="s">
        <v>83</v>
      </c>
      <c r="G305" s="345" t="s">
        <v>84</v>
      </c>
    </row>
    <row r="306" spans="1:9" ht="39.75" customHeight="1">
      <c r="A306" s="498">
        <v>36397</v>
      </c>
      <c r="B306" s="500" t="s">
        <v>438</v>
      </c>
      <c r="C306" s="345" t="s">
        <v>343</v>
      </c>
      <c r="D306" s="343" t="s">
        <v>202</v>
      </c>
      <c r="E306" s="501">
        <v>6.3999999999999997E-5</v>
      </c>
      <c r="F306" s="446">
        <v>14040.97</v>
      </c>
      <c r="G306" s="346">
        <f t="shared" ref="G306" si="15">TRUNC(E306*F306,2)</f>
        <v>0.89</v>
      </c>
    </row>
    <row r="307" spans="1:9" ht="14.1" customHeight="1">
      <c r="D307" s="438"/>
      <c r="E307" s="483"/>
      <c r="F307" s="484" t="s">
        <v>90</v>
      </c>
      <c r="G307" s="389">
        <v>0</v>
      </c>
    </row>
    <row r="308" spans="1:9" ht="14.1" customHeight="1">
      <c r="A308" s="340"/>
      <c r="D308" s="372"/>
      <c r="E308" s="352"/>
      <c r="F308" s="349" t="s">
        <v>91</v>
      </c>
      <c r="G308" s="346">
        <f>G306</f>
        <v>0.89</v>
      </c>
      <c r="H308" s="365"/>
    </row>
    <row r="309" spans="1:9" ht="14.1" customHeight="1">
      <c r="A309" s="340"/>
      <c r="D309" s="439"/>
      <c r="E309" s="386"/>
      <c r="F309" s="349" t="s">
        <v>92</v>
      </c>
      <c r="G309" s="350">
        <f>SUM(G307:G308)</f>
        <v>0.89</v>
      </c>
      <c r="H309" s="392"/>
    </row>
    <row r="310" spans="1:9" ht="14.1" customHeight="1">
      <c r="A310" s="377"/>
      <c r="B310" s="378"/>
      <c r="C310" s="404"/>
      <c r="D310" s="379"/>
      <c r="E310" s="377"/>
      <c r="F310" s="378"/>
      <c r="G310" s="378"/>
      <c r="H310" s="378"/>
      <c r="I310" s="377"/>
    </row>
    <row r="312" spans="1:9">
      <c r="A312" s="145" t="s">
        <v>284</v>
      </c>
    </row>
    <row r="313" spans="1:9">
      <c r="A313" s="145" t="s">
        <v>259</v>
      </c>
      <c r="B313" s="151" t="s">
        <v>439</v>
      </c>
      <c r="C313" s="402"/>
    </row>
    <row r="314" spans="1:9" ht="28.5" customHeight="1">
      <c r="A314" s="145" t="s">
        <v>219</v>
      </c>
      <c r="B314" s="631" t="s">
        <v>440</v>
      </c>
      <c r="C314" s="631"/>
      <c r="D314" s="631"/>
      <c r="E314" s="369" t="s">
        <v>202</v>
      </c>
      <c r="F314" s="341"/>
      <c r="G314" s="341"/>
    </row>
    <row r="315" spans="1:9" ht="33.75">
      <c r="A315" s="370" t="s">
        <v>32</v>
      </c>
      <c r="B315" s="381" t="s">
        <v>21</v>
      </c>
      <c r="C315" s="343" t="s">
        <v>81</v>
      </c>
      <c r="D315" s="343" t="s">
        <v>77</v>
      </c>
      <c r="E315" s="465" t="s">
        <v>82</v>
      </c>
      <c r="F315" s="382" t="s">
        <v>83</v>
      </c>
      <c r="G315" s="345" t="s">
        <v>84</v>
      </c>
    </row>
    <row r="316" spans="1:9" ht="45">
      <c r="A316" s="498">
        <v>36397</v>
      </c>
      <c r="B316" s="500" t="s">
        <v>438</v>
      </c>
      <c r="C316" s="345" t="s">
        <v>343</v>
      </c>
      <c r="D316" s="343" t="s">
        <v>202</v>
      </c>
      <c r="E316" s="501">
        <v>1.4399999999999999E-5</v>
      </c>
      <c r="F316" s="446">
        <v>14040.97</v>
      </c>
      <c r="G316" s="346">
        <f t="shared" ref="G316" si="16">TRUNC(E316*F316,2)</f>
        <v>0.2</v>
      </c>
    </row>
    <row r="317" spans="1:9">
      <c r="D317" s="438"/>
      <c r="E317" s="483"/>
      <c r="F317" s="484" t="s">
        <v>90</v>
      </c>
      <c r="G317" s="389">
        <v>0</v>
      </c>
    </row>
    <row r="318" spans="1:9">
      <c r="A318" s="340"/>
      <c r="D318" s="372"/>
      <c r="E318" s="352"/>
      <c r="F318" s="349" t="s">
        <v>91</v>
      </c>
      <c r="G318" s="346">
        <f>G316</f>
        <v>0.2</v>
      </c>
      <c r="H318" s="365"/>
    </row>
    <row r="319" spans="1:9">
      <c r="A319" s="340"/>
      <c r="D319" s="439"/>
      <c r="E319" s="386"/>
      <c r="F319" s="349" t="s">
        <v>92</v>
      </c>
      <c r="G319" s="350">
        <f>SUM(G317:G318)</f>
        <v>0.2</v>
      </c>
      <c r="H319" s="392"/>
    </row>
    <row r="320" spans="1:9">
      <c r="A320" s="377"/>
      <c r="B320" s="378"/>
      <c r="C320" s="404"/>
      <c r="D320" s="379"/>
      <c r="E320" s="377"/>
      <c r="F320" s="378"/>
      <c r="G320" s="378"/>
      <c r="H320" s="378"/>
      <c r="I320" s="377"/>
    </row>
    <row r="322" spans="1:9">
      <c r="A322" s="145" t="s">
        <v>284</v>
      </c>
    </row>
    <row r="323" spans="1:9">
      <c r="A323" s="145" t="s">
        <v>259</v>
      </c>
      <c r="B323" s="151" t="s">
        <v>441</v>
      </c>
      <c r="C323" s="402"/>
    </row>
    <row r="324" spans="1:9" ht="36.75" customHeight="1">
      <c r="A324" s="145" t="s">
        <v>219</v>
      </c>
      <c r="B324" s="631" t="s">
        <v>442</v>
      </c>
      <c r="C324" s="631"/>
      <c r="D324" s="631"/>
      <c r="E324" s="369" t="s">
        <v>202</v>
      </c>
      <c r="F324" s="341"/>
      <c r="G324" s="341"/>
    </row>
    <row r="325" spans="1:9" ht="33.75">
      <c r="A325" s="370" t="s">
        <v>32</v>
      </c>
      <c r="B325" s="381" t="s">
        <v>21</v>
      </c>
      <c r="C325" s="343" t="s">
        <v>81</v>
      </c>
      <c r="D325" s="343" t="s">
        <v>77</v>
      </c>
      <c r="E325" s="465" t="s">
        <v>82</v>
      </c>
      <c r="F325" s="382" t="s">
        <v>83</v>
      </c>
      <c r="G325" s="345" t="s">
        <v>84</v>
      </c>
    </row>
    <row r="326" spans="1:9" ht="45">
      <c r="A326" s="498">
        <v>36397</v>
      </c>
      <c r="B326" s="500" t="s">
        <v>438</v>
      </c>
      <c r="C326" s="345" t="s">
        <v>343</v>
      </c>
      <c r="D326" s="343" t="s">
        <v>202</v>
      </c>
      <c r="E326" s="501">
        <v>6.0000000000000002E-5</v>
      </c>
      <c r="F326" s="446">
        <v>14040.97</v>
      </c>
      <c r="G326" s="346">
        <f t="shared" ref="G326" si="17">TRUNC(E326*F326,2)</f>
        <v>0.84</v>
      </c>
    </row>
    <row r="327" spans="1:9">
      <c r="D327" s="438"/>
      <c r="E327" s="483"/>
      <c r="F327" s="484" t="s">
        <v>90</v>
      </c>
      <c r="G327" s="389">
        <v>0</v>
      </c>
    </row>
    <row r="328" spans="1:9">
      <c r="A328" s="340"/>
      <c r="D328" s="372"/>
      <c r="E328" s="352"/>
      <c r="F328" s="349" t="s">
        <v>91</v>
      </c>
      <c r="G328" s="346">
        <f>G326</f>
        <v>0.84</v>
      </c>
      <c r="H328" s="365"/>
    </row>
    <row r="329" spans="1:9">
      <c r="A329" s="340"/>
      <c r="D329" s="439"/>
      <c r="E329" s="386"/>
      <c r="F329" s="349" t="s">
        <v>92</v>
      </c>
      <c r="G329" s="350">
        <f>SUM(G327:G328)</f>
        <v>0.84</v>
      </c>
      <c r="H329" s="392"/>
    </row>
    <row r="330" spans="1:9">
      <c r="A330" s="377"/>
      <c r="B330" s="378"/>
      <c r="C330" s="404"/>
      <c r="D330" s="379"/>
      <c r="E330" s="377"/>
      <c r="F330" s="378"/>
      <c r="G330" s="378"/>
      <c r="H330" s="378"/>
      <c r="I330" s="377"/>
    </row>
    <row r="332" spans="1:9">
      <c r="A332" s="145" t="s">
        <v>284</v>
      </c>
    </row>
    <row r="333" spans="1:9">
      <c r="A333" s="145" t="s">
        <v>259</v>
      </c>
      <c r="B333" s="151" t="s">
        <v>443</v>
      </c>
      <c r="C333" s="402"/>
    </row>
    <row r="334" spans="1:9" ht="39.75" customHeight="1">
      <c r="A334" s="145" t="s">
        <v>219</v>
      </c>
      <c r="B334" s="631" t="s">
        <v>444</v>
      </c>
      <c r="C334" s="631"/>
      <c r="D334" s="631"/>
      <c r="E334" s="369" t="s">
        <v>202</v>
      </c>
      <c r="F334" s="341"/>
      <c r="G334" s="341"/>
    </row>
    <row r="335" spans="1:9" ht="33.75">
      <c r="A335" s="370" t="s">
        <v>32</v>
      </c>
      <c r="B335" s="381" t="s">
        <v>21</v>
      </c>
      <c r="C335" s="343" t="s">
        <v>81</v>
      </c>
      <c r="D335" s="343" t="s">
        <v>77</v>
      </c>
      <c r="E335" s="465" t="s">
        <v>82</v>
      </c>
      <c r="F335" s="382" t="s">
        <v>83</v>
      </c>
      <c r="G335" s="345" t="s">
        <v>84</v>
      </c>
    </row>
    <row r="336" spans="1:9" ht="22.5">
      <c r="A336" s="498" t="s">
        <v>445</v>
      </c>
      <c r="B336" s="500" t="s">
        <v>446</v>
      </c>
      <c r="C336" s="345" t="s">
        <v>87</v>
      </c>
      <c r="D336" s="343" t="s">
        <v>447</v>
      </c>
      <c r="E336" s="499">
        <v>2.5</v>
      </c>
      <c r="F336" s="446">
        <v>0.47</v>
      </c>
      <c r="G336" s="346">
        <f t="shared" ref="G336" si="18">TRUNC(E336*F336,2)</f>
        <v>1.17</v>
      </c>
    </row>
    <row r="337" spans="1:9">
      <c r="D337" s="438"/>
      <c r="E337" s="483"/>
      <c r="F337" s="484" t="s">
        <v>90</v>
      </c>
      <c r="G337" s="389">
        <v>0</v>
      </c>
    </row>
    <row r="338" spans="1:9">
      <c r="A338" s="340"/>
      <c r="D338" s="372"/>
      <c r="E338" s="352"/>
      <c r="F338" s="349" t="s">
        <v>91</v>
      </c>
      <c r="G338" s="346">
        <f>G336</f>
        <v>1.17</v>
      </c>
      <c r="H338" s="365"/>
    </row>
    <row r="339" spans="1:9">
      <c r="A339" s="340"/>
      <c r="D339" s="439"/>
      <c r="E339" s="386"/>
      <c r="F339" s="349" t="s">
        <v>92</v>
      </c>
      <c r="G339" s="350">
        <f>SUM(G337:G338)</f>
        <v>1.17</v>
      </c>
      <c r="H339" s="392"/>
    </row>
    <row r="340" spans="1:9">
      <c r="A340" s="377"/>
      <c r="B340" s="378"/>
      <c r="C340" s="404"/>
      <c r="D340" s="379"/>
      <c r="E340" s="377"/>
      <c r="F340" s="378"/>
      <c r="G340" s="378"/>
      <c r="H340" s="378"/>
      <c r="I340" s="377"/>
    </row>
    <row r="342" spans="1:9">
      <c r="A342" s="145" t="s">
        <v>284</v>
      </c>
    </row>
    <row r="343" spans="1:9">
      <c r="A343" s="145" t="s">
        <v>259</v>
      </c>
      <c r="B343" s="151" t="s">
        <v>448</v>
      </c>
      <c r="C343" s="402"/>
    </row>
    <row r="344" spans="1:9" ht="37.5" customHeight="1">
      <c r="A344" s="145" t="s">
        <v>219</v>
      </c>
      <c r="B344" s="631" t="s">
        <v>449</v>
      </c>
      <c r="C344" s="631"/>
      <c r="D344" s="631"/>
      <c r="E344" s="369" t="s">
        <v>327</v>
      </c>
      <c r="F344" s="341"/>
      <c r="G344" s="341"/>
    </row>
    <row r="345" spans="1:9" ht="33.75">
      <c r="A345" s="370" t="s">
        <v>32</v>
      </c>
      <c r="B345" s="381" t="s">
        <v>21</v>
      </c>
      <c r="C345" s="343" t="s">
        <v>81</v>
      </c>
      <c r="D345" s="343" t="s">
        <v>77</v>
      </c>
      <c r="E345" s="465" t="s">
        <v>82</v>
      </c>
      <c r="F345" s="382" t="s">
        <v>83</v>
      </c>
      <c r="G345" s="345" t="s">
        <v>84</v>
      </c>
    </row>
    <row r="346" spans="1:9" ht="45">
      <c r="A346" s="495" t="s">
        <v>428</v>
      </c>
      <c r="B346" s="496" t="s">
        <v>432</v>
      </c>
      <c r="C346" s="497" t="s">
        <v>343</v>
      </c>
      <c r="D346" s="467" t="s">
        <v>202</v>
      </c>
      <c r="E346" s="469">
        <v>1</v>
      </c>
      <c r="F346" s="491">
        <f>G309</f>
        <v>0.89</v>
      </c>
      <c r="G346" s="492">
        <f t="shared" ref="G346:G347" si="19">TRUNC(E346*F346,2)</f>
        <v>0.89</v>
      </c>
    </row>
    <row r="347" spans="1:9" ht="45">
      <c r="A347" s="498" t="s">
        <v>429</v>
      </c>
      <c r="B347" s="464" t="s">
        <v>433</v>
      </c>
      <c r="C347" s="345" t="s">
        <v>343</v>
      </c>
      <c r="D347" s="343" t="s">
        <v>202</v>
      </c>
      <c r="E347" s="499">
        <v>1</v>
      </c>
      <c r="F347" s="347">
        <f>G319</f>
        <v>0.2</v>
      </c>
      <c r="G347" s="492">
        <f t="shared" si="19"/>
        <v>0.2</v>
      </c>
    </row>
    <row r="348" spans="1:9" ht="14.1" customHeight="1">
      <c r="D348" s="438"/>
      <c r="E348" s="483"/>
      <c r="F348" s="484" t="s">
        <v>90</v>
      </c>
      <c r="G348" s="346"/>
    </row>
    <row r="349" spans="1:9" ht="14.1" customHeight="1">
      <c r="A349" s="340"/>
      <c r="D349" s="372"/>
      <c r="E349" s="352"/>
      <c r="F349" s="349" t="s">
        <v>91</v>
      </c>
      <c r="G349" s="346">
        <f>SUM(G346:G347)</f>
        <v>1.0900000000000001</v>
      </c>
      <c r="H349" s="365"/>
    </row>
    <row r="350" spans="1:9" ht="14.1" customHeight="1">
      <c r="A350" s="340"/>
      <c r="D350" s="439"/>
      <c r="E350" s="386"/>
      <c r="F350" s="349" t="s">
        <v>92</v>
      </c>
      <c r="G350" s="350">
        <f>SUM(G348:G349)</f>
        <v>1.0900000000000001</v>
      </c>
      <c r="H350" s="392"/>
    </row>
    <row r="351" spans="1:9">
      <c r="A351" s="377"/>
      <c r="B351" s="378"/>
      <c r="C351" s="404"/>
      <c r="D351" s="379"/>
      <c r="E351" s="377"/>
      <c r="F351" s="378"/>
      <c r="G351" s="378"/>
      <c r="H351" s="378"/>
      <c r="I351" s="377"/>
    </row>
    <row r="352" spans="1:9">
      <c r="A352" s="364"/>
      <c r="B352" s="365"/>
      <c r="C352" s="401"/>
      <c r="D352" s="366"/>
      <c r="E352" s="364"/>
      <c r="F352" s="365"/>
      <c r="G352" s="365"/>
      <c r="H352" s="365"/>
      <c r="I352" s="364"/>
    </row>
    <row r="353" spans="1:10">
      <c r="A353" s="145" t="s">
        <v>284</v>
      </c>
    </row>
    <row r="354" spans="1:10">
      <c r="A354" s="145" t="s">
        <v>259</v>
      </c>
      <c r="B354" s="151" t="s">
        <v>760</v>
      </c>
      <c r="C354" s="402"/>
    </row>
    <row r="355" spans="1:10" ht="25.5" customHeight="1">
      <c r="A355" s="145" t="s">
        <v>219</v>
      </c>
      <c r="B355" s="631" t="s">
        <v>759</v>
      </c>
      <c r="C355" s="631"/>
      <c r="D355" s="631"/>
      <c r="E355" s="369" t="s">
        <v>374</v>
      </c>
      <c r="F355" s="341"/>
      <c r="G355" s="341"/>
    </row>
    <row r="356" spans="1:10" ht="33.75">
      <c r="A356" s="370" t="s">
        <v>32</v>
      </c>
      <c r="B356" s="381" t="s">
        <v>21</v>
      </c>
      <c r="C356" s="343" t="s">
        <v>81</v>
      </c>
      <c r="D356" s="343" t="s">
        <v>77</v>
      </c>
      <c r="E356" s="569" t="s">
        <v>82</v>
      </c>
      <c r="F356" s="382" t="s">
        <v>83</v>
      </c>
      <c r="G356" s="345" t="s">
        <v>84</v>
      </c>
    </row>
    <row r="357" spans="1:10" ht="33.75">
      <c r="A357" s="495" t="s">
        <v>761</v>
      </c>
      <c r="B357" s="496" t="s">
        <v>765</v>
      </c>
      <c r="C357" s="497" t="s">
        <v>343</v>
      </c>
      <c r="D357" s="576" t="s">
        <v>202</v>
      </c>
      <c r="E357" s="577">
        <v>1</v>
      </c>
      <c r="F357" s="574">
        <f>G373</f>
        <v>0.25</v>
      </c>
      <c r="G357" s="492">
        <f t="shared" ref="G357:G360" si="20">TRUNC(E357*F357,2)</f>
        <v>0.25</v>
      </c>
      <c r="J357" s="145">
        <f>80-32</f>
        <v>48</v>
      </c>
    </row>
    <row r="358" spans="1:10" ht="33.75">
      <c r="A358" s="495" t="s">
        <v>762</v>
      </c>
      <c r="B358" s="496" t="s">
        <v>766</v>
      </c>
      <c r="C358" s="497" t="s">
        <v>343</v>
      </c>
      <c r="D358" s="576" t="s">
        <v>202</v>
      </c>
      <c r="E358" s="577">
        <v>1</v>
      </c>
      <c r="F358" s="574">
        <f>G383</f>
        <v>0.05</v>
      </c>
      <c r="G358" s="492">
        <f t="shared" si="20"/>
        <v>0.05</v>
      </c>
    </row>
    <row r="359" spans="1:10" ht="33.75">
      <c r="A359" s="495" t="s">
        <v>763</v>
      </c>
      <c r="B359" s="496" t="s">
        <v>767</v>
      </c>
      <c r="C359" s="497" t="s">
        <v>343</v>
      </c>
      <c r="D359" s="576" t="s">
        <v>202</v>
      </c>
      <c r="E359" s="577">
        <v>1</v>
      </c>
      <c r="F359" s="574">
        <f>G393</f>
        <v>0.19</v>
      </c>
      <c r="G359" s="492">
        <f t="shared" si="20"/>
        <v>0.19</v>
      </c>
    </row>
    <row r="360" spans="1:10" ht="33.75">
      <c r="A360" s="498" t="s">
        <v>764</v>
      </c>
      <c r="B360" s="572" t="s">
        <v>768</v>
      </c>
      <c r="C360" s="345" t="s">
        <v>343</v>
      </c>
      <c r="D360" s="343" t="s">
        <v>202</v>
      </c>
      <c r="E360" s="499">
        <v>1</v>
      </c>
      <c r="F360" s="347">
        <f>G403</f>
        <v>0.57999999999999996</v>
      </c>
      <c r="G360" s="492">
        <f t="shared" si="20"/>
        <v>0.57999999999999996</v>
      </c>
    </row>
    <row r="361" spans="1:10" ht="14.1" customHeight="1">
      <c r="D361" s="438"/>
      <c r="E361" s="483"/>
      <c r="F361" s="484" t="s">
        <v>90</v>
      </c>
      <c r="G361" s="346"/>
    </row>
    <row r="362" spans="1:10" ht="14.1" customHeight="1">
      <c r="A362" s="340"/>
      <c r="D362" s="372"/>
      <c r="E362" s="352"/>
      <c r="F362" s="349" t="s">
        <v>91</v>
      </c>
      <c r="G362" s="346">
        <f>SUM(G357:G360)</f>
        <v>1.0699999999999998</v>
      </c>
      <c r="H362" s="365"/>
    </row>
    <row r="363" spans="1:10" ht="14.1" customHeight="1">
      <c r="A363" s="340"/>
      <c r="D363" s="439"/>
      <c r="E363" s="386"/>
      <c r="F363" s="349" t="s">
        <v>92</v>
      </c>
      <c r="G363" s="350">
        <f>SUM(G361:G362)</f>
        <v>1.0699999999999998</v>
      </c>
      <c r="H363" s="392"/>
    </row>
    <row r="364" spans="1:10">
      <c r="A364" s="377"/>
      <c r="B364" s="378"/>
      <c r="C364" s="404"/>
      <c r="D364" s="379"/>
      <c r="E364" s="377"/>
      <c r="F364" s="378"/>
      <c r="G364" s="378"/>
      <c r="H364" s="378"/>
      <c r="I364" s="377"/>
    </row>
    <row r="365" spans="1:10">
      <c r="A365" s="364"/>
      <c r="B365" s="365"/>
      <c r="C365" s="401"/>
      <c r="D365" s="366"/>
      <c r="E365" s="364"/>
      <c r="F365" s="365"/>
      <c r="G365" s="365"/>
      <c r="H365" s="365"/>
      <c r="I365" s="364"/>
    </row>
    <row r="366" spans="1:10">
      <c r="A366" s="145" t="s">
        <v>284</v>
      </c>
      <c r="H366" s="365"/>
      <c r="I366" s="364"/>
    </row>
    <row r="367" spans="1:10">
      <c r="A367" s="145" t="s">
        <v>259</v>
      </c>
      <c r="B367" s="151" t="s">
        <v>769</v>
      </c>
      <c r="C367" s="402"/>
      <c r="H367" s="365"/>
      <c r="I367" s="364"/>
    </row>
    <row r="368" spans="1:10" ht="26.25" customHeight="1">
      <c r="A368" s="145" t="s">
        <v>219</v>
      </c>
      <c r="B368" s="631" t="s">
        <v>765</v>
      </c>
      <c r="C368" s="631"/>
      <c r="D368" s="631"/>
      <c r="E368" s="369" t="s">
        <v>202</v>
      </c>
      <c r="F368" s="341"/>
      <c r="G368" s="341"/>
      <c r="H368" s="365"/>
      <c r="I368" s="364"/>
    </row>
    <row r="369" spans="1:9" ht="33.75">
      <c r="A369" s="370" t="s">
        <v>32</v>
      </c>
      <c r="B369" s="381" t="s">
        <v>21</v>
      </c>
      <c r="C369" s="343" t="s">
        <v>81</v>
      </c>
      <c r="D369" s="343" t="s">
        <v>77</v>
      </c>
      <c r="E369" s="569" t="s">
        <v>82</v>
      </c>
      <c r="F369" s="382" t="s">
        <v>83</v>
      </c>
      <c r="G369" s="345" t="s">
        <v>84</v>
      </c>
      <c r="H369" s="365"/>
      <c r="I369" s="364"/>
    </row>
    <row r="370" spans="1:9" ht="33.75">
      <c r="A370" s="570" t="s">
        <v>770</v>
      </c>
      <c r="B370" s="408" t="s">
        <v>771</v>
      </c>
      <c r="C370" s="413" t="s">
        <v>343</v>
      </c>
      <c r="D370" s="343" t="s">
        <v>77</v>
      </c>
      <c r="E370" s="414">
        <v>1.2799999999999999E-4</v>
      </c>
      <c r="F370" s="424">
        <v>1973.59</v>
      </c>
      <c r="G370" s="345">
        <f>TRUNC(E370*F370,2)</f>
        <v>0.25</v>
      </c>
    </row>
    <row r="371" spans="1:9" ht="14.1" customHeight="1">
      <c r="D371" s="372"/>
      <c r="E371" s="352"/>
      <c r="F371" s="349" t="s">
        <v>90</v>
      </c>
      <c r="G371" s="345"/>
    </row>
    <row r="372" spans="1:9" ht="14.1" customHeight="1">
      <c r="D372" s="372"/>
      <c r="E372" s="352"/>
      <c r="F372" s="349" t="s">
        <v>91</v>
      </c>
      <c r="G372" s="345">
        <f>G370</f>
        <v>0.25</v>
      </c>
    </row>
    <row r="373" spans="1:9" ht="14.1" customHeight="1">
      <c r="A373" s="340"/>
      <c r="D373" s="372"/>
      <c r="E373" s="352"/>
      <c r="F373" s="349" t="s">
        <v>92</v>
      </c>
      <c r="G373" s="380">
        <f>SUM(G371:G372)</f>
        <v>0.25</v>
      </c>
      <c r="H373" s="392"/>
    </row>
    <row r="374" spans="1:9">
      <c r="A374" s="377"/>
      <c r="B374" s="378"/>
      <c r="C374" s="404"/>
      <c r="D374" s="379"/>
      <c r="E374" s="377"/>
      <c r="F374" s="378"/>
      <c r="G374" s="378"/>
      <c r="H374" s="378"/>
      <c r="I374" s="377"/>
    </row>
    <row r="375" spans="1:9">
      <c r="A375" s="364"/>
      <c r="B375" s="365"/>
      <c r="C375" s="401"/>
      <c r="D375" s="366"/>
      <c r="E375" s="364"/>
      <c r="F375" s="365"/>
      <c r="G375" s="365"/>
      <c r="H375" s="365"/>
      <c r="I375" s="364"/>
    </row>
    <row r="376" spans="1:9">
      <c r="A376" s="145" t="s">
        <v>284</v>
      </c>
      <c r="H376" s="365"/>
      <c r="I376" s="364"/>
    </row>
    <row r="377" spans="1:9">
      <c r="A377" s="145" t="s">
        <v>259</v>
      </c>
      <c r="B377" s="151" t="s">
        <v>772</v>
      </c>
      <c r="C377" s="402"/>
      <c r="H377" s="365"/>
      <c r="I377" s="364"/>
    </row>
    <row r="378" spans="1:9" ht="25.5" customHeight="1">
      <c r="A378" s="145" t="s">
        <v>219</v>
      </c>
      <c r="B378" s="631" t="s">
        <v>773</v>
      </c>
      <c r="C378" s="631"/>
      <c r="D378" s="631"/>
      <c r="E378" s="369" t="s">
        <v>202</v>
      </c>
      <c r="F378" s="341"/>
      <c r="G378" s="341"/>
      <c r="H378" s="365"/>
      <c r="I378" s="364"/>
    </row>
    <row r="379" spans="1:9" ht="33.75">
      <c r="A379" s="370" t="s">
        <v>32</v>
      </c>
      <c r="B379" s="381" t="s">
        <v>21</v>
      </c>
      <c r="C379" s="343" t="s">
        <v>81</v>
      </c>
      <c r="D379" s="343" t="s">
        <v>77</v>
      </c>
      <c r="E379" s="569" t="s">
        <v>82</v>
      </c>
      <c r="F379" s="382" t="s">
        <v>83</v>
      </c>
      <c r="G379" s="345" t="s">
        <v>84</v>
      </c>
      <c r="H379" s="365"/>
      <c r="I379" s="364"/>
    </row>
    <row r="380" spans="1:9" ht="33.75">
      <c r="A380" s="570" t="s">
        <v>770</v>
      </c>
      <c r="B380" s="408" t="s">
        <v>771</v>
      </c>
      <c r="C380" s="413" t="s">
        <v>343</v>
      </c>
      <c r="D380" s="343" t="s">
        <v>77</v>
      </c>
      <c r="E380" s="414">
        <v>2.8799999999999999E-5</v>
      </c>
      <c r="F380" s="424">
        <v>1973.59</v>
      </c>
      <c r="G380" s="345">
        <f>TRUNC(E380*F380,2)</f>
        <v>0.05</v>
      </c>
    </row>
    <row r="381" spans="1:9" ht="14.1" customHeight="1">
      <c r="D381" s="372"/>
      <c r="E381" s="352"/>
      <c r="F381" s="349" t="s">
        <v>90</v>
      </c>
      <c r="G381" s="345"/>
    </row>
    <row r="382" spans="1:9" ht="14.1" customHeight="1">
      <c r="D382" s="372"/>
      <c r="E382" s="352"/>
      <c r="F382" s="349" t="s">
        <v>91</v>
      </c>
      <c r="G382" s="345">
        <f>G380</f>
        <v>0.05</v>
      </c>
    </row>
    <row r="383" spans="1:9" ht="14.1" customHeight="1">
      <c r="A383" s="340"/>
      <c r="D383" s="372"/>
      <c r="E383" s="352"/>
      <c r="F383" s="349" t="s">
        <v>92</v>
      </c>
      <c r="G383" s="380">
        <f>SUM(G381:G382)</f>
        <v>0.05</v>
      </c>
      <c r="H383" s="392"/>
    </row>
    <row r="384" spans="1:9">
      <c r="A384" s="377"/>
      <c r="B384" s="378"/>
      <c r="C384" s="404"/>
      <c r="D384" s="379"/>
      <c r="E384" s="377"/>
      <c r="F384" s="378"/>
      <c r="G384" s="378"/>
      <c r="H384" s="378"/>
      <c r="I384" s="377"/>
    </row>
    <row r="385" spans="1:9">
      <c r="A385" s="364"/>
      <c r="B385" s="365"/>
      <c r="C385" s="401"/>
      <c r="D385" s="366"/>
      <c r="E385" s="364"/>
      <c r="F385" s="365"/>
      <c r="G385" s="365"/>
      <c r="H385" s="365"/>
      <c r="I385" s="364"/>
    </row>
    <row r="386" spans="1:9">
      <c r="A386" s="145" t="s">
        <v>284</v>
      </c>
      <c r="H386" s="365"/>
      <c r="I386" s="364"/>
    </row>
    <row r="387" spans="1:9">
      <c r="A387" s="145" t="s">
        <v>259</v>
      </c>
      <c r="B387" s="151" t="s">
        <v>774</v>
      </c>
      <c r="C387" s="402"/>
      <c r="H387" s="365"/>
      <c r="I387" s="364"/>
    </row>
    <row r="388" spans="1:9" ht="23.25" customHeight="1">
      <c r="A388" s="145" t="s">
        <v>219</v>
      </c>
      <c r="B388" s="631" t="s">
        <v>767</v>
      </c>
      <c r="C388" s="631"/>
      <c r="D388" s="631"/>
      <c r="E388" s="369" t="s">
        <v>202</v>
      </c>
      <c r="F388" s="341"/>
      <c r="G388" s="341"/>
      <c r="H388" s="365"/>
      <c r="I388" s="364"/>
    </row>
    <row r="389" spans="1:9" ht="33.75">
      <c r="A389" s="370" t="s">
        <v>32</v>
      </c>
      <c r="B389" s="381" t="s">
        <v>21</v>
      </c>
      <c r="C389" s="343" t="s">
        <v>81</v>
      </c>
      <c r="D389" s="343" t="s">
        <v>77</v>
      </c>
      <c r="E389" s="569" t="s">
        <v>82</v>
      </c>
      <c r="F389" s="382" t="s">
        <v>83</v>
      </c>
      <c r="G389" s="345" t="s">
        <v>84</v>
      </c>
      <c r="H389" s="365"/>
      <c r="I389" s="364"/>
    </row>
    <row r="390" spans="1:9" ht="33.75">
      <c r="A390" s="570" t="s">
        <v>770</v>
      </c>
      <c r="B390" s="408" t="s">
        <v>771</v>
      </c>
      <c r="C390" s="413" t="s">
        <v>343</v>
      </c>
      <c r="D390" s="343" t="s">
        <v>77</v>
      </c>
      <c r="E390" s="414">
        <v>1E-4</v>
      </c>
      <c r="F390" s="424">
        <v>1973.59</v>
      </c>
      <c r="G390" s="345">
        <f>TRUNC(E390*F390,2)</f>
        <v>0.19</v>
      </c>
    </row>
    <row r="391" spans="1:9" ht="14.1" customHeight="1">
      <c r="D391" s="372"/>
      <c r="E391" s="352"/>
      <c r="F391" s="349" t="s">
        <v>90</v>
      </c>
      <c r="G391" s="345"/>
    </row>
    <row r="392" spans="1:9" ht="14.1" customHeight="1">
      <c r="D392" s="372"/>
      <c r="E392" s="352"/>
      <c r="F392" s="349" t="s">
        <v>91</v>
      </c>
      <c r="G392" s="345">
        <f>G390</f>
        <v>0.19</v>
      </c>
    </row>
    <row r="393" spans="1:9" ht="14.1" customHeight="1">
      <c r="A393" s="340"/>
      <c r="D393" s="372"/>
      <c r="E393" s="352"/>
      <c r="F393" s="349" t="s">
        <v>92</v>
      </c>
      <c r="G393" s="380">
        <f>SUM(G391:G392)</f>
        <v>0.19</v>
      </c>
      <c r="H393" s="392"/>
    </row>
    <row r="394" spans="1:9">
      <c r="A394" s="377"/>
      <c r="B394" s="378"/>
      <c r="C394" s="404"/>
      <c r="D394" s="379"/>
      <c r="E394" s="377"/>
      <c r="F394" s="378"/>
      <c r="G394" s="378"/>
      <c r="H394" s="378"/>
      <c r="I394" s="377"/>
    </row>
    <row r="395" spans="1:9">
      <c r="A395" s="364"/>
      <c r="B395" s="365"/>
      <c r="C395" s="401"/>
      <c r="D395" s="366"/>
      <c r="E395" s="364"/>
      <c r="F395" s="365"/>
      <c r="G395" s="365"/>
      <c r="H395" s="365"/>
      <c r="I395" s="364"/>
    </row>
    <row r="396" spans="1:9">
      <c r="A396" s="145" t="s">
        <v>284</v>
      </c>
      <c r="H396" s="365"/>
      <c r="I396" s="364"/>
    </row>
    <row r="397" spans="1:9">
      <c r="A397" s="145" t="s">
        <v>259</v>
      </c>
      <c r="B397" s="151" t="s">
        <v>775</v>
      </c>
      <c r="C397" s="402"/>
      <c r="H397" s="365"/>
      <c r="I397" s="364"/>
    </row>
    <row r="398" spans="1:9" ht="24.75" customHeight="1">
      <c r="A398" s="145" t="s">
        <v>219</v>
      </c>
      <c r="B398" s="631" t="s">
        <v>768</v>
      </c>
      <c r="C398" s="631"/>
      <c r="D398" s="631"/>
      <c r="E398" s="369" t="s">
        <v>202</v>
      </c>
      <c r="F398" s="341"/>
      <c r="G398" s="341"/>
      <c r="H398" s="365"/>
      <c r="I398" s="364"/>
    </row>
    <row r="399" spans="1:9" ht="33.75">
      <c r="A399" s="370" t="s">
        <v>32</v>
      </c>
      <c r="B399" s="381" t="s">
        <v>21</v>
      </c>
      <c r="C399" s="343" t="s">
        <v>81</v>
      </c>
      <c r="D399" s="343" t="s">
        <v>77</v>
      </c>
      <c r="E399" s="569" t="s">
        <v>82</v>
      </c>
      <c r="F399" s="382" t="s">
        <v>83</v>
      </c>
      <c r="G399" s="345" t="s">
        <v>84</v>
      </c>
      <c r="H399" s="365"/>
      <c r="I399" s="364"/>
    </row>
    <row r="400" spans="1:9" ht="22.5">
      <c r="A400" s="570" t="s">
        <v>445</v>
      </c>
      <c r="B400" s="408" t="s">
        <v>446</v>
      </c>
      <c r="C400" s="413" t="s">
        <v>87</v>
      </c>
      <c r="D400" s="343" t="s">
        <v>447</v>
      </c>
      <c r="E400" s="414">
        <v>1.25</v>
      </c>
      <c r="F400" s="424">
        <v>0.47</v>
      </c>
      <c r="G400" s="345">
        <f>TRUNC(E400*F400,2)</f>
        <v>0.57999999999999996</v>
      </c>
    </row>
    <row r="401" spans="1:9" ht="14.1" customHeight="1">
      <c r="D401" s="372"/>
      <c r="E401" s="352"/>
      <c r="F401" s="349" t="s">
        <v>90</v>
      </c>
      <c r="G401" s="345"/>
    </row>
    <row r="402" spans="1:9" ht="14.1" customHeight="1">
      <c r="D402" s="372"/>
      <c r="E402" s="352"/>
      <c r="F402" s="349" t="s">
        <v>91</v>
      </c>
      <c r="G402" s="345">
        <f>G400</f>
        <v>0.57999999999999996</v>
      </c>
    </row>
    <row r="403" spans="1:9" ht="14.1" customHeight="1">
      <c r="A403" s="340"/>
      <c r="D403" s="372"/>
      <c r="E403" s="352"/>
      <c r="F403" s="349" t="s">
        <v>92</v>
      </c>
      <c r="G403" s="380">
        <f>SUM(G401:G402)</f>
        <v>0.57999999999999996</v>
      </c>
      <c r="H403" s="392"/>
    </row>
    <row r="404" spans="1:9">
      <c r="A404" s="377"/>
      <c r="B404" s="378"/>
      <c r="C404" s="404"/>
      <c r="D404" s="379"/>
      <c r="E404" s="377"/>
      <c r="F404" s="378"/>
      <c r="G404" s="378"/>
      <c r="H404" s="378"/>
      <c r="I404" s="377"/>
    </row>
    <row r="405" spans="1:9">
      <c r="A405" s="364"/>
      <c r="B405" s="365"/>
      <c r="C405" s="401"/>
      <c r="D405" s="366"/>
      <c r="E405" s="364"/>
      <c r="F405" s="365"/>
      <c r="G405" s="365"/>
      <c r="H405" s="365"/>
      <c r="I405" s="364"/>
    </row>
    <row r="406" spans="1:9">
      <c r="A406" s="145" t="s">
        <v>284</v>
      </c>
    </row>
    <row r="407" spans="1:9">
      <c r="A407" s="145" t="s">
        <v>259</v>
      </c>
      <c r="B407" s="151" t="s">
        <v>476</v>
      </c>
      <c r="C407" s="402"/>
    </row>
    <row r="408" spans="1:9" ht="28.5" customHeight="1">
      <c r="A408" s="145" t="s">
        <v>219</v>
      </c>
      <c r="B408" s="631" t="s">
        <v>475</v>
      </c>
      <c r="C408" s="631"/>
      <c r="D408" s="631"/>
      <c r="E408" s="369" t="s">
        <v>374</v>
      </c>
      <c r="F408" s="341"/>
      <c r="G408" s="341"/>
    </row>
    <row r="409" spans="1:9" ht="33.75">
      <c r="A409" s="370" t="s">
        <v>32</v>
      </c>
      <c r="B409" s="381" t="s">
        <v>21</v>
      </c>
      <c r="C409" s="343" t="s">
        <v>81</v>
      </c>
      <c r="D409" s="343" t="s">
        <v>77</v>
      </c>
      <c r="E409" s="487" t="s">
        <v>82</v>
      </c>
      <c r="F409" s="382" t="s">
        <v>83</v>
      </c>
      <c r="G409" s="345" t="s">
        <v>84</v>
      </c>
    </row>
    <row r="410" spans="1:9" ht="15" customHeight="1">
      <c r="A410" s="650" t="s">
        <v>477</v>
      </c>
      <c r="B410" s="639" t="s">
        <v>382</v>
      </c>
      <c r="C410" s="519" t="s">
        <v>98</v>
      </c>
      <c r="D410" s="675" t="s">
        <v>202</v>
      </c>
      <c r="E410" s="677">
        <v>1</v>
      </c>
      <c r="F410" s="491">
        <f>G175</f>
        <v>9.51</v>
      </c>
      <c r="G410" s="497">
        <f>TRUNC(E410*F410,2)</f>
        <v>9.51</v>
      </c>
    </row>
    <row r="411" spans="1:9">
      <c r="A411" s="651"/>
      <c r="B411" s="640"/>
      <c r="C411" s="497" t="s">
        <v>87</v>
      </c>
      <c r="D411" s="676"/>
      <c r="E411" s="678"/>
      <c r="F411" s="491">
        <f>G176</f>
        <v>4.12</v>
      </c>
      <c r="G411" s="492">
        <f>TRUNC(E410*F411,2)</f>
        <v>4.12</v>
      </c>
    </row>
    <row r="412" spans="1:9" ht="33.75">
      <c r="A412" s="495" t="s">
        <v>478</v>
      </c>
      <c r="B412" s="496" t="s">
        <v>486</v>
      </c>
      <c r="C412" s="497" t="s">
        <v>343</v>
      </c>
      <c r="D412" s="489" t="s">
        <v>202</v>
      </c>
      <c r="E412" s="488">
        <v>1</v>
      </c>
      <c r="F412" s="491">
        <f>G428</f>
        <v>0.05</v>
      </c>
      <c r="G412" s="492">
        <f t="shared" ref="G412:G415" si="21">TRUNC(E412*F412,2)</f>
        <v>0.05</v>
      </c>
    </row>
    <row r="413" spans="1:9" ht="33.75">
      <c r="A413" s="495" t="s">
        <v>479</v>
      </c>
      <c r="B413" s="496" t="s">
        <v>490</v>
      </c>
      <c r="C413" s="497" t="s">
        <v>343</v>
      </c>
      <c r="D413" s="489" t="s">
        <v>202</v>
      </c>
      <c r="E413" s="488">
        <v>1</v>
      </c>
      <c r="F413" s="491">
        <f>G438</f>
        <v>0.01</v>
      </c>
      <c r="G413" s="492">
        <f t="shared" si="21"/>
        <v>0.01</v>
      </c>
    </row>
    <row r="414" spans="1:9" ht="33.75">
      <c r="A414" s="495" t="s">
        <v>480</v>
      </c>
      <c r="B414" s="496" t="s">
        <v>491</v>
      </c>
      <c r="C414" s="497" t="s">
        <v>343</v>
      </c>
      <c r="D414" s="489" t="s">
        <v>202</v>
      </c>
      <c r="E414" s="488">
        <v>1</v>
      </c>
      <c r="F414" s="491">
        <f>G448</f>
        <v>0.04</v>
      </c>
      <c r="G414" s="492">
        <f t="shared" si="21"/>
        <v>0.04</v>
      </c>
    </row>
    <row r="415" spans="1:9" ht="33.75">
      <c r="A415" s="498" t="s">
        <v>481</v>
      </c>
      <c r="B415" s="486" t="s">
        <v>492</v>
      </c>
      <c r="C415" s="345" t="s">
        <v>343</v>
      </c>
      <c r="D415" s="343" t="s">
        <v>202</v>
      </c>
      <c r="E415" s="499">
        <v>1</v>
      </c>
      <c r="F415" s="347">
        <f>G458</f>
        <v>1.48</v>
      </c>
      <c r="G415" s="492">
        <f t="shared" si="21"/>
        <v>1.48</v>
      </c>
    </row>
    <row r="416" spans="1:9">
      <c r="D416" s="438"/>
      <c r="E416" s="483"/>
      <c r="F416" s="484" t="s">
        <v>90</v>
      </c>
      <c r="G416" s="346">
        <f>G410</f>
        <v>9.51</v>
      </c>
    </row>
    <row r="417" spans="1:9">
      <c r="A417" s="340"/>
      <c r="D417" s="372"/>
      <c r="E417" s="352"/>
      <c r="F417" s="349" t="s">
        <v>91</v>
      </c>
      <c r="G417" s="346">
        <f>SUM(G411:G415)</f>
        <v>5.6999999999999993</v>
      </c>
      <c r="H417" s="365"/>
    </row>
    <row r="418" spans="1:9">
      <c r="A418" s="340"/>
      <c r="D418" s="439"/>
      <c r="E418" s="386"/>
      <c r="F418" s="349" t="s">
        <v>92</v>
      </c>
      <c r="G418" s="350">
        <f>SUM(G416:G417)</f>
        <v>15.209999999999999</v>
      </c>
      <c r="H418" s="392"/>
    </row>
    <row r="419" spans="1:9">
      <c r="A419" s="377"/>
      <c r="B419" s="378"/>
      <c r="C419" s="404"/>
      <c r="D419" s="379"/>
      <c r="E419" s="377"/>
      <c r="F419" s="378"/>
      <c r="G419" s="378"/>
      <c r="H419" s="378"/>
      <c r="I419" s="377"/>
    </row>
    <row r="420" spans="1:9">
      <c r="A420" s="364"/>
      <c r="B420" s="365"/>
      <c r="C420" s="401"/>
      <c r="D420" s="366"/>
      <c r="E420" s="364"/>
      <c r="F420" s="365"/>
      <c r="G420" s="365"/>
      <c r="H420" s="365"/>
      <c r="I420" s="364"/>
    </row>
    <row r="421" spans="1:9">
      <c r="A421" s="145" t="s">
        <v>284</v>
      </c>
      <c r="H421" s="365"/>
      <c r="I421" s="364"/>
    </row>
    <row r="422" spans="1:9">
      <c r="A422" s="145" t="s">
        <v>259</v>
      </c>
      <c r="B422" s="151" t="s">
        <v>482</v>
      </c>
      <c r="C422" s="402"/>
      <c r="H422" s="365"/>
      <c r="I422" s="364"/>
    </row>
    <row r="423" spans="1:9" ht="24" customHeight="1">
      <c r="A423" s="145" t="s">
        <v>219</v>
      </c>
      <c r="B423" s="631" t="s">
        <v>486</v>
      </c>
      <c r="C423" s="631"/>
      <c r="D423" s="631"/>
      <c r="E423" s="369" t="s">
        <v>202</v>
      </c>
      <c r="F423" s="341"/>
      <c r="G423" s="341"/>
      <c r="H423" s="365"/>
      <c r="I423" s="364"/>
    </row>
    <row r="424" spans="1:9" ht="33.75">
      <c r="A424" s="370" t="s">
        <v>32</v>
      </c>
      <c r="B424" s="381" t="s">
        <v>21</v>
      </c>
      <c r="C424" s="343" t="s">
        <v>81</v>
      </c>
      <c r="D424" s="343" t="s">
        <v>77</v>
      </c>
      <c r="E424" s="487" t="s">
        <v>82</v>
      </c>
      <c r="F424" s="382" t="s">
        <v>83</v>
      </c>
      <c r="G424" s="345" t="s">
        <v>84</v>
      </c>
      <c r="H424" s="365"/>
      <c r="I424" s="364"/>
    </row>
    <row r="425" spans="1:9" ht="33.75">
      <c r="A425" s="407" t="s">
        <v>483</v>
      </c>
      <c r="B425" s="408" t="s">
        <v>484</v>
      </c>
      <c r="C425" s="413" t="s">
        <v>343</v>
      </c>
      <c r="D425" s="343" t="s">
        <v>77</v>
      </c>
      <c r="E425" s="414">
        <v>7.2000000000000002E-5</v>
      </c>
      <c r="F425" s="358">
        <v>801.26</v>
      </c>
      <c r="G425" s="345">
        <f>TRUNC(E425*F425,2)</f>
        <v>0.05</v>
      </c>
    </row>
    <row r="426" spans="1:9">
      <c r="D426" s="372"/>
      <c r="E426" s="352"/>
      <c r="F426" s="349" t="s">
        <v>90</v>
      </c>
      <c r="G426" s="345"/>
    </row>
    <row r="427" spans="1:9">
      <c r="D427" s="372"/>
      <c r="E427" s="352"/>
      <c r="F427" s="349" t="s">
        <v>91</v>
      </c>
      <c r="G427" s="345">
        <f>G425</f>
        <v>0.05</v>
      </c>
    </row>
    <row r="428" spans="1:9">
      <c r="A428" s="340"/>
      <c r="D428" s="372"/>
      <c r="E428" s="352"/>
      <c r="F428" s="349" t="s">
        <v>92</v>
      </c>
      <c r="G428" s="380">
        <f>SUM(G426:G427)</f>
        <v>0.05</v>
      </c>
      <c r="H428" s="392"/>
    </row>
    <row r="429" spans="1:9">
      <c r="A429" s="377"/>
      <c r="B429" s="378"/>
      <c r="C429" s="404"/>
      <c r="D429" s="379"/>
      <c r="E429" s="377"/>
      <c r="F429" s="378"/>
      <c r="G429" s="378"/>
      <c r="H429" s="378"/>
      <c r="I429" s="377"/>
    </row>
    <row r="430" spans="1:9">
      <c r="A430" s="364"/>
      <c r="B430" s="365"/>
      <c r="C430" s="401"/>
      <c r="D430" s="366"/>
      <c r="E430" s="364"/>
      <c r="F430" s="365"/>
      <c r="G430" s="365"/>
      <c r="H430" s="365"/>
      <c r="I430" s="364"/>
    </row>
    <row r="431" spans="1:9">
      <c r="A431" s="145" t="s">
        <v>284</v>
      </c>
      <c r="H431" s="365"/>
      <c r="I431" s="364"/>
    </row>
    <row r="432" spans="1:9">
      <c r="A432" s="145" t="s">
        <v>259</v>
      </c>
      <c r="B432" s="151" t="s">
        <v>485</v>
      </c>
      <c r="C432" s="402"/>
      <c r="H432" s="365"/>
      <c r="I432" s="364"/>
    </row>
    <row r="433" spans="1:9" ht="20.25" customHeight="1">
      <c r="A433" s="145" t="s">
        <v>219</v>
      </c>
      <c r="B433" s="631" t="s">
        <v>487</v>
      </c>
      <c r="C433" s="631"/>
      <c r="D433" s="631"/>
      <c r="E433" s="369" t="s">
        <v>202</v>
      </c>
      <c r="F433" s="341"/>
      <c r="G433" s="341"/>
      <c r="H433" s="365"/>
      <c r="I433" s="364"/>
    </row>
    <row r="434" spans="1:9" ht="33.75">
      <c r="A434" s="370" t="s">
        <v>32</v>
      </c>
      <c r="B434" s="381" t="s">
        <v>21</v>
      </c>
      <c r="C434" s="343" t="s">
        <v>81</v>
      </c>
      <c r="D434" s="343" t="s">
        <v>77</v>
      </c>
      <c r="E434" s="487" t="s">
        <v>82</v>
      </c>
      <c r="F434" s="382" t="s">
        <v>83</v>
      </c>
      <c r="G434" s="345" t="s">
        <v>84</v>
      </c>
      <c r="H434" s="365"/>
      <c r="I434" s="364"/>
    </row>
    <row r="435" spans="1:9" ht="33.75">
      <c r="A435" s="407" t="s">
        <v>483</v>
      </c>
      <c r="B435" s="408" t="s">
        <v>484</v>
      </c>
      <c r="C435" s="413" t="s">
        <v>343</v>
      </c>
      <c r="D435" s="343" t="s">
        <v>77</v>
      </c>
      <c r="E435" s="414">
        <v>1.4399999999999999E-5</v>
      </c>
      <c r="F435" s="358">
        <v>801.26</v>
      </c>
      <c r="G435" s="345">
        <f>TRUNC(E435*F435,2)</f>
        <v>0.01</v>
      </c>
    </row>
    <row r="436" spans="1:9">
      <c r="D436" s="372"/>
      <c r="E436" s="352"/>
      <c r="F436" s="349" t="s">
        <v>90</v>
      </c>
      <c r="G436" s="345"/>
    </row>
    <row r="437" spans="1:9">
      <c r="D437" s="372"/>
      <c r="E437" s="352"/>
      <c r="F437" s="349" t="s">
        <v>91</v>
      </c>
      <c r="G437" s="345">
        <f>G435</f>
        <v>0.01</v>
      </c>
    </row>
    <row r="438" spans="1:9">
      <c r="A438" s="340"/>
      <c r="D438" s="372"/>
      <c r="E438" s="352"/>
      <c r="F438" s="349" t="s">
        <v>92</v>
      </c>
      <c r="G438" s="380">
        <f>SUM(G436:G437)</f>
        <v>0.01</v>
      </c>
      <c r="H438" s="392"/>
    </row>
    <row r="439" spans="1:9">
      <c r="A439" s="377"/>
      <c r="B439" s="378"/>
      <c r="C439" s="404"/>
      <c r="D439" s="379"/>
      <c r="E439" s="377"/>
      <c r="F439" s="378"/>
      <c r="G439" s="378"/>
      <c r="H439" s="378"/>
      <c r="I439" s="377"/>
    </row>
    <row r="440" spans="1:9">
      <c r="A440" s="364"/>
      <c r="B440" s="365"/>
      <c r="C440" s="401"/>
      <c r="D440" s="366"/>
      <c r="E440" s="364"/>
      <c r="F440" s="365"/>
      <c r="G440" s="365"/>
      <c r="H440" s="365"/>
      <c r="I440" s="364"/>
    </row>
    <row r="441" spans="1:9">
      <c r="A441" s="145" t="s">
        <v>284</v>
      </c>
      <c r="H441" s="365"/>
      <c r="I441" s="364"/>
    </row>
    <row r="442" spans="1:9">
      <c r="A442" s="145" t="s">
        <v>259</v>
      </c>
      <c r="B442" s="151" t="s">
        <v>488</v>
      </c>
      <c r="C442" s="402"/>
      <c r="H442" s="365"/>
      <c r="I442" s="364"/>
    </row>
    <row r="443" spans="1:9" ht="25.5" customHeight="1">
      <c r="A443" s="145" t="s">
        <v>219</v>
      </c>
      <c r="B443" s="631" t="s">
        <v>489</v>
      </c>
      <c r="C443" s="631"/>
      <c r="D443" s="631"/>
      <c r="E443" s="369" t="s">
        <v>202</v>
      </c>
      <c r="F443" s="341"/>
      <c r="G443" s="341"/>
      <c r="H443" s="365"/>
      <c r="I443" s="364"/>
    </row>
    <row r="444" spans="1:9" ht="33.75">
      <c r="A444" s="370" t="s">
        <v>32</v>
      </c>
      <c r="B444" s="381" t="s">
        <v>21</v>
      </c>
      <c r="C444" s="343" t="s">
        <v>81</v>
      </c>
      <c r="D444" s="343" t="s">
        <v>77</v>
      </c>
      <c r="E444" s="487" t="s">
        <v>82</v>
      </c>
      <c r="F444" s="382" t="s">
        <v>83</v>
      </c>
      <c r="G444" s="345" t="s">
        <v>84</v>
      </c>
      <c r="H444" s="365"/>
      <c r="I444" s="364"/>
    </row>
    <row r="445" spans="1:9" ht="33.75">
      <c r="A445" s="407" t="s">
        <v>483</v>
      </c>
      <c r="B445" s="408" t="s">
        <v>484</v>
      </c>
      <c r="C445" s="413" t="s">
        <v>343</v>
      </c>
      <c r="D445" s="343" t="s">
        <v>77</v>
      </c>
      <c r="E445" s="414">
        <v>5.0000000000000002E-5</v>
      </c>
      <c r="F445" s="358">
        <v>801.26</v>
      </c>
      <c r="G445" s="345">
        <f>TRUNC(E445*F445,2)</f>
        <v>0.04</v>
      </c>
    </row>
    <row r="446" spans="1:9">
      <c r="D446" s="372"/>
      <c r="E446" s="352"/>
      <c r="F446" s="349" t="s">
        <v>90</v>
      </c>
      <c r="G446" s="345"/>
    </row>
    <row r="447" spans="1:9">
      <c r="D447" s="372"/>
      <c r="E447" s="352"/>
      <c r="F447" s="349" t="s">
        <v>91</v>
      </c>
      <c r="G447" s="345">
        <f>G445</f>
        <v>0.04</v>
      </c>
    </row>
    <row r="448" spans="1:9">
      <c r="A448" s="340"/>
      <c r="D448" s="372"/>
      <c r="E448" s="352"/>
      <c r="F448" s="349" t="s">
        <v>92</v>
      </c>
      <c r="G448" s="380">
        <f>SUM(G446:G447)</f>
        <v>0.04</v>
      </c>
      <c r="H448" s="392"/>
    </row>
    <row r="449" spans="1:9">
      <c r="A449" s="377"/>
      <c r="B449" s="378"/>
      <c r="C449" s="404"/>
      <c r="D449" s="379"/>
      <c r="E449" s="377"/>
      <c r="F449" s="378"/>
      <c r="G449" s="378"/>
      <c r="H449" s="378"/>
      <c r="I449" s="377"/>
    </row>
    <row r="450" spans="1:9">
      <c r="A450" s="364"/>
      <c r="B450" s="365"/>
      <c r="C450" s="401"/>
      <c r="D450" s="366"/>
      <c r="E450" s="364"/>
      <c r="F450" s="365"/>
      <c r="G450" s="365"/>
      <c r="H450" s="365"/>
      <c r="I450" s="364"/>
    </row>
    <row r="451" spans="1:9">
      <c r="A451" s="145" t="s">
        <v>284</v>
      </c>
      <c r="H451" s="365"/>
      <c r="I451" s="364"/>
    </row>
    <row r="452" spans="1:9">
      <c r="A452" s="145" t="s">
        <v>259</v>
      </c>
      <c r="B452" s="151" t="s">
        <v>493</v>
      </c>
      <c r="C452" s="402"/>
      <c r="H452" s="365"/>
      <c r="I452" s="364"/>
    </row>
    <row r="453" spans="1:9" ht="23.25" customHeight="1">
      <c r="A453" s="145" t="s">
        <v>219</v>
      </c>
      <c r="B453" s="631" t="s">
        <v>494</v>
      </c>
      <c r="C453" s="631"/>
      <c r="D453" s="631"/>
      <c r="E453" s="369" t="s">
        <v>202</v>
      </c>
      <c r="F453" s="341"/>
      <c r="G453" s="341"/>
      <c r="H453" s="365"/>
      <c r="I453" s="364"/>
    </row>
    <row r="454" spans="1:9" ht="33.75">
      <c r="A454" s="370" t="s">
        <v>32</v>
      </c>
      <c r="B454" s="381" t="s">
        <v>21</v>
      </c>
      <c r="C454" s="343" t="s">
        <v>81</v>
      </c>
      <c r="D454" s="343" t="s">
        <v>77</v>
      </c>
      <c r="E454" s="487" t="s">
        <v>82</v>
      </c>
      <c r="F454" s="382" t="s">
        <v>83</v>
      </c>
      <c r="G454" s="345" t="s">
        <v>84</v>
      </c>
      <c r="H454" s="365"/>
      <c r="I454" s="364"/>
    </row>
    <row r="455" spans="1:9" ht="22.5">
      <c r="A455" s="407">
        <v>2705</v>
      </c>
      <c r="B455" s="408" t="s">
        <v>446</v>
      </c>
      <c r="C455" s="413" t="s">
        <v>87</v>
      </c>
      <c r="D455" s="343" t="s">
        <v>447</v>
      </c>
      <c r="E455" s="414">
        <v>3.17</v>
      </c>
      <c r="F455" s="358">
        <v>0.47</v>
      </c>
      <c r="G455" s="345">
        <f>TRUNC(E455*F455,2)</f>
        <v>1.48</v>
      </c>
    </row>
    <row r="456" spans="1:9">
      <c r="D456" s="372"/>
      <c r="E456" s="352"/>
      <c r="F456" s="349" t="s">
        <v>90</v>
      </c>
      <c r="G456" s="345"/>
    </row>
    <row r="457" spans="1:9">
      <c r="D457" s="372"/>
      <c r="E457" s="352"/>
      <c r="F457" s="349" t="s">
        <v>91</v>
      </c>
      <c r="G457" s="345">
        <f>G455</f>
        <v>1.48</v>
      </c>
    </row>
    <row r="458" spans="1:9">
      <c r="A458" s="340"/>
      <c r="D458" s="372"/>
      <c r="E458" s="352"/>
      <c r="F458" s="349" t="s">
        <v>92</v>
      </c>
      <c r="G458" s="380">
        <f>SUM(G456:G457)</f>
        <v>1.48</v>
      </c>
      <c r="H458" s="392"/>
    </row>
    <row r="459" spans="1:9">
      <c r="A459" s="377"/>
      <c r="B459" s="378"/>
      <c r="C459" s="404"/>
      <c r="D459" s="379"/>
      <c r="E459" s="377"/>
      <c r="F459" s="378"/>
      <c r="G459" s="378"/>
      <c r="H459" s="378"/>
      <c r="I459" s="377"/>
    </row>
    <row r="460" spans="1:9">
      <c r="A460" s="364"/>
      <c r="B460" s="365"/>
      <c r="C460" s="401"/>
      <c r="D460" s="366"/>
      <c r="E460" s="364"/>
      <c r="F460" s="365"/>
      <c r="G460" s="365"/>
      <c r="H460" s="365"/>
      <c r="I460" s="364"/>
    </row>
    <row r="461" spans="1:9">
      <c r="A461" s="145" t="s">
        <v>284</v>
      </c>
    </row>
    <row r="462" spans="1:9">
      <c r="A462" s="145" t="s">
        <v>259</v>
      </c>
      <c r="B462" s="151" t="s">
        <v>495</v>
      </c>
      <c r="C462" s="402"/>
    </row>
    <row r="463" spans="1:9" ht="24" customHeight="1">
      <c r="A463" s="145" t="s">
        <v>219</v>
      </c>
      <c r="B463" s="631" t="s">
        <v>474</v>
      </c>
      <c r="C463" s="631"/>
      <c r="D463" s="631"/>
      <c r="E463" s="369" t="s">
        <v>374</v>
      </c>
      <c r="F463" s="341"/>
      <c r="G463" s="341"/>
    </row>
    <row r="464" spans="1:9" ht="33.75">
      <c r="A464" s="370" t="s">
        <v>32</v>
      </c>
      <c r="B464" s="381" t="s">
        <v>21</v>
      </c>
      <c r="C464" s="343" t="s">
        <v>81</v>
      </c>
      <c r="D464" s="343" t="s">
        <v>77</v>
      </c>
      <c r="E464" s="487" t="s">
        <v>82</v>
      </c>
      <c r="F464" s="382" t="s">
        <v>83</v>
      </c>
      <c r="G464" s="345" t="s">
        <v>84</v>
      </c>
    </row>
    <row r="465" spans="1:9" ht="11.25" customHeight="1">
      <c r="A465" s="650" t="s">
        <v>477</v>
      </c>
      <c r="B465" s="639" t="s">
        <v>698</v>
      </c>
      <c r="C465" s="519" t="s">
        <v>98</v>
      </c>
      <c r="D465" s="675" t="s">
        <v>202</v>
      </c>
      <c r="E465" s="677">
        <v>1</v>
      </c>
      <c r="F465" s="491">
        <f>G175</f>
        <v>9.51</v>
      </c>
      <c r="G465" s="497">
        <f>TRUNC(E465*F465,2)</f>
        <v>9.51</v>
      </c>
      <c r="H465" s="365"/>
      <c r="I465" s="364"/>
    </row>
    <row r="466" spans="1:9">
      <c r="A466" s="651"/>
      <c r="B466" s="640"/>
      <c r="C466" s="497" t="s">
        <v>87</v>
      </c>
      <c r="D466" s="676"/>
      <c r="E466" s="678"/>
      <c r="F466" s="491">
        <f>G176</f>
        <v>4.12</v>
      </c>
      <c r="G466" s="492">
        <f>TRUNC(E465*F466,2)</f>
        <v>4.12</v>
      </c>
      <c r="H466" s="365"/>
      <c r="I466" s="364"/>
    </row>
    <row r="467" spans="1:9" ht="33.75">
      <c r="A467" s="495" t="s">
        <v>478</v>
      </c>
      <c r="B467" s="496" t="s">
        <v>486</v>
      </c>
      <c r="C467" s="497" t="s">
        <v>343</v>
      </c>
      <c r="D467" s="489" t="s">
        <v>202</v>
      </c>
      <c r="E467" s="488">
        <v>1</v>
      </c>
      <c r="F467" s="491">
        <f>G428</f>
        <v>0.05</v>
      </c>
      <c r="G467" s="492">
        <f t="shared" ref="G467:G468" si="22">TRUNC(E467*F467,2)</f>
        <v>0.05</v>
      </c>
      <c r="H467" s="365"/>
      <c r="I467" s="364"/>
    </row>
    <row r="468" spans="1:9" ht="33.75">
      <c r="A468" s="520" t="s">
        <v>479</v>
      </c>
      <c r="B468" s="500" t="s">
        <v>490</v>
      </c>
      <c r="C468" s="487" t="s">
        <v>343</v>
      </c>
      <c r="D468" s="489" t="s">
        <v>202</v>
      </c>
      <c r="E468" s="488">
        <v>1</v>
      </c>
      <c r="F468" s="491">
        <f>G438</f>
        <v>0.01</v>
      </c>
      <c r="G468" s="492">
        <f t="shared" si="22"/>
        <v>0.01</v>
      </c>
      <c r="H468" s="365"/>
      <c r="I468" s="364"/>
    </row>
    <row r="469" spans="1:9">
      <c r="D469" s="372"/>
      <c r="E469" s="352"/>
      <c r="F469" s="349" t="s">
        <v>90</v>
      </c>
      <c r="G469" s="345">
        <f>G465</f>
        <v>9.51</v>
      </c>
    </row>
    <row r="470" spans="1:9">
      <c r="D470" s="372"/>
      <c r="E470" s="352"/>
      <c r="F470" s="349" t="s">
        <v>91</v>
      </c>
      <c r="G470" s="346">
        <f>G466+G467+G468</f>
        <v>4.18</v>
      </c>
    </row>
    <row r="471" spans="1:9">
      <c r="A471" s="340"/>
      <c r="D471" s="372"/>
      <c r="E471" s="352"/>
      <c r="F471" s="349" t="s">
        <v>92</v>
      </c>
      <c r="G471" s="380">
        <f>SUM(G469:G470)</f>
        <v>13.69</v>
      </c>
      <c r="H471" s="392"/>
    </row>
    <row r="472" spans="1:9">
      <c r="A472" s="377"/>
      <c r="B472" s="378"/>
      <c r="C472" s="404"/>
      <c r="D472" s="379"/>
      <c r="E472" s="377"/>
      <c r="F472" s="378"/>
      <c r="G472" s="378"/>
      <c r="H472" s="378"/>
      <c r="I472" s="377"/>
    </row>
    <row r="473" spans="1:9">
      <c r="A473" s="364"/>
      <c r="B473" s="365"/>
      <c r="C473" s="401"/>
      <c r="D473" s="366"/>
      <c r="E473" s="364"/>
      <c r="F473" s="365"/>
      <c r="G473" s="365"/>
      <c r="H473" s="365"/>
      <c r="I473" s="364"/>
    </row>
    <row r="474" spans="1:9">
      <c r="A474" s="364"/>
      <c r="B474" s="365"/>
      <c r="C474" s="401"/>
      <c r="D474" s="366"/>
      <c r="E474" s="364"/>
      <c r="F474" s="365"/>
      <c r="G474" s="365"/>
      <c r="H474" s="365"/>
      <c r="I474" s="364"/>
    </row>
    <row r="475" spans="1:9">
      <c r="A475" s="364"/>
      <c r="B475" s="365"/>
      <c r="C475" s="401"/>
      <c r="D475" s="366"/>
      <c r="E475" s="364"/>
      <c r="F475" s="365"/>
      <c r="G475" s="365"/>
      <c r="H475" s="365"/>
      <c r="I475" s="364"/>
    </row>
    <row r="476" spans="1:9">
      <c r="A476" s="364"/>
      <c r="B476" s="365"/>
      <c r="C476" s="401"/>
      <c r="D476" s="366"/>
      <c r="E476" s="364"/>
      <c r="F476" s="365"/>
      <c r="G476" s="365"/>
      <c r="H476" s="365"/>
      <c r="I476" s="364"/>
    </row>
    <row r="477" spans="1:9">
      <c r="A477" s="364"/>
      <c r="B477" s="365"/>
      <c r="C477" s="401"/>
      <c r="D477" s="366"/>
      <c r="E477" s="364"/>
      <c r="F477" s="365"/>
      <c r="G477" s="365"/>
      <c r="H477" s="365"/>
      <c r="I477" s="364"/>
    </row>
    <row r="478" spans="1:9">
      <c r="A478" s="377"/>
      <c r="B478" s="378"/>
      <c r="C478" s="404"/>
      <c r="D478" s="379"/>
      <c r="E478" s="377"/>
      <c r="F478" s="378"/>
      <c r="G478" s="378"/>
      <c r="H478" s="378"/>
      <c r="I478" s="377"/>
    </row>
    <row r="480" spans="1:9">
      <c r="A480" s="145" t="s">
        <v>284</v>
      </c>
    </row>
    <row r="481" spans="1:9">
      <c r="A481" s="145" t="s">
        <v>259</v>
      </c>
      <c r="B481" s="415" t="s">
        <v>458</v>
      </c>
      <c r="C481" s="416"/>
    </row>
    <row r="482" spans="1:9" ht="33.75">
      <c r="A482" s="145" t="s">
        <v>219</v>
      </c>
      <c r="B482" s="462" t="s">
        <v>457</v>
      </c>
      <c r="C482" s="369" t="s">
        <v>202</v>
      </c>
      <c r="E482" s="341" t="s">
        <v>6</v>
      </c>
      <c r="F482" s="341"/>
      <c r="G482" s="341"/>
    </row>
    <row r="483" spans="1:9" ht="33.75">
      <c r="A483" s="370" t="s">
        <v>32</v>
      </c>
      <c r="B483" s="381" t="s">
        <v>21</v>
      </c>
      <c r="C483" s="343" t="s">
        <v>81</v>
      </c>
      <c r="D483" s="343" t="s">
        <v>77</v>
      </c>
      <c r="E483" s="465" t="s">
        <v>82</v>
      </c>
      <c r="F483" s="382" t="s">
        <v>83</v>
      </c>
      <c r="G483" s="345" t="s">
        <v>84</v>
      </c>
    </row>
    <row r="484" spans="1:9" ht="14.1" customHeight="1">
      <c r="A484" s="407">
        <v>6114</v>
      </c>
      <c r="B484" s="408" t="s">
        <v>459</v>
      </c>
      <c r="C484" s="413" t="s">
        <v>98</v>
      </c>
      <c r="D484" s="343" t="s">
        <v>202</v>
      </c>
      <c r="E484" s="414">
        <v>9.2999999999999992E-3</v>
      </c>
      <c r="F484" s="358">
        <f>10.22/118.57%</f>
        <v>8.619380956397066</v>
      </c>
      <c r="G484" s="345">
        <f>TRUNC(E484*F484,2)</f>
        <v>0.08</v>
      </c>
    </row>
    <row r="485" spans="1:9">
      <c r="D485" s="372"/>
      <c r="E485" s="352"/>
      <c r="F485" s="349" t="s">
        <v>90</v>
      </c>
      <c r="G485" s="345">
        <f>G484</f>
        <v>0.08</v>
      </c>
    </row>
    <row r="486" spans="1:9">
      <c r="D486" s="372"/>
      <c r="E486" s="352"/>
      <c r="F486" s="349" t="s">
        <v>91</v>
      </c>
      <c r="G486" s="345"/>
    </row>
    <row r="487" spans="1:9">
      <c r="A487" s="340"/>
      <c r="D487" s="372"/>
      <c r="E487" s="352"/>
      <c r="F487" s="349" t="s">
        <v>92</v>
      </c>
      <c r="G487" s="380">
        <f>SUM(G485:G486)</f>
        <v>0.08</v>
      </c>
      <c r="H487" s="392"/>
    </row>
    <row r="488" spans="1:9">
      <c r="A488" s="377"/>
      <c r="B488" s="378"/>
      <c r="C488" s="404"/>
      <c r="D488" s="379"/>
      <c r="E488" s="377"/>
      <c r="F488" s="378"/>
      <c r="G488" s="378"/>
      <c r="H488" s="378"/>
      <c r="I488" s="377"/>
    </row>
    <row r="490" spans="1:9">
      <c r="A490" s="145" t="s">
        <v>284</v>
      </c>
    </row>
    <row r="491" spans="1:9">
      <c r="A491" s="145" t="s">
        <v>259</v>
      </c>
      <c r="B491" s="415" t="s">
        <v>463</v>
      </c>
      <c r="C491" s="416"/>
    </row>
    <row r="492" spans="1:9" ht="22.5">
      <c r="A492" s="145" t="s">
        <v>219</v>
      </c>
      <c r="B492" s="462" t="s">
        <v>461</v>
      </c>
      <c r="C492" s="369" t="s">
        <v>202</v>
      </c>
      <c r="E492" s="341" t="s">
        <v>6</v>
      </c>
      <c r="F492" s="341"/>
      <c r="G492" s="341"/>
    </row>
    <row r="493" spans="1:9" ht="33.75">
      <c r="A493" s="370" t="s">
        <v>32</v>
      </c>
      <c r="B493" s="381" t="s">
        <v>21</v>
      </c>
      <c r="C493" s="343" t="s">
        <v>81</v>
      </c>
      <c r="D493" s="343" t="s">
        <v>77</v>
      </c>
      <c r="E493" s="465" t="s">
        <v>82</v>
      </c>
      <c r="F493" s="382" t="s">
        <v>83</v>
      </c>
      <c r="G493" s="345" t="s">
        <v>84</v>
      </c>
    </row>
    <row r="494" spans="1:9" ht="14.1" customHeight="1">
      <c r="A494" s="407">
        <v>378</v>
      </c>
      <c r="B494" s="408" t="s">
        <v>462</v>
      </c>
      <c r="C494" s="413" t="s">
        <v>98</v>
      </c>
      <c r="D494" s="343" t="s">
        <v>202</v>
      </c>
      <c r="E494" s="414">
        <v>9.2999999999999992E-3</v>
      </c>
      <c r="F494" s="358">
        <f>14.68/118.57%</f>
        <v>12.380872058699502</v>
      </c>
      <c r="G494" s="345">
        <f>TRUNC(E494*F494,2)</f>
        <v>0.11</v>
      </c>
    </row>
    <row r="495" spans="1:9" ht="14.1" customHeight="1">
      <c r="D495" s="372"/>
      <c r="E495" s="352"/>
      <c r="F495" s="349" t="s">
        <v>90</v>
      </c>
      <c r="G495" s="345">
        <f>G494</f>
        <v>0.11</v>
      </c>
    </row>
    <row r="496" spans="1:9" ht="14.1" customHeight="1">
      <c r="D496" s="372"/>
      <c r="E496" s="352"/>
      <c r="F496" s="349" t="s">
        <v>91</v>
      </c>
      <c r="G496" s="345"/>
    </row>
    <row r="497" spans="1:9" ht="14.1" customHeight="1">
      <c r="A497" s="340"/>
      <c r="D497" s="372"/>
      <c r="E497" s="352"/>
      <c r="F497" s="349" t="s">
        <v>92</v>
      </c>
      <c r="G497" s="380">
        <f>SUM(G495:G496)</f>
        <v>0.11</v>
      </c>
      <c r="H497" s="392"/>
    </row>
    <row r="498" spans="1:9">
      <c r="A498" s="377"/>
      <c r="B498" s="378"/>
      <c r="C498" s="404"/>
      <c r="D498" s="379"/>
      <c r="E498" s="377"/>
      <c r="F498" s="378"/>
      <c r="G498" s="378"/>
      <c r="H498" s="378"/>
      <c r="I498" s="377"/>
    </row>
    <row r="500" spans="1:9">
      <c r="A500" s="145" t="s">
        <v>284</v>
      </c>
    </row>
    <row r="501" spans="1:9">
      <c r="A501" s="145" t="s">
        <v>259</v>
      </c>
      <c r="B501" s="415" t="s">
        <v>466</v>
      </c>
      <c r="C501" s="416"/>
    </row>
    <row r="502" spans="1:9" ht="33.75">
      <c r="A502" s="145" t="s">
        <v>219</v>
      </c>
      <c r="B502" s="485" t="s">
        <v>467</v>
      </c>
      <c r="C502" s="369" t="s">
        <v>313</v>
      </c>
      <c r="E502" s="341" t="s">
        <v>6</v>
      </c>
      <c r="F502" s="341"/>
      <c r="G502" s="341"/>
    </row>
    <row r="503" spans="1:9" ht="33.75">
      <c r="A503" s="370" t="s">
        <v>32</v>
      </c>
      <c r="B503" s="503" t="s">
        <v>21</v>
      </c>
      <c r="C503" s="343" t="s">
        <v>81</v>
      </c>
      <c r="D503" s="343" t="s">
        <v>77</v>
      </c>
      <c r="E503" s="487" t="s">
        <v>82</v>
      </c>
      <c r="F503" s="382" t="s">
        <v>83</v>
      </c>
      <c r="G503" s="345" t="s">
        <v>84</v>
      </c>
    </row>
    <row r="504" spans="1:9">
      <c r="A504" s="370" t="s">
        <v>464</v>
      </c>
      <c r="B504" s="408" t="s">
        <v>465</v>
      </c>
      <c r="C504" s="382" t="s">
        <v>87</v>
      </c>
      <c r="D504" s="343" t="s">
        <v>313</v>
      </c>
      <c r="E504" s="487">
        <v>1.1100000000000001</v>
      </c>
      <c r="F504" s="382">
        <v>5.0199999999999996</v>
      </c>
      <c r="G504" s="346">
        <f t="shared" ref="G504:G505" si="23">TRUNC(E504*F504,2)</f>
        <v>5.57</v>
      </c>
    </row>
    <row r="505" spans="1:9" ht="11.25" customHeight="1">
      <c r="A505" s="647" t="s">
        <v>452</v>
      </c>
      <c r="B505" s="636" t="s">
        <v>453</v>
      </c>
      <c r="C505" s="382" t="s">
        <v>98</v>
      </c>
      <c r="D505" s="675" t="s">
        <v>202</v>
      </c>
      <c r="E505" s="634">
        <v>3.2000000000000002E-3</v>
      </c>
      <c r="F505" s="513">
        <f>COMPOSIÇÕES!G752</f>
        <v>8.69</v>
      </c>
      <c r="G505" s="346">
        <f t="shared" si="23"/>
        <v>0.02</v>
      </c>
    </row>
    <row r="506" spans="1:9">
      <c r="A506" s="648"/>
      <c r="B506" s="637"/>
      <c r="C506" s="382" t="s">
        <v>87</v>
      </c>
      <c r="D506" s="676"/>
      <c r="E506" s="635"/>
      <c r="F506" s="513">
        <f>COMPOSIÇÕES!G753</f>
        <v>4.5600000000000005</v>
      </c>
      <c r="G506" s="346">
        <f>TRUNC(E505*F506,2)</f>
        <v>0.01</v>
      </c>
    </row>
    <row r="507" spans="1:9">
      <c r="A507" s="626">
        <v>88245</v>
      </c>
      <c r="B507" s="636" t="s">
        <v>455</v>
      </c>
      <c r="C507" s="382" t="s">
        <v>98</v>
      </c>
      <c r="D507" s="675" t="s">
        <v>202</v>
      </c>
      <c r="E507" s="654">
        <v>2.24E-2</v>
      </c>
      <c r="F507" s="513">
        <f>COMPOSIÇÕES!G735</f>
        <v>12.49</v>
      </c>
      <c r="G507" s="346">
        <f t="shared" ref="G507" si="24">TRUNC(E507*F507,2)</f>
        <v>0.27</v>
      </c>
    </row>
    <row r="508" spans="1:9">
      <c r="A508" s="627"/>
      <c r="B508" s="637"/>
      <c r="C508" s="413" t="s">
        <v>87</v>
      </c>
      <c r="D508" s="676"/>
      <c r="E508" s="655"/>
      <c r="F508" s="513">
        <f>COMPOSIÇÕES!G736</f>
        <v>4.5600000000000005</v>
      </c>
      <c r="G508" s="345">
        <f>TRUNC(E507*F508,2)</f>
        <v>0.1</v>
      </c>
    </row>
    <row r="509" spans="1:9" ht="14.1" customHeight="1">
      <c r="D509" s="372"/>
      <c r="E509" s="352"/>
      <c r="F509" s="349" t="s">
        <v>90</v>
      </c>
      <c r="G509" s="346">
        <f>G505+G507</f>
        <v>0.29000000000000004</v>
      </c>
    </row>
    <row r="510" spans="1:9" ht="14.1" customHeight="1">
      <c r="D510" s="372"/>
      <c r="E510" s="352"/>
      <c r="F510" s="349" t="s">
        <v>91</v>
      </c>
      <c r="G510" s="346">
        <f>G504+G506+G508</f>
        <v>5.68</v>
      </c>
    </row>
    <row r="511" spans="1:9" ht="14.1" customHeight="1">
      <c r="A511" s="340"/>
      <c r="D511" s="372"/>
      <c r="E511" s="352"/>
      <c r="F511" s="349" t="s">
        <v>92</v>
      </c>
      <c r="G511" s="380">
        <f>SUM(G509:G510)</f>
        <v>5.97</v>
      </c>
      <c r="H511" s="392"/>
    </row>
    <row r="512" spans="1:9">
      <c r="A512" s="377"/>
      <c r="B512" s="378"/>
      <c r="C512" s="404"/>
      <c r="D512" s="379"/>
      <c r="E512" s="377"/>
      <c r="F512" s="378"/>
      <c r="G512" s="378"/>
      <c r="H512" s="378"/>
      <c r="I512" s="377"/>
    </row>
    <row r="514" spans="1:9">
      <c r="A514" s="145" t="s">
        <v>284</v>
      </c>
    </row>
    <row r="515" spans="1:9">
      <c r="A515" s="145" t="s">
        <v>259</v>
      </c>
      <c r="B515" s="415" t="s">
        <v>781</v>
      </c>
      <c r="C515" s="416"/>
    </row>
    <row r="516" spans="1:9" ht="33.75">
      <c r="A516" s="145" t="s">
        <v>219</v>
      </c>
      <c r="B516" s="462" t="s">
        <v>779</v>
      </c>
      <c r="C516" s="369" t="s">
        <v>313</v>
      </c>
      <c r="E516" s="341" t="s">
        <v>6</v>
      </c>
      <c r="F516" s="341"/>
      <c r="G516" s="341"/>
    </row>
    <row r="517" spans="1:9" ht="33.75">
      <c r="A517" s="370" t="s">
        <v>32</v>
      </c>
      <c r="B517" s="503" t="s">
        <v>21</v>
      </c>
      <c r="C517" s="343" t="s">
        <v>81</v>
      </c>
      <c r="D517" s="343" t="s">
        <v>77</v>
      </c>
      <c r="E517" s="465" t="s">
        <v>82</v>
      </c>
      <c r="F517" s="382" t="s">
        <v>83</v>
      </c>
      <c r="G517" s="345" t="s">
        <v>84</v>
      </c>
    </row>
    <row r="518" spans="1:9">
      <c r="A518" s="515">
        <v>31</v>
      </c>
      <c r="B518" s="408" t="s">
        <v>782</v>
      </c>
      <c r="C518" s="382" t="s">
        <v>87</v>
      </c>
      <c r="D518" s="343" t="s">
        <v>313</v>
      </c>
      <c r="E518" s="465">
        <v>1.1100000000000001</v>
      </c>
      <c r="F518" s="382">
        <v>4.0599999999999996</v>
      </c>
      <c r="G518" s="346">
        <f t="shared" ref="G518:G521" si="25">TRUNC(E518*F518,2)</f>
        <v>4.5</v>
      </c>
    </row>
    <row r="519" spans="1:9" ht="15" customHeight="1">
      <c r="A519" s="647" t="s">
        <v>452</v>
      </c>
      <c r="B519" s="636" t="s">
        <v>453</v>
      </c>
      <c r="C519" s="382" t="s">
        <v>98</v>
      </c>
      <c r="D519" s="675" t="s">
        <v>202</v>
      </c>
      <c r="E519" s="634">
        <v>1E-3</v>
      </c>
      <c r="F519" s="513">
        <f>COMPOSIÇÕES!G752</f>
        <v>8.69</v>
      </c>
      <c r="G519" s="346">
        <f t="shared" si="25"/>
        <v>0</v>
      </c>
    </row>
    <row r="520" spans="1:9">
      <c r="A520" s="648"/>
      <c r="B520" s="637"/>
      <c r="C520" s="382" t="s">
        <v>87</v>
      </c>
      <c r="D520" s="676"/>
      <c r="E520" s="635"/>
      <c r="F520" s="513">
        <f>COMPOSIÇÕES!G753</f>
        <v>4.5600000000000005</v>
      </c>
      <c r="G520" s="346">
        <f>TRUNC(E519*F520,2)</f>
        <v>0</v>
      </c>
    </row>
    <row r="521" spans="1:9" ht="15" customHeight="1">
      <c r="A521" s="626">
        <v>88245</v>
      </c>
      <c r="B521" s="636" t="s">
        <v>455</v>
      </c>
      <c r="C521" s="382" t="s">
        <v>98</v>
      </c>
      <c r="D521" s="675" t="s">
        <v>202</v>
      </c>
      <c r="E521" s="654">
        <v>7.0000000000000001E-3</v>
      </c>
      <c r="F521" s="513">
        <f>COMPOSIÇÕES!G735</f>
        <v>12.49</v>
      </c>
      <c r="G521" s="346">
        <f t="shared" si="25"/>
        <v>0.08</v>
      </c>
    </row>
    <row r="522" spans="1:9">
      <c r="A522" s="627"/>
      <c r="B522" s="637"/>
      <c r="C522" s="413" t="s">
        <v>87</v>
      </c>
      <c r="D522" s="676"/>
      <c r="E522" s="655"/>
      <c r="F522" s="513">
        <f>COMPOSIÇÕES!G736</f>
        <v>4.5600000000000005</v>
      </c>
      <c r="G522" s="345">
        <f>TRUNC(E521*F522,2)</f>
        <v>0.03</v>
      </c>
    </row>
    <row r="523" spans="1:9" ht="14.1" customHeight="1">
      <c r="D523" s="372"/>
      <c r="E523" s="352"/>
      <c r="F523" s="349" t="s">
        <v>90</v>
      </c>
      <c r="G523" s="346">
        <f>G519+G521</f>
        <v>0.08</v>
      </c>
    </row>
    <row r="524" spans="1:9" ht="14.1" customHeight="1">
      <c r="D524" s="372"/>
      <c r="E524" s="352"/>
      <c r="F524" s="349" t="s">
        <v>91</v>
      </c>
      <c r="G524" s="346">
        <f>G518+G520+G522</f>
        <v>4.53</v>
      </c>
    </row>
    <row r="525" spans="1:9" ht="14.1" customHeight="1">
      <c r="A525" s="340"/>
      <c r="D525" s="372"/>
      <c r="E525" s="352"/>
      <c r="F525" s="349" t="s">
        <v>92</v>
      </c>
      <c r="G525" s="380">
        <f>SUM(G523:G524)</f>
        <v>4.6100000000000003</v>
      </c>
      <c r="H525" s="392"/>
    </row>
    <row r="526" spans="1:9">
      <c r="A526" s="377"/>
      <c r="B526" s="378"/>
      <c r="C526" s="404"/>
      <c r="D526" s="379"/>
      <c r="E526" s="377"/>
      <c r="F526" s="378"/>
      <c r="G526" s="378"/>
      <c r="H526" s="378"/>
      <c r="I526" s="377"/>
    </row>
    <row r="528" spans="1:9">
      <c r="A528" s="145" t="s">
        <v>284</v>
      </c>
    </row>
    <row r="529" spans="1:9">
      <c r="A529" s="145" t="s">
        <v>259</v>
      </c>
      <c r="B529" s="151" t="s">
        <v>501</v>
      </c>
      <c r="C529" s="402"/>
    </row>
    <row r="530" spans="1:9" ht="39" customHeight="1">
      <c r="A530" s="145" t="s">
        <v>219</v>
      </c>
      <c r="B530" s="631" t="s">
        <v>502</v>
      </c>
      <c r="C530" s="631"/>
      <c r="D530" s="631"/>
      <c r="E530" s="369" t="s">
        <v>374</v>
      </c>
      <c r="F530" s="341"/>
      <c r="G530" s="341"/>
    </row>
    <row r="531" spans="1:9" ht="33.75">
      <c r="A531" s="370" t="s">
        <v>32</v>
      </c>
      <c r="B531" s="381" t="s">
        <v>21</v>
      </c>
      <c r="C531" s="343" t="s">
        <v>81</v>
      </c>
      <c r="D531" s="343" t="s">
        <v>77</v>
      </c>
      <c r="E531" s="506" t="s">
        <v>82</v>
      </c>
      <c r="F531" s="382" t="s">
        <v>83</v>
      </c>
      <c r="G531" s="345" t="s">
        <v>84</v>
      </c>
    </row>
    <row r="532" spans="1:9" ht="45">
      <c r="A532" s="510">
        <v>88826</v>
      </c>
      <c r="B532" s="496" t="s">
        <v>503</v>
      </c>
      <c r="C532" s="497" t="s">
        <v>343</v>
      </c>
      <c r="D532" s="509" t="s">
        <v>202</v>
      </c>
      <c r="E532" s="511">
        <v>1</v>
      </c>
      <c r="F532" s="514">
        <f>G548</f>
        <v>0.22</v>
      </c>
      <c r="G532" s="492">
        <f t="shared" ref="G532:G535" si="26">TRUNC(E532*F532,2)</f>
        <v>0.22</v>
      </c>
    </row>
    <row r="533" spans="1:9" ht="45">
      <c r="A533" s="510">
        <v>88827</v>
      </c>
      <c r="B533" s="508" t="s">
        <v>504</v>
      </c>
      <c r="C533" s="345" t="s">
        <v>343</v>
      </c>
      <c r="D533" s="343" t="s">
        <v>202</v>
      </c>
      <c r="E533" s="499">
        <v>1</v>
      </c>
      <c r="F533" s="347">
        <f>G558</f>
        <v>0.04</v>
      </c>
      <c r="G533" s="492">
        <f t="shared" si="26"/>
        <v>0.04</v>
      </c>
    </row>
    <row r="534" spans="1:9" ht="45">
      <c r="A534" s="510">
        <v>88828</v>
      </c>
      <c r="B534" s="508" t="s">
        <v>505</v>
      </c>
      <c r="C534" s="506" t="s">
        <v>343</v>
      </c>
      <c r="D534" s="343" t="s">
        <v>202</v>
      </c>
      <c r="E534" s="348">
        <v>1</v>
      </c>
      <c r="F534" s="347">
        <f>G568</f>
        <v>0.2</v>
      </c>
      <c r="G534" s="492">
        <f t="shared" si="26"/>
        <v>0.2</v>
      </c>
    </row>
    <row r="535" spans="1:9" ht="45">
      <c r="A535" s="498">
        <v>88829</v>
      </c>
      <c r="B535" s="508" t="s">
        <v>506</v>
      </c>
      <c r="C535" s="506" t="s">
        <v>343</v>
      </c>
      <c r="D535" s="343" t="s">
        <v>202</v>
      </c>
      <c r="E535" s="348">
        <v>1</v>
      </c>
      <c r="F535" s="347">
        <f>G578</f>
        <v>0.57999999999999996</v>
      </c>
      <c r="G535" s="346">
        <f t="shared" si="26"/>
        <v>0.57999999999999996</v>
      </c>
    </row>
    <row r="536" spans="1:9" ht="14.1" customHeight="1">
      <c r="D536" s="438"/>
      <c r="E536" s="483"/>
      <c r="F536" s="484" t="s">
        <v>90</v>
      </c>
      <c r="G536" s="389"/>
    </row>
    <row r="537" spans="1:9" ht="14.1" customHeight="1">
      <c r="A537" s="340"/>
      <c r="D537" s="372"/>
      <c r="E537" s="352"/>
      <c r="F537" s="349" t="s">
        <v>91</v>
      </c>
      <c r="G537" s="346">
        <f>SUM(G532:G535)</f>
        <v>1.04</v>
      </c>
      <c r="H537" s="365"/>
    </row>
    <row r="538" spans="1:9" ht="14.1" customHeight="1">
      <c r="A538" s="340"/>
      <c r="D538" s="439"/>
      <c r="E538" s="386"/>
      <c r="F538" s="349" t="s">
        <v>92</v>
      </c>
      <c r="G538" s="350">
        <f>SUM(G536:G537)</f>
        <v>1.04</v>
      </c>
      <c r="H538" s="392"/>
    </row>
    <row r="539" spans="1:9">
      <c r="A539" s="377"/>
      <c r="B539" s="378"/>
      <c r="C539" s="404"/>
      <c r="D539" s="379"/>
      <c r="E539" s="377"/>
      <c r="F539" s="378"/>
      <c r="G539" s="378"/>
      <c r="H539" s="378"/>
      <c r="I539" s="377"/>
    </row>
    <row r="541" spans="1:9">
      <c r="A541" s="145" t="s">
        <v>284</v>
      </c>
    </row>
    <row r="542" spans="1:9">
      <c r="A542" s="145" t="s">
        <v>259</v>
      </c>
      <c r="B542" s="151" t="s">
        <v>507</v>
      </c>
      <c r="C542" s="402"/>
    </row>
    <row r="543" spans="1:9" ht="36.75" customHeight="1">
      <c r="A543" s="145" t="s">
        <v>219</v>
      </c>
      <c r="B543" s="631" t="s">
        <v>503</v>
      </c>
      <c r="C543" s="631"/>
      <c r="D543" s="631"/>
      <c r="E543" s="369" t="s">
        <v>202</v>
      </c>
      <c r="F543" s="341"/>
      <c r="G543" s="341"/>
    </row>
    <row r="544" spans="1:9" ht="33.75">
      <c r="A544" s="370" t="s">
        <v>32</v>
      </c>
      <c r="B544" s="381" t="s">
        <v>21</v>
      </c>
      <c r="C544" s="343" t="s">
        <v>81</v>
      </c>
      <c r="D544" s="343" t="s">
        <v>77</v>
      </c>
      <c r="E544" s="506" t="s">
        <v>82</v>
      </c>
      <c r="F544" s="382" t="s">
        <v>83</v>
      </c>
      <c r="G544" s="345" t="s">
        <v>84</v>
      </c>
    </row>
    <row r="545" spans="1:9" ht="45">
      <c r="A545" s="498">
        <v>10535</v>
      </c>
      <c r="B545" s="500" t="s">
        <v>514</v>
      </c>
      <c r="C545" s="345" t="s">
        <v>343</v>
      </c>
      <c r="D545" s="343" t="s">
        <v>202</v>
      </c>
      <c r="E545" s="501">
        <v>6.3999999999999997E-5</v>
      </c>
      <c r="F545" s="446">
        <v>3451.74</v>
      </c>
      <c r="G545" s="346">
        <f t="shared" ref="G545" si="27">TRUNC(E545*F545,2)</f>
        <v>0.22</v>
      </c>
    </row>
    <row r="546" spans="1:9" ht="14.1" customHeight="1">
      <c r="D546" s="438"/>
      <c r="E546" s="483"/>
      <c r="F546" s="484" t="s">
        <v>90</v>
      </c>
      <c r="G546" s="389">
        <v>0</v>
      </c>
    </row>
    <row r="547" spans="1:9" ht="14.1" customHeight="1">
      <c r="A547" s="340"/>
      <c r="D547" s="372"/>
      <c r="E547" s="352"/>
      <c r="F547" s="349" t="s">
        <v>91</v>
      </c>
      <c r="G547" s="346">
        <f>G545</f>
        <v>0.22</v>
      </c>
      <c r="H547" s="365"/>
    </row>
    <row r="548" spans="1:9" ht="14.1" customHeight="1">
      <c r="A548" s="340"/>
      <c r="D548" s="439"/>
      <c r="E548" s="386"/>
      <c r="F548" s="349" t="s">
        <v>92</v>
      </c>
      <c r="G548" s="350">
        <f>SUM(G546:G547)</f>
        <v>0.22</v>
      </c>
      <c r="H548" s="392"/>
    </row>
    <row r="549" spans="1:9">
      <c r="A549" s="377"/>
      <c r="B549" s="378"/>
      <c r="C549" s="404"/>
      <c r="D549" s="379"/>
      <c r="E549" s="377"/>
      <c r="F549" s="378"/>
      <c r="G549" s="378"/>
      <c r="H549" s="378"/>
      <c r="I549" s="377"/>
    </row>
    <row r="551" spans="1:9">
      <c r="A551" s="145" t="s">
        <v>284</v>
      </c>
    </row>
    <row r="552" spans="1:9">
      <c r="A552" s="145" t="s">
        <v>259</v>
      </c>
      <c r="B552" s="151" t="s">
        <v>509</v>
      </c>
      <c r="C552" s="402"/>
    </row>
    <row r="553" spans="1:9" ht="25.5" customHeight="1">
      <c r="A553" s="145" t="s">
        <v>219</v>
      </c>
      <c r="B553" s="631" t="s">
        <v>508</v>
      </c>
      <c r="C553" s="631"/>
      <c r="D553" s="631"/>
      <c r="E553" s="369" t="s">
        <v>202</v>
      </c>
      <c r="F553" s="341"/>
      <c r="G553" s="341"/>
    </row>
    <row r="554" spans="1:9" ht="33.75">
      <c r="A554" s="370" t="s">
        <v>32</v>
      </c>
      <c r="B554" s="381" t="s">
        <v>21</v>
      </c>
      <c r="C554" s="343" t="s">
        <v>81</v>
      </c>
      <c r="D554" s="343" t="s">
        <v>77</v>
      </c>
      <c r="E554" s="506" t="s">
        <v>82</v>
      </c>
      <c r="F554" s="382" t="s">
        <v>83</v>
      </c>
      <c r="G554" s="345" t="s">
        <v>84</v>
      </c>
    </row>
    <row r="555" spans="1:9" ht="45">
      <c r="A555" s="498">
        <v>10535</v>
      </c>
      <c r="B555" s="500" t="s">
        <v>515</v>
      </c>
      <c r="C555" s="345" t="s">
        <v>343</v>
      </c>
      <c r="D555" s="343" t="s">
        <v>202</v>
      </c>
      <c r="E555" s="530">
        <v>1.4399999999999999E-5</v>
      </c>
      <c r="F555" s="446">
        <v>3451.74</v>
      </c>
      <c r="G555" s="346">
        <f t="shared" ref="G555" si="28">TRUNC(E555*F555,2)</f>
        <v>0.04</v>
      </c>
    </row>
    <row r="556" spans="1:9" ht="14.1" customHeight="1">
      <c r="D556" s="438"/>
      <c r="E556" s="483"/>
      <c r="F556" s="484" t="s">
        <v>90</v>
      </c>
      <c r="G556" s="389">
        <v>0</v>
      </c>
    </row>
    <row r="557" spans="1:9" ht="14.1" customHeight="1">
      <c r="A557" s="340"/>
      <c r="D557" s="372"/>
      <c r="E557" s="352"/>
      <c r="F557" s="349" t="s">
        <v>91</v>
      </c>
      <c r="G557" s="346">
        <f>G555</f>
        <v>0.04</v>
      </c>
      <c r="H557" s="365"/>
    </row>
    <row r="558" spans="1:9" ht="14.1" customHeight="1">
      <c r="A558" s="340"/>
      <c r="D558" s="439"/>
      <c r="E558" s="386"/>
      <c r="F558" s="349" t="s">
        <v>92</v>
      </c>
      <c r="G558" s="350">
        <f>SUM(G556:G557)</f>
        <v>0.04</v>
      </c>
      <c r="H558" s="392"/>
    </row>
    <row r="559" spans="1:9">
      <c r="A559" s="377"/>
      <c r="B559" s="378"/>
      <c r="C559" s="404"/>
      <c r="D559" s="379"/>
      <c r="E559" s="377"/>
      <c r="F559" s="378"/>
      <c r="G559" s="378"/>
      <c r="H559" s="378"/>
      <c r="I559" s="377"/>
    </row>
    <row r="561" spans="1:9">
      <c r="A561" s="145" t="s">
        <v>284</v>
      </c>
    </row>
    <row r="562" spans="1:9">
      <c r="A562" s="145" t="s">
        <v>259</v>
      </c>
      <c r="B562" s="151" t="s">
        <v>510</v>
      </c>
      <c r="C562" s="402"/>
    </row>
    <row r="563" spans="1:9" ht="33" customHeight="1">
      <c r="A563" s="145" t="s">
        <v>219</v>
      </c>
      <c r="B563" s="631" t="s">
        <v>511</v>
      </c>
      <c r="C563" s="631"/>
      <c r="D563" s="631"/>
      <c r="E563" s="369" t="s">
        <v>202</v>
      </c>
      <c r="F563" s="341"/>
      <c r="G563" s="341"/>
    </row>
    <row r="564" spans="1:9" ht="33.75">
      <c r="A564" s="370" t="s">
        <v>32</v>
      </c>
      <c r="B564" s="381" t="s">
        <v>21</v>
      </c>
      <c r="C564" s="343" t="s">
        <v>81</v>
      </c>
      <c r="D564" s="343" t="s">
        <v>77</v>
      </c>
      <c r="E564" s="506" t="s">
        <v>82</v>
      </c>
      <c r="F564" s="382" t="s">
        <v>83</v>
      </c>
      <c r="G564" s="345" t="s">
        <v>84</v>
      </c>
    </row>
    <row r="565" spans="1:9" ht="45">
      <c r="A565" s="498">
        <v>10535</v>
      </c>
      <c r="B565" s="500" t="s">
        <v>514</v>
      </c>
      <c r="C565" s="345" t="s">
        <v>343</v>
      </c>
      <c r="D565" s="343" t="s">
        <v>202</v>
      </c>
      <c r="E565" s="501">
        <v>6.0000000000000002E-5</v>
      </c>
      <c r="F565" s="446">
        <v>3451.74</v>
      </c>
      <c r="G565" s="346">
        <f t="shared" ref="G565" si="29">TRUNC(E565*F565,2)</f>
        <v>0.2</v>
      </c>
    </row>
    <row r="566" spans="1:9" ht="14.1" customHeight="1">
      <c r="D566" s="438"/>
      <c r="E566" s="483"/>
      <c r="F566" s="484" t="s">
        <v>90</v>
      </c>
      <c r="G566" s="389">
        <v>0</v>
      </c>
    </row>
    <row r="567" spans="1:9" ht="14.1" customHeight="1">
      <c r="A567" s="340"/>
      <c r="D567" s="372"/>
      <c r="E567" s="352"/>
      <c r="F567" s="349" t="s">
        <v>91</v>
      </c>
      <c r="G567" s="346">
        <f>G565</f>
        <v>0.2</v>
      </c>
      <c r="H567" s="365"/>
    </row>
    <row r="568" spans="1:9" ht="14.1" customHeight="1">
      <c r="A568" s="340"/>
      <c r="D568" s="439"/>
      <c r="E568" s="386"/>
      <c r="F568" s="349" t="s">
        <v>92</v>
      </c>
      <c r="G568" s="350">
        <f>SUM(G566:G567)</f>
        <v>0.2</v>
      </c>
      <c r="H568" s="392"/>
    </row>
    <row r="569" spans="1:9">
      <c r="A569" s="377"/>
      <c r="B569" s="378"/>
      <c r="C569" s="404"/>
      <c r="D569" s="379"/>
      <c r="E569" s="377"/>
      <c r="F569" s="378"/>
      <c r="G569" s="378"/>
      <c r="H569" s="378"/>
      <c r="I569" s="377"/>
    </row>
    <row r="571" spans="1:9">
      <c r="A571" s="145" t="s">
        <v>284</v>
      </c>
    </row>
    <row r="572" spans="1:9">
      <c r="A572" s="145" t="s">
        <v>259</v>
      </c>
      <c r="B572" s="151" t="s">
        <v>512</v>
      </c>
      <c r="C572" s="402"/>
    </row>
    <row r="573" spans="1:9" ht="22.5" customHeight="1">
      <c r="A573" s="145" t="s">
        <v>219</v>
      </c>
      <c r="B573" s="631" t="s">
        <v>513</v>
      </c>
      <c r="C573" s="631"/>
      <c r="D573" s="631"/>
      <c r="E573" s="369" t="s">
        <v>202</v>
      </c>
      <c r="F573" s="341"/>
      <c r="G573" s="341"/>
    </row>
    <row r="574" spans="1:9" ht="33.75">
      <c r="A574" s="370" t="s">
        <v>32</v>
      </c>
      <c r="B574" s="381" t="s">
        <v>21</v>
      </c>
      <c r="C574" s="343" t="s">
        <v>81</v>
      </c>
      <c r="D574" s="343" t="s">
        <v>77</v>
      </c>
      <c r="E574" s="506" t="s">
        <v>82</v>
      </c>
      <c r="F574" s="382" t="s">
        <v>83</v>
      </c>
      <c r="G574" s="345" t="s">
        <v>84</v>
      </c>
    </row>
    <row r="575" spans="1:9" ht="22.5">
      <c r="A575" s="498" t="s">
        <v>445</v>
      </c>
      <c r="B575" s="500" t="s">
        <v>446</v>
      </c>
      <c r="C575" s="345" t="s">
        <v>87</v>
      </c>
      <c r="D575" s="343" t="s">
        <v>447</v>
      </c>
      <c r="E575" s="499">
        <v>1.25</v>
      </c>
      <c r="F575" s="446">
        <v>0.47</v>
      </c>
      <c r="G575" s="346">
        <f t="shared" ref="G575" si="30">TRUNC(E575*F575,2)</f>
        <v>0.57999999999999996</v>
      </c>
    </row>
    <row r="576" spans="1:9" ht="14.1" customHeight="1">
      <c r="D576" s="438"/>
      <c r="E576" s="483"/>
      <c r="F576" s="484" t="s">
        <v>90</v>
      </c>
      <c r="G576" s="389">
        <v>0</v>
      </c>
    </row>
    <row r="577" spans="1:9" ht="14.1" customHeight="1">
      <c r="A577" s="340"/>
      <c r="D577" s="372"/>
      <c r="E577" s="352"/>
      <c r="F577" s="349" t="s">
        <v>91</v>
      </c>
      <c r="G577" s="346">
        <f>G575</f>
        <v>0.57999999999999996</v>
      </c>
      <c r="H577" s="365"/>
    </row>
    <row r="578" spans="1:9" ht="14.1" customHeight="1">
      <c r="A578" s="340"/>
      <c r="D578" s="439"/>
      <c r="E578" s="386"/>
      <c r="F578" s="349" t="s">
        <v>92</v>
      </c>
      <c r="G578" s="350">
        <f>SUM(G576:G577)</f>
        <v>0.57999999999999996</v>
      </c>
      <c r="H578" s="392"/>
    </row>
    <row r="579" spans="1:9">
      <c r="A579" s="377"/>
      <c r="B579" s="378"/>
      <c r="C579" s="404"/>
      <c r="D579" s="379"/>
      <c r="E579" s="377"/>
      <c r="F579" s="378"/>
      <c r="G579" s="378"/>
      <c r="H579" s="378"/>
      <c r="I579" s="377"/>
    </row>
    <row r="581" spans="1:9">
      <c r="A581" s="145" t="s">
        <v>284</v>
      </c>
    </row>
    <row r="582" spans="1:9">
      <c r="A582" s="145" t="s">
        <v>259</v>
      </c>
      <c r="B582" s="151" t="s">
        <v>516</v>
      </c>
      <c r="C582" s="402"/>
    </row>
    <row r="583" spans="1:9" ht="33.75" customHeight="1">
      <c r="A583" s="145" t="s">
        <v>219</v>
      </c>
      <c r="B583" s="631" t="s">
        <v>517</v>
      </c>
      <c r="C583" s="631"/>
      <c r="D583" s="631"/>
      <c r="E583" s="369" t="s">
        <v>327</v>
      </c>
      <c r="F583" s="341"/>
      <c r="G583" s="341"/>
    </row>
    <row r="584" spans="1:9" ht="33.75">
      <c r="A584" s="370" t="s">
        <v>32</v>
      </c>
      <c r="B584" s="381" t="s">
        <v>21</v>
      </c>
      <c r="C584" s="343" t="s">
        <v>81</v>
      </c>
      <c r="D584" s="343" t="s">
        <v>77</v>
      </c>
      <c r="E584" s="506" t="s">
        <v>82</v>
      </c>
      <c r="F584" s="382" t="s">
        <v>83</v>
      </c>
      <c r="G584" s="345" t="s">
        <v>84</v>
      </c>
    </row>
    <row r="585" spans="1:9" ht="45">
      <c r="A585" s="510">
        <v>88826</v>
      </c>
      <c r="B585" s="496" t="s">
        <v>503</v>
      </c>
      <c r="C585" s="497" t="s">
        <v>343</v>
      </c>
      <c r="D585" s="509" t="s">
        <v>202</v>
      </c>
      <c r="E585" s="511">
        <v>1</v>
      </c>
      <c r="F585" s="514">
        <f>G548</f>
        <v>0.22</v>
      </c>
      <c r="G585" s="492">
        <f t="shared" ref="G585:G586" si="31">TRUNC(E585*F585,2)</f>
        <v>0.22</v>
      </c>
    </row>
    <row r="586" spans="1:9" ht="45">
      <c r="A586" s="498">
        <v>88827</v>
      </c>
      <c r="B586" s="508" t="s">
        <v>504</v>
      </c>
      <c r="C586" s="345" t="s">
        <v>343</v>
      </c>
      <c r="D586" s="343" t="s">
        <v>202</v>
      </c>
      <c r="E586" s="499">
        <v>1</v>
      </c>
      <c r="F586" s="347">
        <f>G558</f>
        <v>0.04</v>
      </c>
      <c r="G586" s="346">
        <f t="shared" si="31"/>
        <v>0.04</v>
      </c>
    </row>
    <row r="587" spans="1:9" ht="14.1" customHeight="1">
      <c r="D587" s="438"/>
      <c r="E587" s="483"/>
      <c r="F587" s="484" t="s">
        <v>90</v>
      </c>
      <c r="G587" s="389">
        <v>0</v>
      </c>
    </row>
    <row r="588" spans="1:9" ht="14.1" customHeight="1">
      <c r="A588" s="340"/>
      <c r="D588" s="372"/>
      <c r="E588" s="352"/>
      <c r="F588" s="349" t="s">
        <v>91</v>
      </c>
      <c r="G588" s="346">
        <f>G586</f>
        <v>0.04</v>
      </c>
      <c r="H588" s="365"/>
    </row>
    <row r="589" spans="1:9" ht="14.1" customHeight="1">
      <c r="A589" s="340"/>
      <c r="D589" s="439"/>
      <c r="E589" s="386"/>
      <c r="F589" s="349" t="s">
        <v>92</v>
      </c>
      <c r="G589" s="350">
        <f>SUM(G587:G588)</f>
        <v>0.04</v>
      </c>
      <c r="H589" s="392"/>
    </row>
    <row r="590" spans="1:9">
      <c r="A590" s="377"/>
      <c r="B590" s="378"/>
      <c r="C590" s="404"/>
      <c r="D590" s="379"/>
      <c r="E590" s="377"/>
      <c r="F590" s="378"/>
      <c r="G590" s="378"/>
      <c r="H590" s="378"/>
      <c r="I590" s="377"/>
    </row>
    <row r="592" spans="1:9">
      <c r="A592" s="145" t="s">
        <v>284</v>
      </c>
    </row>
    <row r="593" spans="1:9">
      <c r="A593" s="145" t="s">
        <v>259</v>
      </c>
      <c r="B593" s="151" t="s">
        <v>536</v>
      </c>
      <c r="C593" s="402"/>
    </row>
    <row r="594" spans="1:9" ht="25.5" customHeight="1">
      <c r="A594" s="145" t="s">
        <v>219</v>
      </c>
      <c r="B594" s="631" t="s">
        <v>522</v>
      </c>
      <c r="C594" s="631"/>
      <c r="D594" s="631"/>
      <c r="E594" s="369" t="s">
        <v>374</v>
      </c>
      <c r="F594" s="341"/>
      <c r="G594" s="341"/>
    </row>
    <row r="595" spans="1:9" ht="33.75">
      <c r="A595" s="370" t="s">
        <v>32</v>
      </c>
      <c r="B595" s="381" t="s">
        <v>21</v>
      </c>
      <c r="C595" s="343" t="s">
        <v>81</v>
      </c>
      <c r="D595" s="343" t="s">
        <v>77</v>
      </c>
      <c r="E595" s="506" t="s">
        <v>82</v>
      </c>
      <c r="F595" s="382" t="s">
        <v>83</v>
      </c>
      <c r="G595" s="345" t="s">
        <v>84</v>
      </c>
    </row>
    <row r="596" spans="1:9" ht="15" customHeight="1">
      <c r="A596" s="650" t="s">
        <v>537</v>
      </c>
      <c r="B596" s="639" t="s">
        <v>538</v>
      </c>
      <c r="C596" s="343" t="s">
        <v>98</v>
      </c>
      <c r="D596" s="675" t="s">
        <v>202</v>
      </c>
      <c r="E596" s="677">
        <v>1</v>
      </c>
      <c r="F596" s="513">
        <f>G618</f>
        <v>9</v>
      </c>
      <c r="G596" s="492">
        <f>TRUNC(E596*F596,2)</f>
        <v>9</v>
      </c>
    </row>
    <row r="597" spans="1:9">
      <c r="A597" s="651"/>
      <c r="B597" s="640"/>
      <c r="C597" s="506" t="s">
        <v>87</v>
      </c>
      <c r="D597" s="676"/>
      <c r="E597" s="678"/>
      <c r="F597" s="513">
        <f>G619</f>
        <v>4.12</v>
      </c>
      <c r="G597" s="492">
        <f>TRUNC(E596*F597,2)</f>
        <v>4.12</v>
      </c>
    </row>
    <row r="598" spans="1:9" ht="33.75">
      <c r="A598" s="498" t="s">
        <v>539</v>
      </c>
      <c r="B598" s="508" t="s">
        <v>540</v>
      </c>
      <c r="C598" s="506" t="s">
        <v>343</v>
      </c>
      <c r="D598" s="343" t="s">
        <v>202</v>
      </c>
      <c r="E598" s="499">
        <v>1</v>
      </c>
      <c r="F598" s="347">
        <f>G640</f>
        <v>0.27</v>
      </c>
      <c r="G598" s="346">
        <f t="shared" ref="G598:G601" si="32">TRUNC(E598*F598,2)</f>
        <v>0.27</v>
      </c>
    </row>
    <row r="599" spans="1:9" ht="33.75">
      <c r="A599" s="498" t="s">
        <v>541</v>
      </c>
      <c r="B599" s="508" t="s">
        <v>542</v>
      </c>
      <c r="C599" s="506" t="s">
        <v>343</v>
      </c>
      <c r="D599" s="343" t="s">
        <v>202</v>
      </c>
      <c r="E599" s="499">
        <v>2</v>
      </c>
      <c r="F599" s="347">
        <f>G650</f>
        <v>0.06</v>
      </c>
      <c r="G599" s="346">
        <f t="shared" si="32"/>
        <v>0.12</v>
      </c>
    </row>
    <row r="600" spans="1:9" ht="33.75">
      <c r="A600" s="498" t="s">
        <v>543</v>
      </c>
      <c r="B600" s="508" t="s">
        <v>544</v>
      </c>
      <c r="C600" s="506" t="s">
        <v>343</v>
      </c>
      <c r="D600" s="343" t="s">
        <v>202</v>
      </c>
      <c r="E600" s="499">
        <v>3</v>
      </c>
      <c r="F600" s="347">
        <f>G660</f>
        <v>0.25</v>
      </c>
      <c r="G600" s="346">
        <f t="shared" si="32"/>
        <v>0.75</v>
      </c>
    </row>
    <row r="601" spans="1:9" ht="33.75">
      <c r="A601" s="498" t="s">
        <v>545</v>
      </c>
      <c r="B601" s="508" t="s">
        <v>546</v>
      </c>
      <c r="C601" s="506" t="s">
        <v>343</v>
      </c>
      <c r="D601" s="343" t="s">
        <v>202</v>
      </c>
      <c r="E601" s="499">
        <v>4</v>
      </c>
      <c r="F601" s="347">
        <f>G670</f>
        <v>0.36</v>
      </c>
      <c r="G601" s="346">
        <f t="shared" si="32"/>
        <v>1.44</v>
      </c>
    </row>
    <row r="602" spans="1:9">
      <c r="D602" s="438"/>
      <c r="E602" s="483"/>
      <c r="F602" s="484" t="s">
        <v>90</v>
      </c>
      <c r="G602" s="389">
        <f>G596</f>
        <v>9</v>
      </c>
    </row>
    <row r="603" spans="1:9">
      <c r="A603" s="340"/>
      <c r="D603" s="372"/>
      <c r="E603" s="352"/>
      <c r="F603" s="349" t="s">
        <v>91</v>
      </c>
      <c r="G603" s="346">
        <f>G597+G598+G599+G600+G601</f>
        <v>6.7000000000000011</v>
      </c>
      <c r="H603" s="365"/>
    </row>
    <row r="604" spans="1:9">
      <c r="A604" s="340"/>
      <c r="D604" s="439"/>
      <c r="E604" s="386"/>
      <c r="F604" s="349" t="s">
        <v>92</v>
      </c>
      <c r="G604" s="350">
        <f>SUM(G602:G603)</f>
        <v>15.700000000000001</v>
      </c>
      <c r="H604" s="392"/>
    </row>
    <row r="605" spans="1:9">
      <c r="A605" s="377"/>
      <c r="B605" s="378"/>
      <c r="C605" s="404"/>
      <c r="D605" s="379"/>
      <c r="E605" s="377"/>
      <c r="F605" s="378"/>
      <c r="G605" s="378"/>
      <c r="H605" s="378"/>
      <c r="I605" s="377"/>
    </row>
    <row r="607" spans="1:9">
      <c r="A607" s="145" t="s">
        <v>282</v>
      </c>
      <c r="C607" s="146"/>
      <c r="D607" s="145"/>
      <c r="E607" s="147"/>
      <c r="H607" s="145"/>
    </row>
    <row r="608" spans="1:9">
      <c r="A608" s="145" t="s">
        <v>35</v>
      </c>
      <c r="B608" s="376" t="s">
        <v>547</v>
      </c>
      <c r="C608" s="146"/>
      <c r="D608" s="145"/>
      <c r="E608" s="147"/>
      <c r="H608" s="145"/>
    </row>
    <row r="609" spans="1:9">
      <c r="A609" s="145" t="s">
        <v>219</v>
      </c>
      <c r="B609" s="630" t="s">
        <v>538</v>
      </c>
      <c r="C609" s="630"/>
      <c r="D609" s="369" t="s">
        <v>202</v>
      </c>
      <c r="H609" s="145"/>
    </row>
    <row r="610" spans="1:9" ht="33.75">
      <c r="A610" s="477" t="s">
        <v>32</v>
      </c>
      <c r="B610" s="508" t="s">
        <v>21</v>
      </c>
      <c r="C610" s="343" t="s">
        <v>81</v>
      </c>
      <c r="D610" s="343" t="s">
        <v>77</v>
      </c>
      <c r="E610" s="506" t="s">
        <v>82</v>
      </c>
      <c r="F610" s="382" t="s">
        <v>83</v>
      </c>
      <c r="G610" s="400" t="s">
        <v>84</v>
      </c>
      <c r="H610" s="145"/>
    </row>
    <row r="611" spans="1:9">
      <c r="A611" s="512">
        <v>4253</v>
      </c>
      <c r="B611" s="408" t="s">
        <v>548</v>
      </c>
      <c r="C611" s="343" t="s">
        <v>98</v>
      </c>
      <c r="D611" s="409" t="s">
        <v>202</v>
      </c>
      <c r="E611" s="410">
        <v>1</v>
      </c>
      <c r="F611" s="411">
        <f>10.55/118.57%</f>
        <v>8.8976975626212376</v>
      </c>
      <c r="G611" s="412">
        <f>TRUNC(E611*F611,2)</f>
        <v>8.89</v>
      </c>
      <c r="H611" s="145"/>
    </row>
    <row r="612" spans="1:9" ht="22.5">
      <c r="A612" s="507" t="s">
        <v>205</v>
      </c>
      <c r="B612" s="508" t="s">
        <v>206</v>
      </c>
      <c r="C612" s="343" t="s">
        <v>295</v>
      </c>
      <c r="D612" s="343" t="s">
        <v>202</v>
      </c>
      <c r="E612" s="373">
        <v>1</v>
      </c>
      <c r="F612" s="375">
        <v>2.15</v>
      </c>
      <c r="G612" s="345">
        <f t="shared" ref="G612:G617" si="33">TRUNC(E612*F612,2)</f>
        <v>2.15</v>
      </c>
      <c r="H612" s="145"/>
    </row>
    <row r="613" spans="1:9" ht="22.5">
      <c r="A613" s="507" t="s">
        <v>207</v>
      </c>
      <c r="B613" s="508" t="s">
        <v>208</v>
      </c>
      <c r="C613" s="343" t="s">
        <v>295</v>
      </c>
      <c r="D613" s="343" t="s">
        <v>202</v>
      </c>
      <c r="E613" s="373">
        <v>1</v>
      </c>
      <c r="F613" s="375">
        <v>0.6</v>
      </c>
      <c r="G613" s="346">
        <f t="shared" si="33"/>
        <v>0.6</v>
      </c>
      <c r="H613" s="145"/>
    </row>
    <row r="614" spans="1:9" ht="22.5">
      <c r="A614" s="507" t="s">
        <v>209</v>
      </c>
      <c r="B614" s="508" t="s">
        <v>210</v>
      </c>
      <c r="C614" s="343" t="s">
        <v>295</v>
      </c>
      <c r="D614" s="343" t="s">
        <v>202</v>
      </c>
      <c r="E614" s="373">
        <v>1</v>
      </c>
      <c r="F614" s="375">
        <v>0.37</v>
      </c>
      <c r="G614" s="345">
        <f t="shared" si="33"/>
        <v>0.37</v>
      </c>
      <c r="H614" s="145"/>
    </row>
    <row r="615" spans="1:9" ht="22.5">
      <c r="A615" s="507" t="s">
        <v>211</v>
      </c>
      <c r="B615" s="508" t="s">
        <v>212</v>
      </c>
      <c r="C615" s="343" t="s">
        <v>295</v>
      </c>
      <c r="D615" s="343" t="s">
        <v>202</v>
      </c>
      <c r="E615" s="373">
        <v>1</v>
      </c>
      <c r="F615" s="375">
        <v>0.02</v>
      </c>
      <c r="G615" s="345">
        <f t="shared" si="33"/>
        <v>0.02</v>
      </c>
      <c r="H615" s="145"/>
    </row>
    <row r="616" spans="1:9">
      <c r="A616" s="507" t="s">
        <v>215</v>
      </c>
      <c r="B616" s="508" t="s">
        <v>216</v>
      </c>
      <c r="C616" s="343" t="s">
        <v>87</v>
      </c>
      <c r="D616" s="343" t="s">
        <v>202</v>
      </c>
      <c r="E616" s="373">
        <v>1</v>
      </c>
      <c r="F616" s="375">
        <f>'COMP AUX'!G38</f>
        <v>0.98</v>
      </c>
      <c r="G616" s="346">
        <f t="shared" si="33"/>
        <v>0.98</v>
      </c>
      <c r="H616" s="145"/>
    </row>
    <row r="617" spans="1:9" ht="22.5">
      <c r="A617" s="512">
        <v>95358</v>
      </c>
      <c r="B617" s="408" t="s">
        <v>549</v>
      </c>
      <c r="C617" s="343" t="s">
        <v>98</v>
      </c>
      <c r="D617" s="343" t="s">
        <v>202</v>
      </c>
      <c r="E617" s="373">
        <v>1</v>
      </c>
      <c r="F617" s="375">
        <f>G630</f>
        <v>0.11</v>
      </c>
      <c r="G617" s="346">
        <f t="shared" si="33"/>
        <v>0.11</v>
      </c>
      <c r="H617" s="145"/>
    </row>
    <row r="618" spans="1:9">
      <c r="C618" s="146"/>
      <c r="D618" s="437"/>
      <c r="E618" s="352"/>
      <c r="F618" s="349" t="s">
        <v>90</v>
      </c>
      <c r="G618" s="346">
        <f>G611+G617</f>
        <v>9</v>
      </c>
      <c r="H618" s="145"/>
    </row>
    <row r="619" spans="1:9">
      <c r="C619" s="146"/>
      <c r="D619" s="439"/>
      <c r="E619" s="352"/>
      <c r="F619" s="349" t="s">
        <v>91</v>
      </c>
      <c r="G619" s="346">
        <f>SUM(G612:G616)</f>
        <v>4.12</v>
      </c>
      <c r="H619" s="145"/>
    </row>
    <row r="620" spans="1:9">
      <c r="A620" s="384"/>
      <c r="B620" s="385"/>
      <c r="C620" s="146"/>
      <c r="D620" s="438"/>
      <c r="E620" s="352"/>
      <c r="F620" s="349" t="s">
        <v>92</v>
      </c>
      <c r="G620" s="380">
        <f>SUM(G618:G619)</f>
        <v>13.120000000000001</v>
      </c>
      <c r="H620" s="145"/>
    </row>
    <row r="621" spans="1:9">
      <c r="A621" s="377"/>
      <c r="B621" s="378"/>
      <c r="C621" s="379"/>
      <c r="D621" s="377"/>
      <c r="E621" s="378"/>
      <c r="F621" s="378"/>
      <c r="G621" s="378"/>
      <c r="H621" s="377"/>
      <c r="I621" s="377"/>
    </row>
    <row r="623" spans="1:9">
      <c r="A623" s="145" t="s">
        <v>284</v>
      </c>
    </row>
    <row r="624" spans="1:9">
      <c r="A624" s="145" t="s">
        <v>259</v>
      </c>
      <c r="B624" s="415" t="s">
        <v>550</v>
      </c>
      <c r="C624" s="416"/>
    </row>
    <row r="625" spans="1:9" ht="22.5">
      <c r="A625" s="145" t="s">
        <v>219</v>
      </c>
      <c r="B625" s="505" t="s">
        <v>549</v>
      </c>
      <c r="C625" s="369" t="s">
        <v>202</v>
      </c>
      <c r="E625" s="341" t="s">
        <v>6</v>
      </c>
      <c r="F625" s="341"/>
      <c r="G625" s="341"/>
    </row>
    <row r="626" spans="1:9" ht="33.75">
      <c r="A626" s="370" t="s">
        <v>32</v>
      </c>
      <c r="B626" s="381" t="s">
        <v>21</v>
      </c>
      <c r="C626" s="403" t="s">
        <v>557</v>
      </c>
      <c r="D626" s="343" t="s">
        <v>77</v>
      </c>
      <c r="E626" s="506" t="s">
        <v>82</v>
      </c>
      <c r="F626" s="382" t="s">
        <v>83</v>
      </c>
      <c r="G626" s="345" t="s">
        <v>84</v>
      </c>
    </row>
    <row r="627" spans="1:9" ht="14.1" customHeight="1">
      <c r="A627" s="407">
        <v>4253</v>
      </c>
      <c r="B627" s="408" t="s">
        <v>548</v>
      </c>
      <c r="C627" s="413" t="s">
        <v>98</v>
      </c>
      <c r="D627" s="343" t="s">
        <v>202</v>
      </c>
      <c r="E627" s="414">
        <v>1.32E-2</v>
      </c>
      <c r="F627" s="358">
        <f>10.55/118.57%</f>
        <v>8.8976975626212376</v>
      </c>
      <c r="G627" s="345">
        <f>TRUNC(E627*F627,2)</f>
        <v>0.11</v>
      </c>
    </row>
    <row r="628" spans="1:9" ht="14.1" customHeight="1">
      <c r="D628" s="372"/>
      <c r="E628" s="352"/>
      <c r="F628" s="349" t="s">
        <v>90</v>
      </c>
      <c r="G628" s="345">
        <f>G627</f>
        <v>0.11</v>
      </c>
    </row>
    <row r="629" spans="1:9" ht="14.1" customHeight="1">
      <c r="D629" s="372"/>
      <c r="E629" s="352"/>
      <c r="F629" s="349" t="s">
        <v>91</v>
      </c>
      <c r="G629" s="345"/>
    </row>
    <row r="630" spans="1:9" ht="14.1" customHeight="1">
      <c r="A630" s="340"/>
      <c r="D630" s="372"/>
      <c r="E630" s="352"/>
      <c r="F630" s="349" t="s">
        <v>92</v>
      </c>
      <c r="G630" s="380">
        <f>SUM(G628:G629)</f>
        <v>0.11</v>
      </c>
      <c r="H630" s="392"/>
    </row>
    <row r="631" spans="1:9">
      <c r="A631" s="377"/>
      <c r="B631" s="378"/>
      <c r="C631" s="404"/>
      <c r="D631" s="379"/>
      <c r="E631" s="377"/>
      <c r="F631" s="378"/>
      <c r="G631" s="378"/>
      <c r="H631" s="378"/>
      <c r="I631" s="377"/>
    </row>
    <row r="633" spans="1:9">
      <c r="A633" s="145" t="s">
        <v>284</v>
      </c>
    </row>
    <row r="634" spans="1:9">
      <c r="A634" s="145" t="s">
        <v>259</v>
      </c>
      <c r="B634" s="415" t="s">
        <v>551</v>
      </c>
      <c r="C634" s="416"/>
    </row>
    <row r="635" spans="1:9" ht="21.75" customHeight="1">
      <c r="A635" s="145" t="s">
        <v>219</v>
      </c>
      <c r="B635" s="631" t="s">
        <v>552</v>
      </c>
      <c r="C635" s="631"/>
      <c r="D635" s="631"/>
      <c r="E635" s="369" t="s">
        <v>202</v>
      </c>
      <c r="F635" s="341"/>
      <c r="G635" s="341"/>
    </row>
    <row r="636" spans="1:9" ht="33.75">
      <c r="A636" s="370" t="s">
        <v>32</v>
      </c>
      <c r="B636" s="508" t="s">
        <v>21</v>
      </c>
      <c r="C636" s="382" t="s">
        <v>557</v>
      </c>
      <c r="D636" s="343" t="s">
        <v>77</v>
      </c>
      <c r="E636" s="506" t="s">
        <v>82</v>
      </c>
      <c r="F636" s="382" t="s">
        <v>83</v>
      </c>
      <c r="G636" s="345" t="s">
        <v>84</v>
      </c>
    </row>
    <row r="637" spans="1:9" ht="22.5">
      <c r="A637" s="407" t="s">
        <v>553</v>
      </c>
      <c r="B637" s="408" t="s">
        <v>554</v>
      </c>
      <c r="C637" s="413" t="s">
        <v>343</v>
      </c>
      <c r="D637" s="343" t="s">
        <v>77</v>
      </c>
      <c r="E637" s="414">
        <v>6.3999999999999997E-5</v>
      </c>
      <c r="F637" s="424">
        <v>4279.5600000000004</v>
      </c>
      <c r="G637" s="345">
        <f>TRUNC(E637*F637,2)</f>
        <v>0.27</v>
      </c>
    </row>
    <row r="638" spans="1:9">
      <c r="D638" s="372"/>
      <c r="E638" s="352"/>
      <c r="F638" s="349" t="s">
        <v>90</v>
      </c>
      <c r="G638" s="345"/>
    </row>
    <row r="639" spans="1:9">
      <c r="D639" s="372"/>
      <c r="E639" s="352"/>
      <c r="F639" s="349" t="s">
        <v>91</v>
      </c>
      <c r="G639" s="345">
        <f>G637</f>
        <v>0.27</v>
      </c>
    </row>
    <row r="640" spans="1:9">
      <c r="A640" s="340"/>
      <c r="D640" s="372"/>
      <c r="E640" s="352"/>
      <c r="F640" s="349" t="s">
        <v>92</v>
      </c>
      <c r="G640" s="380">
        <f>SUM(G638:G639)</f>
        <v>0.27</v>
      </c>
      <c r="H640" s="392"/>
    </row>
    <row r="641" spans="1:9">
      <c r="A641" s="377"/>
      <c r="B641" s="378"/>
      <c r="C641" s="404"/>
      <c r="D641" s="379"/>
      <c r="E641" s="377"/>
      <c r="F641" s="378"/>
      <c r="G641" s="378"/>
      <c r="H641" s="378"/>
      <c r="I641" s="377"/>
    </row>
    <row r="643" spans="1:9">
      <c r="A643" s="145" t="s">
        <v>284</v>
      </c>
    </row>
    <row r="644" spans="1:9">
      <c r="A644" s="145" t="s">
        <v>259</v>
      </c>
      <c r="B644" s="415" t="s">
        <v>555</v>
      </c>
      <c r="C644" s="416"/>
    </row>
    <row r="645" spans="1:9" ht="21" customHeight="1">
      <c r="A645" s="145" t="s">
        <v>219</v>
      </c>
      <c r="B645" s="631" t="s">
        <v>556</v>
      </c>
      <c r="C645" s="631"/>
      <c r="D645" s="631"/>
      <c r="E645" s="369" t="s">
        <v>202</v>
      </c>
      <c r="F645" s="341"/>
      <c r="G645" s="341"/>
    </row>
    <row r="646" spans="1:9" ht="33.75">
      <c r="A646" s="370" t="s">
        <v>32</v>
      </c>
      <c r="B646" s="508" t="s">
        <v>21</v>
      </c>
      <c r="C646" s="382" t="s">
        <v>557</v>
      </c>
      <c r="D646" s="343" t="s">
        <v>77</v>
      </c>
      <c r="E646" s="506" t="s">
        <v>82</v>
      </c>
      <c r="F646" s="382" t="s">
        <v>83</v>
      </c>
      <c r="G646" s="345" t="s">
        <v>84</v>
      </c>
    </row>
    <row r="647" spans="1:9" ht="22.5">
      <c r="A647" s="407" t="s">
        <v>553</v>
      </c>
      <c r="B647" s="408" t="s">
        <v>554</v>
      </c>
      <c r="C647" s="413" t="s">
        <v>343</v>
      </c>
      <c r="D647" s="343" t="s">
        <v>77</v>
      </c>
      <c r="E647" s="414">
        <v>1.4399999999999999E-5</v>
      </c>
      <c r="F647" s="424">
        <v>4279.5600000000004</v>
      </c>
      <c r="G647" s="345">
        <f>TRUNC(E647*F647,2)</f>
        <v>0.06</v>
      </c>
    </row>
    <row r="648" spans="1:9">
      <c r="D648" s="372"/>
      <c r="E648" s="352"/>
      <c r="F648" s="349" t="s">
        <v>90</v>
      </c>
      <c r="G648" s="345"/>
    </row>
    <row r="649" spans="1:9">
      <c r="D649" s="372"/>
      <c r="E649" s="352"/>
      <c r="F649" s="349" t="s">
        <v>91</v>
      </c>
      <c r="G649" s="345">
        <f>G647</f>
        <v>0.06</v>
      </c>
    </row>
    <row r="650" spans="1:9">
      <c r="A650" s="340"/>
      <c r="D650" s="372"/>
      <c r="E650" s="352"/>
      <c r="F650" s="349" t="s">
        <v>92</v>
      </c>
      <c r="G650" s="380">
        <f>SUM(G648:G649)</f>
        <v>0.06</v>
      </c>
      <c r="H650" s="392"/>
    </row>
    <row r="651" spans="1:9">
      <c r="A651" s="377"/>
      <c r="B651" s="378"/>
      <c r="C651" s="404"/>
      <c r="D651" s="379"/>
      <c r="E651" s="377"/>
      <c r="F651" s="378"/>
      <c r="G651" s="378"/>
      <c r="H651" s="378"/>
      <c r="I651" s="377"/>
    </row>
    <row r="653" spans="1:9">
      <c r="A653" s="145" t="s">
        <v>284</v>
      </c>
    </row>
    <row r="654" spans="1:9">
      <c r="A654" s="145" t="s">
        <v>259</v>
      </c>
      <c r="B654" s="415" t="s">
        <v>558</v>
      </c>
      <c r="C654" s="416"/>
    </row>
    <row r="655" spans="1:9" ht="21" customHeight="1">
      <c r="A655" s="145" t="s">
        <v>219</v>
      </c>
      <c r="B655" s="631" t="s">
        <v>559</v>
      </c>
      <c r="C655" s="631"/>
      <c r="D655" s="631"/>
      <c r="E655" s="369" t="s">
        <v>202</v>
      </c>
      <c r="F655" s="341"/>
      <c r="G655" s="341"/>
    </row>
    <row r="656" spans="1:9" ht="33.75">
      <c r="A656" s="370" t="s">
        <v>32</v>
      </c>
      <c r="B656" s="508" t="s">
        <v>21</v>
      </c>
      <c r="C656" s="382" t="s">
        <v>557</v>
      </c>
      <c r="D656" s="343" t="s">
        <v>77</v>
      </c>
      <c r="E656" s="506" t="s">
        <v>82</v>
      </c>
      <c r="F656" s="382" t="s">
        <v>83</v>
      </c>
      <c r="G656" s="345" t="s">
        <v>84</v>
      </c>
    </row>
    <row r="657" spans="1:9" ht="22.5">
      <c r="A657" s="407" t="s">
        <v>553</v>
      </c>
      <c r="B657" s="408" t="s">
        <v>554</v>
      </c>
      <c r="C657" s="413" t="s">
        <v>343</v>
      </c>
      <c r="D657" s="343" t="s">
        <v>77</v>
      </c>
      <c r="E657" s="414">
        <v>6.0000000000000002E-5</v>
      </c>
      <c r="F657" s="424">
        <v>4279.5600000000004</v>
      </c>
      <c r="G657" s="345">
        <f>TRUNC(E657*F657,2)</f>
        <v>0.25</v>
      </c>
    </row>
    <row r="658" spans="1:9">
      <c r="D658" s="372"/>
      <c r="E658" s="352"/>
      <c r="F658" s="349" t="s">
        <v>90</v>
      </c>
      <c r="G658" s="345"/>
    </row>
    <row r="659" spans="1:9">
      <c r="D659" s="372"/>
      <c r="E659" s="352"/>
      <c r="F659" s="349" t="s">
        <v>91</v>
      </c>
      <c r="G659" s="345">
        <f>G657</f>
        <v>0.25</v>
      </c>
    </row>
    <row r="660" spans="1:9">
      <c r="A660" s="340"/>
      <c r="D660" s="372"/>
      <c r="E660" s="352"/>
      <c r="F660" s="349" t="s">
        <v>92</v>
      </c>
      <c r="G660" s="380">
        <f>SUM(G658:G659)</f>
        <v>0.25</v>
      </c>
      <c r="H660" s="392"/>
    </row>
    <row r="661" spans="1:9">
      <c r="A661" s="377"/>
      <c r="B661" s="378"/>
      <c r="C661" s="404"/>
      <c r="D661" s="379"/>
      <c r="E661" s="377"/>
      <c r="F661" s="378"/>
      <c r="G661" s="378"/>
      <c r="H661" s="378"/>
      <c r="I661" s="377"/>
    </row>
    <row r="663" spans="1:9">
      <c r="A663" s="145" t="s">
        <v>284</v>
      </c>
    </row>
    <row r="664" spans="1:9">
      <c r="A664" s="145" t="s">
        <v>259</v>
      </c>
      <c r="B664" s="415" t="s">
        <v>560</v>
      </c>
      <c r="C664" s="416"/>
    </row>
    <row r="665" spans="1:9" ht="21" customHeight="1">
      <c r="A665" s="145" t="s">
        <v>219</v>
      </c>
      <c r="B665" s="631" t="s">
        <v>561</v>
      </c>
      <c r="C665" s="631"/>
      <c r="D665" s="631"/>
      <c r="E665" s="369" t="s">
        <v>202</v>
      </c>
      <c r="F665" s="341"/>
      <c r="G665" s="341"/>
    </row>
    <row r="666" spans="1:9" ht="33.75">
      <c r="A666" s="370" t="s">
        <v>32</v>
      </c>
      <c r="B666" s="508" t="s">
        <v>21</v>
      </c>
      <c r="C666" s="382" t="s">
        <v>557</v>
      </c>
      <c r="D666" s="343" t="s">
        <v>77</v>
      </c>
      <c r="E666" s="506" t="s">
        <v>82</v>
      </c>
      <c r="F666" s="382" t="s">
        <v>83</v>
      </c>
      <c r="G666" s="345" t="s">
        <v>84</v>
      </c>
    </row>
    <row r="667" spans="1:9" ht="22.5">
      <c r="A667" s="407" t="s">
        <v>445</v>
      </c>
      <c r="B667" s="408" t="s">
        <v>446</v>
      </c>
      <c r="C667" s="413" t="s">
        <v>87</v>
      </c>
      <c r="D667" s="343" t="s">
        <v>447</v>
      </c>
      <c r="E667" s="414">
        <v>0.78</v>
      </c>
      <c r="F667" s="424">
        <v>0.47</v>
      </c>
      <c r="G667" s="345">
        <f>TRUNC(E667*F667,2)</f>
        <v>0.36</v>
      </c>
    </row>
    <row r="668" spans="1:9">
      <c r="D668" s="372"/>
      <c r="E668" s="352"/>
      <c r="F668" s="349" t="s">
        <v>90</v>
      </c>
      <c r="G668" s="345"/>
    </row>
    <row r="669" spans="1:9">
      <c r="D669" s="372"/>
      <c r="E669" s="352"/>
      <c r="F669" s="349" t="s">
        <v>91</v>
      </c>
      <c r="G669" s="345">
        <f>G667</f>
        <v>0.36</v>
      </c>
    </row>
    <row r="670" spans="1:9">
      <c r="A670" s="340"/>
      <c r="D670" s="372"/>
      <c r="E670" s="352"/>
      <c r="F670" s="349" t="s">
        <v>92</v>
      </c>
      <c r="G670" s="380">
        <f>SUM(G668:G669)</f>
        <v>0.36</v>
      </c>
      <c r="H670" s="392"/>
    </row>
    <row r="671" spans="1:9">
      <c r="A671" s="377"/>
      <c r="B671" s="378"/>
      <c r="C671" s="404"/>
      <c r="D671" s="379"/>
      <c r="E671" s="377"/>
      <c r="F671" s="378"/>
      <c r="G671" s="378"/>
      <c r="H671" s="378"/>
      <c r="I671" s="377"/>
    </row>
    <row r="673" spans="1:9">
      <c r="A673" s="145" t="s">
        <v>284</v>
      </c>
    </row>
    <row r="674" spans="1:9">
      <c r="A674" s="145" t="s">
        <v>259</v>
      </c>
      <c r="B674" s="151" t="s">
        <v>562</v>
      </c>
      <c r="C674" s="402"/>
    </row>
    <row r="675" spans="1:9" ht="23.25" customHeight="1">
      <c r="A675" s="145" t="s">
        <v>219</v>
      </c>
      <c r="B675" s="631" t="s">
        <v>563</v>
      </c>
      <c r="C675" s="631"/>
      <c r="D675" s="631"/>
      <c r="E675" s="369" t="s">
        <v>327</v>
      </c>
      <c r="F675" s="341"/>
      <c r="G675" s="341"/>
    </row>
    <row r="676" spans="1:9" ht="33.75">
      <c r="A676" s="370" t="s">
        <v>32</v>
      </c>
      <c r="B676" s="508" t="s">
        <v>21</v>
      </c>
      <c r="C676" s="343" t="s">
        <v>81</v>
      </c>
      <c r="D676" s="343" t="s">
        <v>77</v>
      </c>
      <c r="E676" s="506" t="s">
        <v>82</v>
      </c>
      <c r="F676" s="382" t="s">
        <v>83</v>
      </c>
      <c r="G676" s="345" t="s">
        <v>84</v>
      </c>
    </row>
    <row r="677" spans="1:9">
      <c r="A677" s="650" t="s">
        <v>537</v>
      </c>
      <c r="B677" s="639" t="s">
        <v>538</v>
      </c>
      <c r="C677" s="343" t="s">
        <v>98</v>
      </c>
      <c r="D677" s="675" t="s">
        <v>202</v>
      </c>
      <c r="E677" s="677">
        <v>1</v>
      </c>
      <c r="F677" s="513">
        <f>G618</f>
        <v>9</v>
      </c>
      <c r="G677" s="492">
        <f>TRUNC(E677*F677,2)</f>
        <v>9</v>
      </c>
    </row>
    <row r="678" spans="1:9">
      <c r="A678" s="651"/>
      <c r="B678" s="640"/>
      <c r="C678" s="506" t="s">
        <v>87</v>
      </c>
      <c r="D678" s="676"/>
      <c r="E678" s="678"/>
      <c r="F678" s="513">
        <f>G619</f>
        <v>4.12</v>
      </c>
      <c r="G678" s="492">
        <f>TRUNC(E677*F678,2)</f>
        <v>4.12</v>
      </c>
    </row>
    <row r="679" spans="1:9" ht="33.75">
      <c r="A679" s="498" t="s">
        <v>539</v>
      </c>
      <c r="B679" s="508" t="s">
        <v>540</v>
      </c>
      <c r="C679" s="506" t="s">
        <v>343</v>
      </c>
      <c r="D679" s="343" t="s">
        <v>202</v>
      </c>
      <c r="E679" s="499">
        <v>1</v>
      </c>
      <c r="F679" s="347">
        <f>G640</f>
        <v>0.27</v>
      </c>
      <c r="G679" s="346">
        <f t="shared" ref="G679:G680" si="34">TRUNC(E679*F679,2)</f>
        <v>0.27</v>
      </c>
    </row>
    <row r="680" spans="1:9" ht="33.75">
      <c r="A680" s="498" t="s">
        <v>541</v>
      </c>
      <c r="B680" s="508" t="s">
        <v>542</v>
      </c>
      <c r="C680" s="506" t="s">
        <v>343</v>
      </c>
      <c r="D680" s="343" t="s">
        <v>202</v>
      </c>
      <c r="E680" s="499">
        <v>1</v>
      </c>
      <c r="F680" s="347">
        <f>G650</f>
        <v>0.06</v>
      </c>
      <c r="G680" s="346">
        <f t="shared" si="34"/>
        <v>0.06</v>
      </c>
    </row>
    <row r="681" spans="1:9">
      <c r="D681" s="372"/>
      <c r="E681" s="352"/>
      <c r="F681" s="349" t="s">
        <v>90</v>
      </c>
      <c r="G681" s="346">
        <f>G677</f>
        <v>9</v>
      </c>
    </row>
    <row r="682" spans="1:9">
      <c r="D682" s="372"/>
      <c r="E682" s="352"/>
      <c r="F682" s="349" t="s">
        <v>91</v>
      </c>
      <c r="G682" s="346">
        <f>G678+G679+G680</f>
        <v>4.45</v>
      </c>
    </row>
    <row r="683" spans="1:9">
      <c r="A683" s="340"/>
      <c r="D683" s="372"/>
      <c r="E683" s="352"/>
      <c r="F683" s="349" t="s">
        <v>92</v>
      </c>
      <c r="G683" s="380">
        <f>SUM(G681:G682)</f>
        <v>13.45</v>
      </c>
      <c r="H683" s="392"/>
    </row>
    <row r="684" spans="1:9">
      <c r="A684" s="377"/>
      <c r="B684" s="378"/>
      <c r="C684" s="404"/>
      <c r="D684" s="379"/>
      <c r="E684" s="377"/>
      <c r="F684" s="378"/>
      <c r="G684" s="378"/>
      <c r="H684" s="378"/>
      <c r="I684" s="377"/>
    </row>
    <row r="686" spans="1:9">
      <c r="A686" s="145" t="s">
        <v>284</v>
      </c>
    </row>
    <row r="687" spans="1:9">
      <c r="A687" s="145" t="s">
        <v>259</v>
      </c>
      <c r="B687" s="415" t="s">
        <v>568</v>
      </c>
      <c r="C687" s="416"/>
    </row>
    <row r="688" spans="1:9" ht="22.5">
      <c r="A688" s="145" t="s">
        <v>219</v>
      </c>
      <c r="B688" s="505" t="s">
        <v>566</v>
      </c>
      <c r="C688" s="369" t="s">
        <v>202</v>
      </c>
      <c r="E688" s="341" t="s">
        <v>6</v>
      </c>
      <c r="F688" s="341"/>
      <c r="G688" s="341"/>
    </row>
    <row r="689" spans="1:9" ht="33.75">
      <c r="A689" s="370" t="s">
        <v>32</v>
      </c>
      <c r="B689" s="508" t="s">
        <v>21</v>
      </c>
      <c r="C689" s="382" t="s">
        <v>557</v>
      </c>
      <c r="D689" s="343" t="s">
        <v>77</v>
      </c>
      <c r="E689" s="506" t="s">
        <v>82</v>
      </c>
      <c r="F689" s="382" t="s">
        <v>83</v>
      </c>
      <c r="G689" s="345" t="s">
        <v>84</v>
      </c>
    </row>
    <row r="690" spans="1:9">
      <c r="A690" s="407">
        <v>12869</v>
      </c>
      <c r="B690" s="408" t="s">
        <v>567</v>
      </c>
      <c r="C690" s="413" t="s">
        <v>98</v>
      </c>
      <c r="D690" s="343" t="s">
        <v>202</v>
      </c>
      <c r="E690" s="414">
        <v>9.2999999999999992E-3</v>
      </c>
      <c r="F690" s="358">
        <f>16.02/118.57%</f>
        <v>13.511006156700683</v>
      </c>
      <c r="G690" s="345">
        <f>TRUNC(E690*F690,2)</f>
        <v>0.12</v>
      </c>
    </row>
    <row r="691" spans="1:9">
      <c r="D691" s="372"/>
      <c r="E691" s="352"/>
      <c r="F691" s="349" t="s">
        <v>90</v>
      </c>
      <c r="G691" s="345">
        <f>G690</f>
        <v>0.12</v>
      </c>
    </row>
    <row r="692" spans="1:9">
      <c r="D692" s="372"/>
      <c r="E692" s="352"/>
      <c r="F692" s="349" t="s">
        <v>91</v>
      </c>
      <c r="G692" s="345"/>
    </row>
    <row r="693" spans="1:9">
      <c r="A693" s="340"/>
      <c r="D693" s="372"/>
      <c r="E693" s="352"/>
      <c r="F693" s="349" t="s">
        <v>92</v>
      </c>
      <c r="G693" s="380">
        <f>SUM(G691:G692)</f>
        <v>0.12</v>
      </c>
      <c r="H693" s="392"/>
    </row>
    <row r="694" spans="1:9">
      <c r="A694" s="377"/>
      <c r="B694" s="378"/>
      <c r="C694" s="404"/>
      <c r="D694" s="379"/>
      <c r="E694" s="377"/>
      <c r="F694" s="378"/>
      <c r="G694" s="378"/>
      <c r="H694" s="378"/>
      <c r="I694" s="377"/>
    </row>
    <row r="696" spans="1:9">
      <c r="A696" s="145" t="s">
        <v>284</v>
      </c>
    </row>
    <row r="697" spans="1:9">
      <c r="A697" s="145" t="s">
        <v>259</v>
      </c>
      <c r="B697" s="415" t="s">
        <v>573</v>
      </c>
      <c r="C697" s="416"/>
    </row>
    <row r="698" spans="1:9" ht="33.75">
      <c r="A698" s="145" t="s">
        <v>219</v>
      </c>
      <c r="B698" s="505" t="s">
        <v>572</v>
      </c>
      <c r="C698" s="369" t="s">
        <v>202</v>
      </c>
      <c r="E698" s="341" t="s">
        <v>6</v>
      </c>
      <c r="F698" s="341"/>
      <c r="G698" s="341"/>
    </row>
    <row r="699" spans="1:9" ht="33.75">
      <c r="A699" s="370" t="s">
        <v>32</v>
      </c>
      <c r="B699" s="508" t="s">
        <v>21</v>
      </c>
      <c r="C699" s="382" t="s">
        <v>557</v>
      </c>
      <c r="D699" s="343" t="s">
        <v>77</v>
      </c>
      <c r="E699" s="506" t="s">
        <v>82</v>
      </c>
      <c r="F699" s="382" t="s">
        <v>83</v>
      </c>
      <c r="G699" s="345" t="s">
        <v>84</v>
      </c>
    </row>
    <row r="700" spans="1:9">
      <c r="A700" s="407">
        <v>6117</v>
      </c>
      <c r="B700" s="408" t="s">
        <v>519</v>
      </c>
      <c r="C700" s="413" t="s">
        <v>98</v>
      </c>
      <c r="D700" s="343" t="s">
        <v>202</v>
      </c>
      <c r="E700" s="414">
        <v>1.1900000000000001E-2</v>
      </c>
      <c r="F700" s="358">
        <f>13.74/118.57%</f>
        <v>11.588091422788226</v>
      </c>
      <c r="G700" s="345">
        <f>TRUNC(E700*F700,2)</f>
        <v>0.13</v>
      </c>
    </row>
    <row r="701" spans="1:9">
      <c r="D701" s="372"/>
      <c r="E701" s="352"/>
      <c r="F701" s="349" t="s">
        <v>90</v>
      </c>
      <c r="G701" s="345">
        <f>G700</f>
        <v>0.13</v>
      </c>
    </row>
    <row r="702" spans="1:9">
      <c r="D702" s="372"/>
      <c r="E702" s="352"/>
      <c r="F702" s="349" t="s">
        <v>91</v>
      </c>
      <c r="G702" s="345"/>
    </row>
    <row r="703" spans="1:9">
      <c r="A703" s="340"/>
      <c r="D703" s="372"/>
      <c r="E703" s="352"/>
      <c r="F703" s="349" t="s">
        <v>92</v>
      </c>
      <c r="G703" s="380">
        <f>SUM(G701:G702)</f>
        <v>0.13</v>
      </c>
      <c r="H703" s="392"/>
    </row>
    <row r="704" spans="1:9">
      <c r="A704" s="377"/>
      <c r="B704" s="378"/>
      <c r="C704" s="404"/>
      <c r="D704" s="379"/>
      <c r="E704" s="377"/>
      <c r="F704" s="378"/>
      <c r="G704" s="378"/>
      <c r="H704" s="378"/>
      <c r="I704" s="377"/>
    </row>
    <row r="706" spans="1:9">
      <c r="A706" s="145" t="s">
        <v>284</v>
      </c>
    </row>
    <row r="707" spans="1:9">
      <c r="A707" s="145" t="s">
        <v>259</v>
      </c>
      <c r="B707" s="415" t="s">
        <v>579</v>
      </c>
      <c r="C707" s="416"/>
    </row>
    <row r="708" spans="1:9" ht="22.5">
      <c r="A708" s="145" t="s">
        <v>219</v>
      </c>
      <c r="B708" s="505" t="s">
        <v>578</v>
      </c>
      <c r="C708" s="369" t="s">
        <v>202</v>
      </c>
      <c r="E708" s="341" t="s">
        <v>6</v>
      </c>
      <c r="F708" s="341"/>
      <c r="G708" s="341"/>
    </row>
    <row r="709" spans="1:9" ht="33.75">
      <c r="A709" s="370" t="s">
        <v>32</v>
      </c>
      <c r="B709" s="508" t="s">
        <v>21</v>
      </c>
      <c r="C709" s="382" t="s">
        <v>557</v>
      </c>
      <c r="D709" s="343" t="s">
        <v>77</v>
      </c>
      <c r="E709" s="506" t="s">
        <v>82</v>
      </c>
      <c r="F709" s="382" t="s">
        <v>83</v>
      </c>
      <c r="G709" s="345" t="s">
        <v>84</v>
      </c>
    </row>
    <row r="710" spans="1:9">
      <c r="A710" s="407">
        <v>4783</v>
      </c>
      <c r="B710" s="408" t="s">
        <v>577</v>
      </c>
      <c r="C710" s="413" t="s">
        <v>98</v>
      </c>
      <c r="D710" s="343" t="s">
        <v>202</v>
      </c>
      <c r="E710" s="414">
        <v>1.1900000000000001E-2</v>
      </c>
      <c r="F710" s="358">
        <f>14.68/118.57%</f>
        <v>12.380872058699502</v>
      </c>
      <c r="G710" s="345">
        <f>TRUNC(E710*F710,2)</f>
        <v>0.14000000000000001</v>
      </c>
    </row>
    <row r="711" spans="1:9">
      <c r="D711" s="372"/>
      <c r="E711" s="352"/>
      <c r="F711" s="349" t="s">
        <v>90</v>
      </c>
      <c r="G711" s="345">
        <f>G710</f>
        <v>0.14000000000000001</v>
      </c>
    </row>
    <row r="712" spans="1:9">
      <c r="D712" s="372"/>
      <c r="E712" s="352"/>
      <c r="F712" s="349" t="s">
        <v>91</v>
      </c>
      <c r="G712" s="345"/>
    </row>
    <row r="713" spans="1:9">
      <c r="A713" s="340"/>
      <c r="D713" s="372"/>
      <c r="E713" s="352"/>
      <c r="F713" s="349" t="s">
        <v>92</v>
      </c>
      <c r="G713" s="380">
        <f>SUM(G711:G712)</f>
        <v>0.14000000000000001</v>
      </c>
      <c r="H713" s="392"/>
    </row>
    <row r="714" spans="1:9">
      <c r="A714" s="377"/>
      <c r="B714" s="378"/>
      <c r="C714" s="404"/>
      <c r="D714" s="379"/>
      <c r="E714" s="377"/>
      <c r="F714" s="378"/>
      <c r="G714" s="378"/>
      <c r="H714" s="378"/>
      <c r="I714" s="377"/>
    </row>
    <row r="716" spans="1:9">
      <c r="A716" s="145" t="s">
        <v>284</v>
      </c>
    </row>
    <row r="717" spans="1:9">
      <c r="A717" s="145" t="s">
        <v>259</v>
      </c>
      <c r="B717" s="415" t="s">
        <v>602</v>
      </c>
      <c r="C717" s="416"/>
    </row>
    <row r="718" spans="1:9" ht="33.75">
      <c r="A718" s="145" t="s">
        <v>219</v>
      </c>
      <c r="B718" s="505" t="s">
        <v>601</v>
      </c>
      <c r="C718" s="369" t="s">
        <v>202</v>
      </c>
      <c r="E718" s="341" t="s">
        <v>6</v>
      </c>
      <c r="F718" s="341"/>
      <c r="G718" s="341"/>
    </row>
    <row r="719" spans="1:9" ht="33.75">
      <c r="A719" s="370" t="s">
        <v>32</v>
      </c>
      <c r="B719" s="508" t="s">
        <v>21</v>
      </c>
      <c r="C719" s="382" t="s">
        <v>557</v>
      </c>
      <c r="D719" s="343" t="s">
        <v>77</v>
      </c>
      <c r="E719" s="506" t="s">
        <v>82</v>
      </c>
      <c r="F719" s="382" t="s">
        <v>83</v>
      </c>
      <c r="G719" s="345" t="s">
        <v>84</v>
      </c>
    </row>
    <row r="720" spans="1:9">
      <c r="A720" s="407">
        <v>247</v>
      </c>
      <c r="B720" s="408" t="s">
        <v>603</v>
      </c>
      <c r="C720" s="413" t="s">
        <v>98</v>
      </c>
      <c r="D720" s="343" t="s">
        <v>202</v>
      </c>
      <c r="E720" s="414">
        <v>3.0099999999999998E-2</v>
      </c>
      <c r="F720" s="358">
        <f>10.66/118.57%</f>
        <v>8.9904697646959608</v>
      </c>
      <c r="G720" s="345">
        <f>TRUNC(E720*F720,2)</f>
        <v>0.27</v>
      </c>
    </row>
    <row r="721" spans="1:9">
      <c r="D721" s="372"/>
      <c r="E721" s="352"/>
      <c r="F721" s="349" t="s">
        <v>90</v>
      </c>
      <c r="G721" s="345">
        <f>G720</f>
        <v>0.27</v>
      </c>
    </row>
    <row r="722" spans="1:9">
      <c r="D722" s="372"/>
      <c r="E722" s="352"/>
      <c r="F722" s="349" t="s">
        <v>91</v>
      </c>
      <c r="G722" s="345"/>
    </row>
    <row r="723" spans="1:9">
      <c r="A723" s="340"/>
      <c r="D723" s="372"/>
      <c r="E723" s="352"/>
      <c r="F723" s="349" t="s">
        <v>92</v>
      </c>
      <c r="G723" s="380">
        <f>SUM(G721:G722)</f>
        <v>0.27</v>
      </c>
      <c r="H723" s="392"/>
    </row>
    <row r="724" spans="1:9">
      <c r="A724" s="377"/>
      <c r="B724" s="378"/>
      <c r="C724" s="404"/>
      <c r="D724" s="379"/>
      <c r="E724" s="377"/>
      <c r="F724" s="378"/>
      <c r="G724" s="378"/>
      <c r="H724" s="378"/>
      <c r="I724" s="377"/>
    </row>
    <row r="726" spans="1:9">
      <c r="A726" s="145" t="s">
        <v>284</v>
      </c>
    </row>
    <row r="727" spans="1:9">
      <c r="A727" s="145" t="s">
        <v>259</v>
      </c>
      <c r="B727" s="415" t="s">
        <v>604</v>
      </c>
      <c r="C727" s="416"/>
    </row>
    <row r="728" spans="1:9" ht="22.5">
      <c r="A728" s="145" t="s">
        <v>219</v>
      </c>
      <c r="B728" s="505" t="s">
        <v>599</v>
      </c>
      <c r="C728" s="369" t="s">
        <v>202</v>
      </c>
      <c r="E728" s="341" t="s">
        <v>6</v>
      </c>
      <c r="F728" s="341"/>
      <c r="G728" s="341"/>
    </row>
    <row r="729" spans="1:9" ht="33.75">
      <c r="A729" s="370" t="s">
        <v>32</v>
      </c>
      <c r="B729" s="508" t="s">
        <v>21</v>
      </c>
      <c r="C729" s="382" t="s">
        <v>557</v>
      </c>
      <c r="D729" s="343" t="s">
        <v>77</v>
      </c>
      <c r="E729" s="506" t="s">
        <v>82</v>
      </c>
      <c r="F729" s="382" t="s">
        <v>83</v>
      </c>
      <c r="G729" s="345" t="s">
        <v>84</v>
      </c>
    </row>
    <row r="730" spans="1:9">
      <c r="A730" s="407">
        <v>2436</v>
      </c>
      <c r="B730" s="408" t="s">
        <v>605</v>
      </c>
      <c r="C730" s="413" t="s">
        <v>98</v>
      </c>
      <c r="D730" s="343" t="s">
        <v>202</v>
      </c>
      <c r="E730" s="414">
        <v>3.0099999999999998E-2</v>
      </c>
      <c r="F730" s="358">
        <f>15.19/118.57%</f>
        <v>12.81099772286413</v>
      </c>
      <c r="G730" s="345">
        <f>TRUNC(E730*F730,2)</f>
        <v>0.38</v>
      </c>
    </row>
    <row r="731" spans="1:9">
      <c r="D731" s="372"/>
      <c r="E731" s="352"/>
      <c r="F731" s="349" t="s">
        <v>90</v>
      </c>
      <c r="G731" s="345">
        <f>G730</f>
        <v>0.38</v>
      </c>
    </row>
    <row r="732" spans="1:9">
      <c r="D732" s="372"/>
      <c r="E732" s="352"/>
      <c r="F732" s="349" t="s">
        <v>91</v>
      </c>
      <c r="G732" s="345"/>
    </row>
    <row r="733" spans="1:9">
      <c r="A733" s="340"/>
      <c r="D733" s="372"/>
      <c r="E733" s="352"/>
      <c r="F733" s="349" t="s">
        <v>92</v>
      </c>
      <c r="G733" s="380">
        <f>SUM(G731:G732)</f>
        <v>0.38</v>
      </c>
      <c r="H733" s="392"/>
    </row>
    <row r="734" spans="1:9">
      <c r="A734" s="377"/>
      <c r="B734" s="378"/>
      <c r="C734" s="404"/>
      <c r="D734" s="379"/>
      <c r="E734" s="377"/>
      <c r="F734" s="378"/>
      <c r="G734" s="378"/>
      <c r="H734" s="378"/>
      <c r="I734" s="377"/>
    </row>
    <row r="736" spans="1:9">
      <c r="A736" s="145" t="s">
        <v>284</v>
      </c>
    </row>
    <row r="737" spans="1:9">
      <c r="A737" s="145" t="s">
        <v>259</v>
      </c>
      <c r="B737" s="415" t="s">
        <v>617</v>
      </c>
      <c r="C737" s="416"/>
    </row>
    <row r="738" spans="1:9" ht="33.75">
      <c r="A738" s="145" t="s">
        <v>219</v>
      </c>
      <c r="B738" s="523" t="s">
        <v>611</v>
      </c>
      <c r="C738" s="369" t="s">
        <v>202</v>
      </c>
      <c r="E738" s="341" t="s">
        <v>6</v>
      </c>
      <c r="F738" s="341"/>
      <c r="G738" s="341"/>
    </row>
    <row r="739" spans="1:9" ht="33.75">
      <c r="A739" s="370" t="s">
        <v>32</v>
      </c>
      <c r="B739" s="524" t="s">
        <v>21</v>
      </c>
      <c r="C739" s="382" t="s">
        <v>557</v>
      </c>
      <c r="D739" s="343" t="s">
        <v>77</v>
      </c>
      <c r="E739" s="525" t="s">
        <v>82</v>
      </c>
      <c r="F739" s="382" t="s">
        <v>83</v>
      </c>
      <c r="G739" s="345" t="s">
        <v>84</v>
      </c>
    </row>
    <row r="740" spans="1:9">
      <c r="A740" s="407">
        <v>246</v>
      </c>
      <c r="B740" s="408" t="s">
        <v>615</v>
      </c>
      <c r="C740" s="413" t="s">
        <v>98</v>
      </c>
      <c r="D740" s="343" t="s">
        <v>202</v>
      </c>
      <c r="E740" s="414">
        <v>1.4500000000000001E-2</v>
      </c>
      <c r="F740" s="358">
        <f>10.75/118.57%</f>
        <v>9.0663742936661897</v>
      </c>
      <c r="G740" s="345">
        <f>TRUNC(E740*F740,2)</f>
        <v>0.13</v>
      </c>
    </row>
    <row r="741" spans="1:9">
      <c r="D741" s="372"/>
      <c r="E741" s="352"/>
      <c r="F741" s="349" t="s">
        <v>90</v>
      </c>
      <c r="G741" s="345">
        <f>G740</f>
        <v>0.13</v>
      </c>
    </row>
    <row r="742" spans="1:9">
      <c r="D742" s="372"/>
      <c r="E742" s="352"/>
      <c r="F742" s="349" t="s">
        <v>91</v>
      </c>
      <c r="G742" s="345"/>
    </row>
    <row r="743" spans="1:9">
      <c r="A743" s="340"/>
      <c r="D743" s="372"/>
      <c r="E743" s="352"/>
      <c r="F743" s="349" t="s">
        <v>92</v>
      </c>
      <c r="G743" s="380">
        <f>SUM(G741:G742)</f>
        <v>0.13</v>
      </c>
      <c r="H743" s="392"/>
    </row>
    <row r="744" spans="1:9">
      <c r="A744" s="377"/>
      <c r="B744" s="378"/>
      <c r="C744" s="404"/>
      <c r="D744" s="379"/>
      <c r="E744" s="377"/>
      <c r="F744" s="378"/>
      <c r="G744" s="378"/>
      <c r="H744" s="378"/>
      <c r="I744" s="377"/>
    </row>
    <row r="746" spans="1:9">
      <c r="A746" s="145" t="s">
        <v>284</v>
      </c>
    </row>
    <row r="747" spans="1:9">
      <c r="A747" s="145" t="s">
        <v>259</v>
      </c>
      <c r="B747" s="415" t="s">
        <v>616</v>
      </c>
      <c r="C747" s="416"/>
    </row>
    <row r="748" spans="1:9" ht="33.75">
      <c r="A748" s="145" t="s">
        <v>219</v>
      </c>
      <c r="B748" s="523" t="s">
        <v>614</v>
      </c>
      <c r="C748" s="369" t="s">
        <v>202</v>
      </c>
      <c r="E748" s="341" t="s">
        <v>6</v>
      </c>
      <c r="F748" s="341"/>
      <c r="G748" s="341"/>
    </row>
    <row r="749" spans="1:9" ht="33.75">
      <c r="A749" s="370" t="s">
        <v>32</v>
      </c>
      <c r="B749" s="524" t="s">
        <v>21</v>
      </c>
      <c r="C749" s="382" t="s">
        <v>557</v>
      </c>
      <c r="D749" s="343" t="s">
        <v>77</v>
      </c>
      <c r="E749" s="525" t="s">
        <v>82</v>
      </c>
      <c r="F749" s="382" t="s">
        <v>83</v>
      </c>
      <c r="G749" s="345" t="s">
        <v>84</v>
      </c>
    </row>
    <row r="750" spans="1:9">
      <c r="A750" s="407">
        <v>2696</v>
      </c>
      <c r="B750" s="408" t="s">
        <v>613</v>
      </c>
      <c r="C750" s="413" t="s">
        <v>98</v>
      </c>
      <c r="D750" s="343" t="s">
        <v>202</v>
      </c>
      <c r="E750" s="414">
        <v>1.4500000000000001E-2</v>
      </c>
      <c r="F750" s="358">
        <f>15.19/118.57%</f>
        <v>12.81099772286413</v>
      </c>
      <c r="G750" s="345">
        <f>TRUNC(E750*F750,2)</f>
        <v>0.18</v>
      </c>
    </row>
    <row r="751" spans="1:9">
      <c r="D751" s="372"/>
      <c r="E751" s="352"/>
      <c r="F751" s="349" t="s">
        <v>90</v>
      </c>
      <c r="G751" s="345">
        <f>G750</f>
        <v>0.18</v>
      </c>
    </row>
    <row r="752" spans="1:9">
      <c r="D752" s="372"/>
      <c r="E752" s="352"/>
      <c r="F752" s="349" t="s">
        <v>91</v>
      </c>
      <c r="G752" s="345"/>
    </row>
    <row r="753" spans="1:9">
      <c r="A753" s="340"/>
      <c r="D753" s="372"/>
      <c r="E753" s="352"/>
      <c r="F753" s="349" t="s">
        <v>92</v>
      </c>
      <c r="G753" s="380">
        <f>SUM(G751:G752)</f>
        <v>0.18</v>
      </c>
      <c r="H753" s="392"/>
    </row>
    <row r="754" spans="1:9">
      <c r="A754" s="377"/>
      <c r="B754" s="378"/>
      <c r="C754" s="404"/>
      <c r="D754" s="379"/>
      <c r="E754" s="377"/>
      <c r="F754" s="378"/>
      <c r="G754" s="378"/>
      <c r="H754" s="378"/>
      <c r="I754" s="377"/>
    </row>
    <row r="756" spans="1:9">
      <c r="A756" s="145" t="s">
        <v>284</v>
      </c>
      <c r="C756" s="146"/>
      <c r="D756" s="145"/>
      <c r="E756" s="147"/>
      <c r="H756" s="364"/>
    </row>
    <row r="757" spans="1:9">
      <c r="A757" s="145" t="s">
        <v>649</v>
      </c>
      <c r="C757" s="146"/>
      <c r="D757" s="145"/>
      <c r="E757" s="147"/>
      <c r="H757" s="364"/>
    </row>
    <row r="758" spans="1:9" ht="24" customHeight="1">
      <c r="A758" s="529" t="s">
        <v>518</v>
      </c>
      <c r="B758" s="631" t="s">
        <v>650</v>
      </c>
      <c r="C758" s="631"/>
      <c r="D758" s="631"/>
      <c r="E758" s="395" t="s">
        <v>581</v>
      </c>
      <c r="G758" s="395"/>
      <c r="H758" s="364"/>
    </row>
    <row r="759" spans="1:9" ht="33.75">
      <c r="A759" s="515" t="s">
        <v>32</v>
      </c>
      <c r="B759" s="371" t="s">
        <v>21</v>
      </c>
      <c r="C759" s="343" t="s">
        <v>81</v>
      </c>
      <c r="D759" s="525" t="s">
        <v>77</v>
      </c>
      <c r="E759" s="525" t="s">
        <v>82</v>
      </c>
      <c r="F759" s="382" t="s">
        <v>83</v>
      </c>
      <c r="G759" s="383" t="s">
        <v>84</v>
      </c>
      <c r="H759" s="364"/>
    </row>
    <row r="760" spans="1:9" ht="22.5">
      <c r="A760" s="542" t="s">
        <v>651</v>
      </c>
      <c r="B760" s="527" t="s">
        <v>652</v>
      </c>
      <c r="C760" s="343" t="s">
        <v>87</v>
      </c>
      <c r="D760" s="525" t="s">
        <v>224</v>
      </c>
      <c r="E760" s="526">
        <v>1</v>
      </c>
      <c r="F760" s="513">
        <v>1.68</v>
      </c>
      <c r="G760" s="521">
        <f t="shared" ref="G760:G761" si="35">TRUNC(E760*F760,2)</f>
        <v>1.68</v>
      </c>
      <c r="H760" s="364"/>
    </row>
    <row r="761" spans="1:9" ht="33.75">
      <c r="A761" s="542" t="s">
        <v>653</v>
      </c>
      <c r="B761" s="527" t="s">
        <v>654</v>
      </c>
      <c r="C761" s="343" t="s">
        <v>87</v>
      </c>
      <c r="D761" s="525" t="s">
        <v>77</v>
      </c>
      <c r="E761" s="526">
        <v>1</v>
      </c>
      <c r="F761" s="382">
        <v>0.87</v>
      </c>
      <c r="G761" s="521">
        <f t="shared" si="35"/>
        <v>0.87</v>
      </c>
      <c r="H761" s="364"/>
    </row>
    <row r="762" spans="1:9">
      <c r="A762" s="626">
        <v>88264</v>
      </c>
      <c r="B762" s="636" t="s">
        <v>597</v>
      </c>
      <c r="C762" s="343" t="s">
        <v>98</v>
      </c>
      <c r="D762" s="638" t="s">
        <v>202</v>
      </c>
      <c r="E762" s="632">
        <v>0.1862</v>
      </c>
      <c r="F762" s="347">
        <f>COMPOSIÇÕES!G820</f>
        <v>13.190000000000001</v>
      </c>
      <c r="G762" s="346">
        <f>TRUNC(E762*F762,2)</f>
        <v>2.4500000000000002</v>
      </c>
      <c r="H762" s="364"/>
    </row>
    <row r="763" spans="1:9">
      <c r="A763" s="627"/>
      <c r="B763" s="637"/>
      <c r="C763" s="343" t="s">
        <v>87</v>
      </c>
      <c r="D763" s="638"/>
      <c r="E763" s="633"/>
      <c r="F763" s="347">
        <f>COMPOSIÇÕES!G821</f>
        <v>4.5600000000000005</v>
      </c>
      <c r="G763" s="346">
        <f>TRUNC(E762*F763,2)</f>
        <v>0.84</v>
      </c>
      <c r="H763" s="364"/>
    </row>
    <row r="764" spans="1:9">
      <c r="C764" s="146"/>
      <c r="D764" s="352"/>
      <c r="E764" s="517"/>
      <c r="F764" s="518" t="s">
        <v>90</v>
      </c>
      <c r="G764" s="389">
        <f>G762</f>
        <v>2.4500000000000002</v>
      </c>
      <c r="H764" s="145"/>
    </row>
    <row r="765" spans="1:9">
      <c r="C765" s="146"/>
      <c r="D765" s="352"/>
      <c r="E765" s="417"/>
      <c r="F765" s="349" t="s">
        <v>91</v>
      </c>
      <c r="G765" s="346">
        <f>G760+G761+G763</f>
        <v>3.3899999999999997</v>
      </c>
      <c r="H765" s="145"/>
    </row>
    <row r="766" spans="1:9">
      <c r="C766" s="146"/>
      <c r="D766" s="352"/>
      <c r="E766" s="417"/>
      <c r="F766" s="349" t="s">
        <v>92</v>
      </c>
      <c r="G766" s="350">
        <f>SUM(G764:G765)</f>
        <v>5.84</v>
      </c>
      <c r="H766" s="145"/>
    </row>
    <row r="767" spans="1:9">
      <c r="A767" s="355"/>
      <c r="B767" s="356"/>
      <c r="C767" s="357"/>
      <c r="D767" s="355"/>
      <c r="E767" s="356"/>
      <c r="F767" s="356"/>
      <c r="G767" s="356"/>
      <c r="H767" s="355"/>
      <c r="I767" s="355"/>
    </row>
    <row r="769" spans="1:8">
      <c r="A769" s="145" t="s">
        <v>284</v>
      </c>
      <c r="C769" s="146"/>
      <c r="D769" s="145"/>
      <c r="E769" s="147"/>
      <c r="H769" s="364"/>
    </row>
    <row r="770" spans="1:8">
      <c r="A770" s="145" t="s">
        <v>657</v>
      </c>
      <c r="C770" s="146"/>
      <c r="D770" s="145"/>
      <c r="E770" s="147"/>
      <c r="H770" s="364"/>
    </row>
    <row r="771" spans="1:8" ht="25.5" customHeight="1">
      <c r="A771" s="529" t="s">
        <v>518</v>
      </c>
      <c r="B771" s="631" t="s">
        <v>648</v>
      </c>
      <c r="C771" s="631"/>
      <c r="D771" s="631"/>
      <c r="E771" s="395" t="s">
        <v>581</v>
      </c>
      <c r="G771" s="395"/>
      <c r="H771" s="364"/>
    </row>
    <row r="772" spans="1:8" ht="33.75">
      <c r="A772" s="515" t="s">
        <v>32</v>
      </c>
      <c r="B772" s="371" t="s">
        <v>21</v>
      </c>
      <c r="C772" s="343" t="s">
        <v>81</v>
      </c>
      <c r="D772" s="525" t="s">
        <v>77</v>
      </c>
      <c r="E772" s="525" t="s">
        <v>82</v>
      </c>
      <c r="F772" s="382" t="s">
        <v>83</v>
      </c>
      <c r="G772" s="383" t="s">
        <v>84</v>
      </c>
      <c r="H772" s="364"/>
    </row>
    <row r="773" spans="1:8">
      <c r="A773" s="542" t="s">
        <v>655</v>
      </c>
      <c r="B773" s="527" t="s">
        <v>656</v>
      </c>
      <c r="C773" s="343" t="s">
        <v>87</v>
      </c>
      <c r="D773" s="525" t="s">
        <v>77</v>
      </c>
      <c r="E773" s="528">
        <v>2</v>
      </c>
      <c r="F773" s="382">
        <v>3.96</v>
      </c>
      <c r="G773" s="383">
        <f>TRUNC(E773*F773,2)</f>
        <v>7.92</v>
      </c>
      <c r="H773" s="364"/>
    </row>
    <row r="774" spans="1:8">
      <c r="A774" s="626">
        <v>88247</v>
      </c>
      <c r="B774" s="639" t="s">
        <v>596</v>
      </c>
      <c r="C774" s="343" t="s">
        <v>98</v>
      </c>
      <c r="D774" s="638" t="s">
        <v>202</v>
      </c>
      <c r="E774" s="632">
        <v>0.247</v>
      </c>
      <c r="F774" s="347">
        <f>COMPOSIÇÕES!G837</f>
        <v>9.26</v>
      </c>
      <c r="G774" s="521">
        <f>TRUNC(E774*F774,2)</f>
        <v>2.2799999999999998</v>
      </c>
      <c r="H774" s="364"/>
    </row>
    <row r="775" spans="1:8">
      <c r="A775" s="627"/>
      <c r="B775" s="640"/>
      <c r="C775" s="343" t="s">
        <v>87</v>
      </c>
      <c r="D775" s="638"/>
      <c r="E775" s="633"/>
      <c r="F775" s="347">
        <f>COMPOSIÇÕES!G838</f>
        <v>4.5600000000000005</v>
      </c>
      <c r="G775" s="346">
        <f>TRUNC(E774*F775,2)</f>
        <v>1.1200000000000001</v>
      </c>
      <c r="H775" s="364"/>
    </row>
    <row r="776" spans="1:8">
      <c r="A776" s="626">
        <v>88264</v>
      </c>
      <c r="B776" s="636" t="s">
        <v>597</v>
      </c>
      <c r="C776" s="343" t="s">
        <v>98</v>
      </c>
      <c r="D776" s="638" t="s">
        <v>202</v>
      </c>
      <c r="E776" s="632">
        <v>0.247</v>
      </c>
      <c r="F776" s="347">
        <f>COMPOSIÇÕES!G820</f>
        <v>13.190000000000001</v>
      </c>
      <c r="G776" s="346">
        <f>TRUNC(E776*F776,2)</f>
        <v>3.25</v>
      </c>
      <c r="H776" s="364"/>
    </row>
    <row r="777" spans="1:8">
      <c r="A777" s="627"/>
      <c r="B777" s="637"/>
      <c r="C777" s="343" t="s">
        <v>87</v>
      </c>
      <c r="D777" s="638"/>
      <c r="E777" s="633"/>
      <c r="F777" s="347">
        <f>COMPOSIÇÕES!G821</f>
        <v>4.5600000000000005</v>
      </c>
      <c r="G777" s="346">
        <f>TRUNC(E776*F777,2)</f>
        <v>1.1200000000000001</v>
      </c>
      <c r="H777" s="364"/>
    </row>
    <row r="778" spans="1:8">
      <c r="C778" s="146"/>
      <c r="D778" s="352"/>
      <c r="E778" s="517"/>
      <c r="F778" s="518" t="s">
        <v>90</v>
      </c>
      <c r="G778" s="389">
        <f>G774+G776</f>
        <v>5.5299999999999994</v>
      </c>
      <c r="H778" s="145"/>
    </row>
    <row r="779" spans="1:8">
      <c r="C779" s="146"/>
      <c r="D779" s="352"/>
      <c r="E779" s="417"/>
      <c r="F779" s="349" t="s">
        <v>91</v>
      </c>
      <c r="G779" s="346">
        <f>G773+G775+G777</f>
        <v>10.16</v>
      </c>
      <c r="H779" s="145"/>
    </row>
    <row r="780" spans="1:8">
      <c r="C780" s="146"/>
      <c r="D780" s="352"/>
      <c r="E780" s="417"/>
      <c r="F780" s="349" t="s">
        <v>92</v>
      </c>
      <c r="G780" s="350">
        <f>SUM(G778:G779)</f>
        <v>15.69</v>
      </c>
      <c r="H780" s="145"/>
    </row>
    <row r="781" spans="1:8">
      <c r="A781" s="355"/>
      <c r="B781" s="356"/>
      <c r="C781" s="357"/>
      <c r="D781" s="355"/>
      <c r="E781" s="356"/>
      <c r="F781" s="356"/>
      <c r="G781" s="356"/>
      <c r="H781" s="355"/>
    </row>
    <row r="783" spans="1:8">
      <c r="A783" s="145" t="s">
        <v>284</v>
      </c>
      <c r="C783" s="146"/>
      <c r="D783" s="145"/>
      <c r="E783" s="147"/>
      <c r="H783" s="364"/>
    </row>
    <row r="784" spans="1:8">
      <c r="A784" s="145" t="s">
        <v>668</v>
      </c>
      <c r="C784" s="146"/>
      <c r="D784" s="145"/>
      <c r="E784" s="147"/>
      <c r="H784" s="364"/>
    </row>
    <row r="785" spans="1:8" ht="24" customHeight="1">
      <c r="A785" s="529" t="s">
        <v>518</v>
      </c>
      <c r="B785" s="631" t="s">
        <v>665</v>
      </c>
      <c r="C785" s="631"/>
      <c r="D785" s="631"/>
      <c r="E785" s="395" t="s">
        <v>581</v>
      </c>
      <c r="G785" s="395"/>
      <c r="H785" s="364"/>
    </row>
    <row r="786" spans="1:8" ht="33.75">
      <c r="A786" s="515" t="s">
        <v>32</v>
      </c>
      <c r="B786" s="371" t="s">
        <v>21</v>
      </c>
      <c r="C786" s="343" t="s">
        <v>81</v>
      </c>
      <c r="D786" s="525" t="s">
        <v>77</v>
      </c>
      <c r="E786" s="525" t="s">
        <v>82</v>
      </c>
      <c r="F786" s="382" t="s">
        <v>83</v>
      </c>
      <c r="G786" s="383" t="s">
        <v>84</v>
      </c>
      <c r="H786" s="364"/>
    </row>
    <row r="787" spans="1:8" ht="14.1" customHeight="1">
      <c r="A787" s="626">
        <v>88247</v>
      </c>
      <c r="B787" s="639" t="s">
        <v>596</v>
      </c>
      <c r="C787" s="343" t="s">
        <v>98</v>
      </c>
      <c r="D787" s="638" t="s">
        <v>202</v>
      </c>
      <c r="E787" s="632">
        <v>0.308</v>
      </c>
      <c r="F787" s="347">
        <f>COMPOSIÇÕES!G837</f>
        <v>9.26</v>
      </c>
      <c r="G787" s="521">
        <f>TRUNC(E787*F787,2)</f>
        <v>2.85</v>
      </c>
      <c r="H787" s="364"/>
    </row>
    <row r="788" spans="1:8" ht="14.1" customHeight="1">
      <c r="A788" s="627"/>
      <c r="B788" s="640"/>
      <c r="C788" s="343" t="s">
        <v>87</v>
      </c>
      <c r="D788" s="638"/>
      <c r="E788" s="633"/>
      <c r="F788" s="347">
        <f>COMPOSIÇÕES!G838</f>
        <v>4.5600000000000005</v>
      </c>
      <c r="G788" s="346">
        <f>TRUNC(E787*F788,2)</f>
        <v>1.4</v>
      </c>
      <c r="H788" s="364"/>
    </row>
    <row r="789" spans="1:8" ht="14.1" customHeight="1">
      <c r="A789" s="626">
        <v>88264</v>
      </c>
      <c r="B789" s="636" t="s">
        <v>597</v>
      </c>
      <c r="C789" s="343" t="s">
        <v>98</v>
      </c>
      <c r="D789" s="638" t="s">
        <v>202</v>
      </c>
      <c r="E789" s="632">
        <v>0.308</v>
      </c>
      <c r="F789" s="347">
        <f>COMPOSIÇÕES!G820</f>
        <v>13.190000000000001</v>
      </c>
      <c r="G789" s="346">
        <f>TRUNC(E789*F789,2)</f>
        <v>4.0599999999999996</v>
      </c>
      <c r="H789" s="364"/>
    </row>
    <row r="790" spans="1:8" ht="14.1" customHeight="1">
      <c r="A790" s="627"/>
      <c r="B790" s="637"/>
      <c r="C790" s="343" t="s">
        <v>87</v>
      </c>
      <c r="D790" s="638"/>
      <c r="E790" s="633"/>
      <c r="F790" s="347">
        <f>COMPOSIÇÕES!G821</f>
        <v>4.5600000000000005</v>
      </c>
      <c r="G790" s="346">
        <f>TRUNC(E789*F790,2)</f>
        <v>1.4</v>
      </c>
      <c r="H790" s="364"/>
    </row>
    <row r="791" spans="1:8" ht="14.1" customHeight="1">
      <c r="A791" s="407" t="s">
        <v>669</v>
      </c>
      <c r="B791" s="408" t="s">
        <v>670</v>
      </c>
      <c r="C791" s="343" t="s">
        <v>87</v>
      </c>
      <c r="D791" s="525" t="s">
        <v>77</v>
      </c>
      <c r="E791" s="374">
        <v>1</v>
      </c>
      <c r="F791" s="347">
        <v>4.51</v>
      </c>
      <c r="G791" s="346">
        <f>TRUNC(E791*F791,2)</f>
        <v>4.51</v>
      </c>
      <c r="H791" s="364"/>
    </row>
    <row r="792" spans="1:8" ht="14.1" customHeight="1">
      <c r="C792" s="146"/>
      <c r="D792" s="483"/>
      <c r="E792" s="517"/>
      <c r="F792" s="518" t="s">
        <v>90</v>
      </c>
      <c r="G792" s="389">
        <f>G787+G789</f>
        <v>6.91</v>
      </c>
      <c r="H792" s="145"/>
    </row>
    <row r="793" spans="1:8" ht="14.1" customHeight="1">
      <c r="C793" s="146"/>
      <c r="D793" s="352"/>
      <c r="E793" s="417"/>
      <c r="F793" s="349" t="s">
        <v>91</v>
      </c>
      <c r="G793" s="346">
        <f>G788+G790+G791</f>
        <v>7.31</v>
      </c>
      <c r="H793" s="145"/>
    </row>
    <row r="794" spans="1:8" ht="14.1" customHeight="1">
      <c r="C794" s="146"/>
      <c r="D794" s="352"/>
      <c r="E794" s="417"/>
      <c r="F794" s="349" t="s">
        <v>92</v>
      </c>
      <c r="G794" s="350">
        <f>SUM(G792:G793)</f>
        <v>14.219999999999999</v>
      </c>
      <c r="H794" s="145"/>
    </row>
    <row r="795" spans="1:8">
      <c r="A795" s="355"/>
      <c r="B795" s="356"/>
      <c r="C795" s="357"/>
      <c r="D795" s="355"/>
      <c r="E795" s="356"/>
      <c r="F795" s="356"/>
      <c r="G795" s="356"/>
      <c r="H795" s="355"/>
    </row>
  </sheetData>
  <mergeCells count="120">
    <mergeCell ref="A787:A788"/>
    <mergeCell ref="B787:B788"/>
    <mergeCell ref="D787:D788"/>
    <mergeCell ref="E787:E788"/>
    <mergeCell ref="A789:A790"/>
    <mergeCell ref="B789:B790"/>
    <mergeCell ref="D789:D790"/>
    <mergeCell ref="E789:E790"/>
    <mergeCell ref="B785:D785"/>
    <mergeCell ref="A774:A775"/>
    <mergeCell ref="B774:B775"/>
    <mergeCell ref="D774:D775"/>
    <mergeCell ref="E774:E775"/>
    <mergeCell ref="A776:A777"/>
    <mergeCell ref="B776:B777"/>
    <mergeCell ref="D776:D777"/>
    <mergeCell ref="E776:E777"/>
    <mergeCell ref="A762:A763"/>
    <mergeCell ref="B762:B763"/>
    <mergeCell ref="D762:D763"/>
    <mergeCell ref="E762:E763"/>
    <mergeCell ref="B771:D771"/>
    <mergeCell ref="B758:D758"/>
    <mergeCell ref="A465:A466"/>
    <mergeCell ref="B465:B466"/>
    <mergeCell ref="D465:D466"/>
    <mergeCell ref="E465:E466"/>
    <mergeCell ref="A410:A411"/>
    <mergeCell ref="D410:D411"/>
    <mergeCell ref="E410:E411"/>
    <mergeCell ref="B423:D423"/>
    <mergeCell ref="B433:D433"/>
    <mergeCell ref="E521:E522"/>
    <mergeCell ref="A505:A506"/>
    <mergeCell ref="B505:B506"/>
    <mergeCell ref="D505:D506"/>
    <mergeCell ref="E505:E506"/>
    <mergeCell ref="A507:A508"/>
    <mergeCell ref="B507:B508"/>
    <mergeCell ref="D507:D508"/>
    <mergeCell ref="E507:E508"/>
    <mergeCell ref="B521:B522"/>
    <mergeCell ref="A519:A520"/>
    <mergeCell ref="A521:A522"/>
    <mergeCell ref="D519:D520"/>
    <mergeCell ref="D521:D522"/>
    <mergeCell ref="E105:E106"/>
    <mergeCell ref="B103:D103"/>
    <mergeCell ref="B151:D151"/>
    <mergeCell ref="B105:B106"/>
    <mergeCell ref="B519:B520"/>
    <mergeCell ref="E519:E520"/>
    <mergeCell ref="B408:D408"/>
    <mergeCell ref="B410:B411"/>
    <mergeCell ref="B443:D443"/>
    <mergeCell ref="B453:D453"/>
    <mergeCell ref="B463:D463"/>
    <mergeCell ref="E153:E154"/>
    <mergeCell ref="B118:D118"/>
    <mergeCell ref="B129:D129"/>
    <mergeCell ref="B140:D140"/>
    <mergeCell ref="B166:C166"/>
    <mergeCell ref="B233:D233"/>
    <mergeCell ref="B265:C265"/>
    <mergeCell ref="B281:C281"/>
    <mergeCell ref="B291:D291"/>
    <mergeCell ref="B304:D304"/>
    <mergeCell ref="B314:D314"/>
    <mergeCell ref="B324:D324"/>
    <mergeCell ref="B334:D334"/>
    <mergeCell ref="A105:A106"/>
    <mergeCell ref="D105:D106"/>
    <mergeCell ref="B202:C202"/>
    <mergeCell ref="B212:C212"/>
    <mergeCell ref="B222:C222"/>
    <mergeCell ref="A153:A154"/>
    <mergeCell ref="B153:B154"/>
    <mergeCell ref="D153:D154"/>
    <mergeCell ref="B182:C182"/>
    <mergeCell ref="B192:C192"/>
    <mergeCell ref="A235:A236"/>
    <mergeCell ref="B235:B236"/>
    <mergeCell ref="D235:D236"/>
    <mergeCell ref="E235:E236"/>
    <mergeCell ref="A252:A253"/>
    <mergeCell ref="B247:D247"/>
    <mergeCell ref="B254:B255"/>
    <mergeCell ref="A254:A255"/>
    <mergeCell ref="D254:D255"/>
    <mergeCell ref="E254:E255"/>
    <mergeCell ref="E252:E253"/>
    <mergeCell ref="D252:D253"/>
    <mergeCell ref="B252:B253"/>
    <mergeCell ref="B344:D344"/>
    <mergeCell ref="A596:A597"/>
    <mergeCell ref="D596:D597"/>
    <mergeCell ref="B530:D530"/>
    <mergeCell ref="B543:D543"/>
    <mergeCell ref="B553:D553"/>
    <mergeCell ref="B563:D563"/>
    <mergeCell ref="B573:D573"/>
    <mergeCell ref="E596:E597"/>
    <mergeCell ref="B355:D355"/>
    <mergeCell ref="B368:D368"/>
    <mergeCell ref="B378:D378"/>
    <mergeCell ref="B388:D388"/>
    <mergeCell ref="B398:D398"/>
    <mergeCell ref="B609:C609"/>
    <mergeCell ref="B583:D583"/>
    <mergeCell ref="B594:D594"/>
    <mergeCell ref="B596:B597"/>
    <mergeCell ref="A677:A678"/>
    <mergeCell ref="B677:B678"/>
    <mergeCell ref="D677:D678"/>
    <mergeCell ref="E677:E678"/>
    <mergeCell ref="B635:D635"/>
    <mergeCell ref="B645:D645"/>
    <mergeCell ref="B655:D655"/>
    <mergeCell ref="B665:D665"/>
    <mergeCell ref="B675:D675"/>
  </mergeCells>
  <printOptions horizontalCentered="1"/>
  <pageMargins left="0.19685039370078741" right="0.19685039370078741" top="0.78740157480314965" bottom="0.19685039370078741" header="0" footer="0"/>
  <pageSetup paperSize="9" scale="74" orientation="portrait" horizontalDpi="300" verticalDpi="300" r:id="rId1"/>
  <headerFooter alignWithMargins="0"/>
  <ignoredErrors>
    <ignoredError sqref="F121" numberStoredAsText="1"/>
    <ignoredError sqref="G154" formula="1"/>
    <ignoredError sqref="G15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3"/>
  <sheetViews>
    <sheetView showGridLines="0" view="pageBreakPreview" zoomScale="90" zoomScaleSheetLayoutView="90" workbookViewId="0">
      <selection activeCell="E16" sqref="E16"/>
    </sheetView>
  </sheetViews>
  <sheetFormatPr defaultColWidth="11.42578125" defaultRowHeight="12.75"/>
  <cols>
    <col min="1" max="1" width="10.140625" style="99" customWidth="1"/>
    <col min="2" max="2" width="18.5703125" style="99" customWidth="1"/>
    <col min="3" max="3" width="33.85546875" style="16" customWidth="1"/>
    <col min="4" max="4" width="7.85546875" style="15" customWidth="1"/>
    <col min="5" max="5" width="8.85546875" style="15" customWidth="1"/>
    <col min="6" max="6" width="7.5703125" style="100" customWidth="1"/>
    <col min="7" max="7" width="8.5703125" style="100" customWidth="1"/>
    <col min="8" max="8" width="9.85546875" style="100" customWidth="1"/>
    <col min="9" max="9" width="11.140625" style="100" customWidth="1"/>
    <col min="10" max="11" width="7.85546875" style="100" customWidth="1"/>
    <col min="12" max="12" width="8.5703125" style="100" customWidth="1"/>
    <col min="13" max="13" width="11" style="100" customWidth="1"/>
    <col min="14" max="15" width="15.5703125" style="100" customWidth="1"/>
    <col min="16" max="16" width="6.42578125" style="16" customWidth="1"/>
    <col min="17" max="17" width="9.42578125" style="13" customWidth="1"/>
    <col min="18" max="18" width="12.140625" style="14" customWidth="1"/>
    <col min="19" max="19" width="13" style="15" customWidth="1"/>
    <col min="20" max="16384" width="11.42578125" style="16"/>
  </cols>
  <sheetData>
    <row r="1" spans="1:19" s="4" customFormat="1" ht="46.5" customHeight="1">
      <c r="A1" s="2"/>
      <c r="B1" s="3"/>
      <c r="C1" s="691" t="s">
        <v>195</v>
      </c>
      <c r="D1" s="691"/>
      <c r="E1" s="691"/>
      <c r="F1" s="691"/>
      <c r="G1" s="691"/>
      <c r="H1" s="692" t="s">
        <v>196</v>
      </c>
      <c r="I1" s="692"/>
      <c r="J1" s="692"/>
      <c r="K1" s="692"/>
      <c r="L1" s="692"/>
      <c r="M1" s="692"/>
      <c r="N1" s="692"/>
      <c r="O1" s="338"/>
    </row>
    <row r="2" spans="1:19" s="26" customFormat="1" ht="3" customHeight="1">
      <c r="A2" s="18"/>
      <c r="B2" s="19"/>
      <c r="C2" s="12"/>
      <c r="D2" s="12"/>
      <c r="E2" s="12"/>
      <c r="F2" s="12"/>
      <c r="G2" s="12"/>
      <c r="H2" s="12"/>
      <c r="I2" s="12"/>
      <c r="J2" s="20"/>
      <c r="K2" s="21"/>
      <c r="L2" s="21"/>
      <c r="M2" s="12"/>
      <c r="N2" s="12"/>
      <c r="O2" s="12"/>
      <c r="P2" s="22"/>
      <c r="Q2" s="23"/>
      <c r="R2" s="24"/>
      <c r="S2" s="25"/>
    </row>
    <row r="3" spans="1:19" ht="18" customHeight="1">
      <c r="A3" s="681" t="s">
        <v>33</v>
      </c>
      <c r="B3" s="682"/>
      <c r="C3" s="682"/>
      <c r="D3" s="682"/>
      <c r="E3" s="682"/>
      <c r="F3" s="682"/>
      <c r="G3" s="682"/>
      <c r="H3" s="682"/>
      <c r="I3" s="682"/>
      <c r="J3" s="683"/>
      <c r="K3" s="684" t="s">
        <v>38</v>
      </c>
      <c r="L3" s="685"/>
      <c r="M3" s="9" t="s">
        <v>39</v>
      </c>
      <c r="N3" s="27"/>
      <c r="O3" s="28">
        <v>7.5</v>
      </c>
      <c r="Q3" s="14"/>
      <c r="R3" s="15"/>
      <c r="S3" s="16"/>
    </row>
    <row r="4" spans="1:19" ht="18" customHeight="1">
      <c r="A4" s="688" t="s">
        <v>78</v>
      </c>
      <c r="B4" s="689"/>
      <c r="C4" s="689"/>
      <c r="D4" s="689"/>
      <c r="E4" s="689"/>
      <c r="F4" s="689"/>
      <c r="G4" s="689"/>
      <c r="H4" s="689"/>
      <c r="I4" s="689"/>
      <c r="J4" s="690"/>
      <c r="K4" s="686"/>
      <c r="L4" s="687"/>
      <c r="M4" s="29" t="s">
        <v>40</v>
      </c>
      <c r="N4" s="30"/>
      <c r="O4" s="31">
        <v>10.3</v>
      </c>
      <c r="Q4" s="14"/>
      <c r="R4" s="15"/>
      <c r="S4" s="16"/>
    </row>
    <row r="5" spans="1:19" s="5" customFormat="1" ht="15" customHeight="1">
      <c r="A5" s="32" t="s">
        <v>34</v>
      </c>
      <c r="B5" s="32" t="s">
        <v>35</v>
      </c>
      <c r="C5" s="33" t="s">
        <v>36</v>
      </c>
      <c r="D5" s="34" t="s">
        <v>41</v>
      </c>
      <c r="E5" s="35"/>
      <c r="F5" s="36" t="s">
        <v>39</v>
      </c>
      <c r="G5" s="37"/>
      <c r="H5" s="37"/>
      <c r="I5" s="37"/>
      <c r="J5" s="36" t="s">
        <v>40</v>
      </c>
      <c r="K5" s="37"/>
      <c r="L5" s="37"/>
      <c r="M5" s="37"/>
      <c r="N5" s="38"/>
      <c r="O5" s="693" t="s">
        <v>42</v>
      </c>
      <c r="R5" s="6"/>
      <c r="S5" s="7"/>
    </row>
    <row r="6" spans="1:19" s="5" customFormat="1" ht="15" customHeight="1">
      <c r="A6" s="32"/>
      <c r="B6" s="32"/>
      <c r="C6" s="33"/>
      <c r="D6" s="696" t="s">
        <v>43</v>
      </c>
      <c r="E6" s="698" t="s">
        <v>44</v>
      </c>
      <c r="F6" s="39" t="s">
        <v>45</v>
      </c>
      <c r="G6" s="40"/>
      <c r="H6" s="41" t="s">
        <v>46</v>
      </c>
      <c r="I6" s="42"/>
      <c r="J6" s="700" t="s">
        <v>47</v>
      </c>
      <c r="K6" s="39" t="s">
        <v>45</v>
      </c>
      <c r="L6" s="40"/>
      <c r="M6" s="41" t="s">
        <v>46</v>
      </c>
      <c r="N6" s="42"/>
      <c r="O6" s="694"/>
      <c r="R6" s="6"/>
      <c r="S6" s="7"/>
    </row>
    <row r="7" spans="1:19" s="5" customFormat="1" ht="15" customHeight="1">
      <c r="A7" s="43"/>
      <c r="B7" s="43"/>
      <c r="C7" s="44"/>
      <c r="D7" s="697"/>
      <c r="E7" s="699"/>
      <c r="F7" s="45" t="s">
        <v>48</v>
      </c>
      <c r="G7" s="45" t="s">
        <v>49</v>
      </c>
      <c r="H7" s="46" t="s">
        <v>50</v>
      </c>
      <c r="I7" s="47" t="s">
        <v>51</v>
      </c>
      <c r="J7" s="695"/>
      <c r="K7" s="45" t="s">
        <v>48</v>
      </c>
      <c r="L7" s="45" t="s">
        <v>49</v>
      </c>
      <c r="M7" s="46" t="s">
        <v>50</v>
      </c>
      <c r="N7" s="47" t="s">
        <v>51</v>
      </c>
      <c r="O7" s="695"/>
      <c r="R7" s="6"/>
      <c r="S7" s="7"/>
    </row>
    <row r="8" spans="1:19" s="26" customFormat="1" ht="3" customHeight="1">
      <c r="A8" s="18"/>
      <c r="B8" s="19"/>
      <c r="C8" s="12"/>
      <c r="D8" s="12"/>
      <c r="E8" s="12"/>
      <c r="F8" s="12"/>
      <c r="G8" s="12"/>
      <c r="H8" s="12"/>
      <c r="I8" s="12"/>
      <c r="J8" s="20"/>
      <c r="K8" s="21"/>
      <c r="L8" s="21"/>
      <c r="M8" s="12"/>
      <c r="N8" s="12"/>
      <c r="O8" s="12"/>
      <c r="P8" s="22"/>
      <c r="Q8" s="23"/>
      <c r="R8" s="24"/>
      <c r="S8" s="25"/>
    </row>
    <row r="9" spans="1:19" s="5" customFormat="1" ht="15.75">
      <c r="A9" s="48" t="s">
        <v>57</v>
      </c>
      <c r="B9" s="49"/>
      <c r="C9" s="50" t="s">
        <v>52</v>
      </c>
      <c r="D9" s="51"/>
      <c r="E9" s="51"/>
      <c r="F9" s="52"/>
      <c r="G9" s="52"/>
      <c r="H9" s="52"/>
      <c r="I9" s="53"/>
      <c r="J9" s="53"/>
      <c r="K9" s="53"/>
      <c r="L9" s="53"/>
      <c r="M9" s="53"/>
      <c r="N9" s="53"/>
      <c r="O9" s="54"/>
      <c r="R9" s="6"/>
      <c r="S9" s="7"/>
    </row>
    <row r="10" spans="1:19" s="5" customFormat="1">
      <c r="A10" s="8"/>
      <c r="B10" s="8"/>
      <c r="C10" s="55" t="s">
        <v>53</v>
      </c>
      <c r="D10" s="56"/>
      <c r="E10" s="57"/>
      <c r="F10" s="58"/>
      <c r="G10" s="58"/>
      <c r="H10" s="59"/>
      <c r="I10" s="60"/>
      <c r="J10" s="58"/>
      <c r="K10" s="60"/>
      <c r="L10" s="60"/>
      <c r="M10" s="60"/>
      <c r="N10" s="60"/>
      <c r="O10" s="60"/>
      <c r="R10" s="6"/>
      <c r="S10" s="7"/>
    </row>
    <row r="11" spans="1:19" s="5" customFormat="1">
      <c r="A11" s="8" t="s">
        <v>112</v>
      </c>
      <c r="B11" s="61" t="s">
        <v>55</v>
      </c>
      <c r="C11" s="62" t="s">
        <v>56</v>
      </c>
      <c r="D11" s="63"/>
      <c r="E11" s="64"/>
      <c r="F11" s="61"/>
      <c r="G11" s="58"/>
      <c r="H11" s="65"/>
      <c r="I11" s="65"/>
      <c r="J11" s="58">
        <v>1</v>
      </c>
      <c r="K11" s="61">
        <v>30</v>
      </c>
      <c r="L11" s="61">
        <f t="shared" ref="L11:L16" si="0">D11*J11*K11</f>
        <v>0</v>
      </c>
      <c r="M11" s="66">
        <f t="shared" ref="M11:M16" si="1">L11*O$4</f>
        <v>0</v>
      </c>
      <c r="N11" s="65">
        <f t="shared" ref="N11:N16" si="2">E11*M11</f>
        <v>0</v>
      </c>
      <c r="O11" s="65">
        <f t="shared" ref="O11:O16" si="3">I11+N11</f>
        <v>0</v>
      </c>
      <c r="R11" s="6"/>
      <c r="S11" s="7"/>
    </row>
    <row r="12" spans="1:19" s="5" customFormat="1">
      <c r="A12" s="8" t="s">
        <v>113</v>
      </c>
      <c r="B12" s="61" t="s">
        <v>59</v>
      </c>
      <c r="C12" s="62" t="s">
        <v>60</v>
      </c>
      <c r="D12" s="63">
        <v>1</v>
      </c>
      <c r="E12" s="64">
        <v>2</v>
      </c>
      <c r="F12" s="61"/>
      <c r="G12" s="58"/>
      <c r="H12" s="65"/>
      <c r="I12" s="65"/>
      <c r="J12" s="58">
        <v>1</v>
      </c>
      <c r="K12" s="61">
        <v>30</v>
      </c>
      <c r="L12" s="61">
        <f t="shared" si="0"/>
        <v>30</v>
      </c>
      <c r="M12" s="66">
        <f t="shared" si="1"/>
        <v>309</v>
      </c>
      <c r="N12" s="65">
        <f t="shared" si="2"/>
        <v>618</v>
      </c>
      <c r="O12" s="65">
        <f t="shared" si="3"/>
        <v>618</v>
      </c>
      <c r="R12" s="6"/>
      <c r="S12" s="7"/>
    </row>
    <row r="13" spans="1:19" s="5" customFormat="1">
      <c r="A13" s="8" t="s">
        <v>114</v>
      </c>
      <c r="B13" s="61" t="s">
        <v>61</v>
      </c>
      <c r="C13" s="62" t="s">
        <v>62</v>
      </c>
      <c r="D13" s="63">
        <v>4</v>
      </c>
      <c r="E13" s="64">
        <v>2</v>
      </c>
      <c r="F13" s="61"/>
      <c r="G13" s="58"/>
      <c r="H13" s="65"/>
      <c r="I13" s="65"/>
      <c r="J13" s="58">
        <v>1</v>
      </c>
      <c r="K13" s="61">
        <v>30</v>
      </c>
      <c r="L13" s="61">
        <f t="shared" si="0"/>
        <v>120</v>
      </c>
      <c r="M13" s="66">
        <f t="shared" si="1"/>
        <v>1236</v>
      </c>
      <c r="N13" s="65">
        <f t="shared" si="2"/>
        <v>2472</v>
      </c>
      <c r="O13" s="65">
        <f t="shared" si="3"/>
        <v>2472</v>
      </c>
      <c r="R13" s="6"/>
      <c r="S13" s="7"/>
    </row>
    <row r="14" spans="1:19" s="5" customFormat="1">
      <c r="A14" s="8" t="s">
        <v>115</v>
      </c>
      <c r="B14" s="61" t="s">
        <v>63</v>
      </c>
      <c r="C14" s="62" t="s">
        <v>107</v>
      </c>
      <c r="D14" s="63">
        <v>2</v>
      </c>
      <c r="E14" s="64">
        <v>2</v>
      </c>
      <c r="F14" s="61"/>
      <c r="G14" s="58"/>
      <c r="H14" s="65"/>
      <c r="I14" s="65"/>
      <c r="J14" s="58">
        <v>1</v>
      </c>
      <c r="K14" s="61">
        <v>30</v>
      </c>
      <c r="L14" s="61">
        <f t="shared" si="0"/>
        <v>60</v>
      </c>
      <c r="M14" s="66">
        <f t="shared" si="1"/>
        <v>618</v>
      </c>
      <c r="N14" s="65">
        <f t="shared" si="2"/>
        <v>1236</v>
      </c>
      <c r="O14" s="65">
        <f t="shared" si="3"/>
        <v>1236</v>
      </c>
      <c r="R14" s="6"/>
      <c r="S14" s="7"/>
    </row>
    <row r="15" spans="1:19" s="5" customFormat="1">
      <c r="A15" s="8" t="s">
        <v>116</v>
      </c>
      <c r="B15" s="61" t="s">
        <v>64</v>
      </c>
      <c r="C15" s="62" t="s">
        <v>108</v>
      </c>
      <c r="D15" s="63">
        <v>2</v>
      </c>
      <c r="E15" s="64">
        <v>2</v>
      </c>
      <c r="F15" s="61"/>
      <c r="G15" s="58"/>
      <c r="H15" s="65"/>
      <c r="I15" s="65"/>
      <c r="J15" s="58">
        <v>1</v>
      </c>
      <c r="K15" s="61">
        <v>30</v>
      </c>
      <c r="L15" s="61">
        <f t="shared" si="0"/>
        <v>60</v>
      </c>
      <c r="M15" s="66">
        <f t="shared" si="1"/>
        <v>618</v>
      </c>
      <c r="N15" s="65">
        <f t="shared" si="2"/>
        <v>1236</v>
      </c>
      <c r="O15" s="65">
        <f t="shared" si="3"/>
        <v>1236</v>
      </c>
      <c r="R15" s="6"/>
      <c r="S15" s="7"/>
    </row>
    <row r="16" spans="1:19" s="5" customFormat="1">
      <c r="A16" s="8" t="s">
        <v>117</v>
      </c>
      <c r="B16" s="61" t="s">
        <v>65</v>
      </c>
      <c r="C16" s="62" t="s">
        <v>109</v>
      </c>
      <c r="D16" s="63"/>
      <c r="E16" s="64"/>
      <c r="F16" s="61"/>
      <c r="G16" s="67"/>
      <c r="H16" s="68"/>
      <c r="I16" s="68"/>
      <c r="J16" s="58">
        <v>1</v>
      </c>
      <c r="K16" s="61">
        <v>30</v>
      </c>
      <c r="L16" s="61">
        <f t="shared" si="0"/>
        <v>0</v>
      </c>
      <c r="M16" s="66">
        <f t="shared" si="1"/>
        <v>0</v>
      </c>
      <c r="N16" s="65">
        <f t="shared" si="2"/>
        <v>0</v>
      </c>
      <c r="O16" s="65">
        <f t="shared" si="3"/>
        <v>0</v>
      </c>
      <c r="R16" s="6"/>
      <c r="S16" s="7"/>
    </row>
    <row r="17" spans="1:19" s="5" customFormat="1" ht="7.5" customHeight="1">
      <c r="A17" s="69"/>
      <c r="B17" s="69"/>
      <c r="C17" s="70"/>
      <c r="D17" s="71"/>
      <c r="E17" s="71"/>
      <c r="F17" s="72"/>
      <c r="G17" s="72"/>
      <c r="H17" s="73"/>
      <c r="I17" s="73"/>
      <c r="J17" s="72"/>
      <c r="K17" s="71"/>
      <c r="L17" s="71"/>
      <c r="M17" s="71"/>
      <c r="N17" s="73"/>
      <c r="O17" s="73"/>
      <c r="R17" s="6"/>
      <c r="S17" s="7"/>
    </row>
    <row r="18" spans="1:19" s="5" customFormat="1" ht="16.5" customHeight="1">
      <c r="A18" s="74" t="s">
        <v>66</v>
      </c>
      <c r="B18" s="75"/>
      <c r="C18" s="76"/>
      <c r="D18" s="77">
        <f>SUM(D11:D17)</f>
        <v>9</v>
      </c>
      <c r="E18" s="77"/>
      <c r="F18" s="78"/>
      <c r="G18" s="78">
        <f>SUM(G11:G17)</f>
        <v>0</v>
      </c>
      <c r="H18" s="79">
        <f>SUM(H11:H17)</f>
        <v>0</v>
      </c>
      <c r="I18" s="79">
        <f>SUM(I11:I17)</f>
        <v>0</v>
      </c>
      <c r="J18" s="78"/>
      <c r="K18" s="77"/>
      <c r="L18" s="78">
        <f>SUM(L11:L17)</f>
        <v>270</v>
      </c>
      <c r="M18" s="80">
        <f>SUM(M11:M17)</f>
        <v>2781</v>
      </c>
      <c r="N18" s="81"/>
      <c r="O18" s="82"/>
      <c r="R18" s="6"/>
      <c r="S18" s="7"/>
    </row>
    <row r="19" spans="1:19" s="5" customFormat="1" ht="16.5" customHeight="1">
      <c r="A19" s="83"/>
      <c r="B19" s="84"/>
      <c r="C19" s="85"/>
      <c r="D19" s="84"/>
      <c r="E19" s="84"/>
      <c r="F19" s="84"/>
      <c r="G19" s="84"/>
      <c r="H19" s="75" t="s">
        <v>67</v>
      </c>
      <c r="I19" s="75"/>
      <c r="J19" s="75"/>
      <c r="K19" s="75"/>
      <c r="L19" s="75"/>
      <c r="M19" s="76"/>
      <c r="N19" s="336">
        <f>SUM(N11:N17)</f>
        <v>5562</v>
      </c>
      <c r="O19" s="17">
        <f>SUM(O11:O17)</f>
        <v>5562</v>
      </c>
      <c r="P19" s="11"/>
      <c r="S19" s="86"/>
    </row>
    <row r="20" spans="1:19" ht="16.5" customHeight="1">
      <c r="A20" s="87"/>
      <c r="B20" s="88"/>
      <c r="C20" s="26"/>
      <c r="D20" s="89"/>
      <c r="E20" s="89"/>
      <c r="F20" s="89"/>
      <c r="G20" s="89"/>
      <c r="H20" s="75" t="s">
        <v>37</v>
      </c>
      <c r="I20" s="75"/>
      <c r="J20" s="75"/>
      <c r="K20" s="75"/>
      <c r="L20" s="75"/>
      <c r="M20" s="76"/>
      <c r="N20" s="90">
        <v>0.2457</v>
      </c>
      <c r="O20" s="10">
        <f>O19*N20</f>
        <v>1366.5834</v>
      </c>
      <c r="P20" s="12"/>
      <c r="Q20" s="5"/>
      <c r="R20" s="16"/>
      <c r="S20" s="16"/>
    </row>
    <row r="21" spans="1:19" ht="18.75" customHeight="1">
      <c r="A21" s="91" t="s">
        <v>68</v>
      </c>
      <c r="B21" s="92"/>
      <c r="C21" s="92"/>
      <c r="D21" s="93">
        <v>2</v>
      </c>
      <c r="E21" s="89" t="s">
        <v>69</v>
      </c>
      <c r="F21" s="94" t="s">
        <v>70</v>
      </c>
      <c r="G21" s="75"/>
      <c r="H21" s="75"/>
      <c r="I21" s="75"/>
      <c r="J21" s="75"/>
      <c r="K21" s="75"/>
      <c r="L21" s="75"/>
      <c r="M21" s="76"/>
      <c r="N21" s="95"/>
      <c r="O21" s="10">
        <f>O19+O20</f>
        <v>6928.5833999999995</v>
      </c>
      <c r="P21" s="12"/>
      <c r="Q21" s="5"/>
      <c r="R21" s="5"/>
      <c r="S21" s="86"/>
    </row>
    <row r="22" spans="1:19" ht="16.5" customHeight="1">
      <c r="A22" s="83" t="s">
        <v>71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98"/>
      <c r="O22" s="10">
        <f>TRUNC(O21/D21,2)</f>
        <v>3464.29</v>
      </c>
      <c r="P22" s="12"/>
      <c r="Q22" s="5"/>
      <c r="R22" s="5"/>
      <c r="S22" s="86"/>
    </row>
    <row r="25" spans="1:19" ht="15.75">
      <c r="A25" s="18"/>
      <c r="B25" s="19"/>
      <c r="C25" s="12"/>
      <c r="D25" s="12"/>
      <c r="E25" s="12"/>
      <c r="F25" s="21"/>
      <c r="G25" s="21"/>
      <c r="H25" s="12"/>
      <c r="I25" s="12"/>
      <c r="J25" s="12"/>
      <c r="K25" s="16"/>
      <c r="L25" s="13"/>
      <c r="M25" s="14"/>
      <c r="N25" s="15"/>
      <c r="O25" s="16"/>
      <c r="Q25" s="16"/>
      <c r="R25" s="16"/>
      <c r="S25" s="16"/>
    </row>
    <row r="28" spans="1:19" ht="15.75">
      <c r="A28" s="681" t="s">
        <v>33</v>
      </c>
      <c r="B28" s="682"/>
      <c r="C28" s="682"/>
      <c r="D28" s="682"/>
      <c r="E28" s="682"/>
      <c r="F28" s="682"/>
      <c r="G28" s="682"/>
      <c r="H28" s="682"/>
      <c r="I28" s="682"/>
      <c r="J28" s="683"/>
      <c r="K28" s="684"/>
      <c r="L28" s="685"/>
      <c r="M28" s="9"/>
      <c r="N28" s="27"/>
      <c r="O28" s="28"/>
    </row>
    <row r="29" spans="1:19" ht="15.75">
      <c r="A29" s="688" t="s">
        <v>111</v>
      </c>
      <c r="B29" s="689"/>
      <c r="C29" s="689"/>
      <c r="D29" s="689"/>
      <c r="E29" s="689"/>
      <c r="F29" s="689"/>
      <c r="G29" s="689"/>
      <c r="H29" s="689"/>
      <c r="I29" s="689"/>
      <c r="J29" s="690"/>
      <c r="K29" s="686"/>
      <c r="L29" s="687"/>
      <c r="M29" s="29"/>
      <c r="N29" s="30"/>
      <c r="O29" s="31"/>
    </row>
    <row r="30" spans="1:19">
      <c r="A30" s="32" t="s">
        <v>34</v>
      </c>
      <c r="B30" s="32" t="s">
        <v>35</v>
      </c>
      <c r="C30" s="33" t="s">
        <v>36</v>
      </c>
      <c r="D30" s="34" t="s">
        <v>41</v>
      </c>
      <c r="E30" s="35"/>
      <c r="F30" s="37"/>
      <c r="G30" s="37"/>
      <c r="H30" s="37"/>
      <c r="I30" s="38"/>
      <c r="J30" s="693"/>
      <c r="K30" s="16"/>
      <c r="L30" s="13"/>
      <c r="M30" s="14"/>
      <c r="N30" s="15"/>
      <c r="O30" s="16"/>
    </row>
    <row r="31" spans="1:19">
      <c r="A31" s="32"/>
      <c r="B31" s="32"/>
      <c r="C31" s="33"/>
      <c r="D31" s="696" t="s">
        <v>43</v>
      </c>
      <c r="E31" s="698" t="s">
        <v>44</v>
      </c>
      <c r="F31" s="39" t="s">
        <v>45</v>
      </c>
      <c r="G31" s="40"/>
      <c r="H31" s="41" t="s">
        <v>46</v>
      </c>
      <c r="I31" s="42"/>
      <c r="J31" s="694"/>
      <c r="K31" s="16"/>
      <c r="L31" s="13"/>
      <c r="M31" s="14"/>
      <c r="N31" s="15"/>
      <c r="O31" s="16"/>
    </row>
    <row r="32" spans="1:19">
      <c r="A32" s="43"/>
      <c r="B32" s="43"/>
      <c r="C32" s="44"/>
      <c r="D32" s="697"/>
      <c r="E32" s="699"/>
      <c r="F32" s="45" t="s">
        <v>19</v>
      </c>
      <c r="G32" s="45" t="s">
        <v>110</v>
      </c>
      <c r="H32" s="46" t="s">
        <v>50</v>
      </c>
      <c r="I32" s="47" t="s">
        <v>51</v>
      </c>
      <c r="J32" s="695"/>
      <c r="K32" s="16"/>
      <c r="L32" s="13"/>
      <c r="M32" s="14"/>
      <c r="N32" s="15"/>
      <c r="O32" s="16"/>
    </row>
    <row r="33" spans="1:15" ht="15.75">
      <c r="A33" s="18"/>
      <c r="B33" s="19"/>
      <c r="C33" s="12"/>
      <c r="D33" s="12"/>
      <c r="E33" s="12"/>
      <c r="F33" s="21"/>
      <c r="G33" s="21"/>
      <c r="H33" s="12"/>
      <c r="I33" s="12"/>
      <c r="J33" s="12"/>
      <c r="K33" s="16"/>
      <c r="L33" s="13"/>
      <c r="M33" s="14"/>
      <c r="N33" s="15"/>
      <c r="O33" s="16"/>
    </row>
    <row r="34" spans="1:15" ht="15.75">
      <c r="A34" s="48" t="s">
        <v>58</v>
      </c>
      <c r="B34" s="49"/>
      <c r="C34" s="50" t="s">
        <v>119</v>
      </c>
      <c r="D34" s="51"/>
      <c r="E34" s="51"/>
      <c r="F34" s="53"/>
      <c r="G34" s="53"/>
      <c r="H34" s="53"/>
      <c r="I34" s="53"/>
      <c r="J34" s="16"/>
      <c r="K34" s="13"/>
      <c r="L34" s="14"/>
      <c r="M34" s="15"/>
      <c r="N34" s="16"/>
      <c r="O34" s="16"/>
    </row>
    <row r="35" spans="1:15">
      <c r="A35" s="8"/>
      <c r="B35" s="8"/>
      <c r="C35" s="55" t="s">
        <v>53</v>
      </c>
      <c r="D35" s="56"/>
      <c r="E35" s="57"/>
      <c r="F35" s="60"/>
      <c r="G35" s="60"/>
      <c r="H35" s="60"/>
      <c r="I35" s="60"/>
      <c r="J35" s="16"/>
      <c r="K35" s="13"/>
      <c r="L35" s="14"/>
      <c r="M35" s="15"/>
      <c r="N35" s="16"/>
      <c r="O35" s="16"/>
    </row>
    <row r="36" spans="1:15">
      <c r="A36" s="8" t="s">
        <v>118</v>
      </c>
      <c r="B36" s="149" t="s">
        <v>194</v>
      </c>
      <c r="C36" s="62" t="s">
        <v>120</v>
      </c>
      <c r="D36" s="63"/>
      <c r="E36" s="64"/>
      <c r="F36" s="61">
        <v>1</v>
      </c>
      <c r="G36" s="337">
        <f>14.37*220</f>
        <v>3161.3999999999996</v>
      </c>
      <c r="H36" s="66">
        <f>G36*F36</f>
        <v>3161.3999999999996</v>
      </c>
      <c r="I36" s="65">
        <f>E36*H36</f>
        <v>0</v>
      </c>
      <c r="J36" s="16"/>
      <c r="K36" s="13"/>
      <c r="L36" s="14"/>
      <c r="M36" s="15"/>
      <c r="N36" s="16"/>
      <c r="O36" s="16"/>
    </row>
    <row r="37" spans="1:15" ht="17.25" customHeight="1">
      <c r="A37" s="8" t="s">
        <v>54</v>
      </c>
      <c r="B37" s="149" t="s">
        <v>121</v>
      </c>
      <c r="C37" s="150" t="s">
        <v>122</v>
      </c>
      <c r="D37" s="63"/>
      <c r="E37" s="64"/>
      <c r="F37" s="61">
        <v>1</v>
      </c>
      <c r="G37" s="337">
        <v>5236</v>
      </c>
      <c r="H37" s="66">
        <f>G37*F37</f>
        <v>5236</v>
      </c>
      <c r="I37" s="65">
        <f>E37*H37</f>
        <v>0</v>
      </c>
      <c r="J37" s="16"/>
      <c r="K37" s="13"/>
      <c r="L37" s="14"/>
      <c r="M37" s="15"/>
      <c r="N37" s="16"/>
      <c r="O37" s="16"/>
    </row>
    <row r="38" spans="1:15" ht="17.25" customHeight="1">
      <c r="A38" s="8" t="s">
        <v>57</v>
      </c>
      <c r="B38" s="149" t="s">
        <v>121</v>
      </c>
      <c r="C38" s="150" t="s">
        <v>123</v>
      </c>
      <c r="D38" s="63"/>
      <c r="E38" s="64"/>
      <c r="F38" s="61">
        <v>308</v>
      </c>
      <c r="G38" s="61">
        <v>2.4500000000000002</v>
      </c>
      <c r="H38" s="66">
        <f>G38*F38</f>
        <v>754.6</v>
      </c>
      <c r="I38" s="65">
        <f>E38*H38</f>
        <v>0</v>
      </c>
      <c r="J38" s="16"/>
      <c r="K38" s="13"/>
      <c r="L38" s="14"/>
      <c r="M38" s="15"/>
      <c r="N38" s="16"/>
      <c r="O38" s="16"/>
    </row>
    <row r="39" spans="1:15" ht="15">
      <c r="A39" s="74" t="s">
        <v>66</v>
      </c>
      <c r="B39" s="75"/>
      <c r="C39" s="76"/>
      <c r="D39" s="77">
        <f>SUM(D36:D37)</f>
        <v>0</v>
      </c>
      <c r="E39" s="77"/>
      <c r="F39" s="77"/>
      <c r="G39" s="78"/>
      <c r="H39" s="80"/>
      <c r="I39" s="82">
        <f>I36+I37</f>
        <v>0</v>
      </c>
      <c r="J39" s="16"/>
      <c r="K39" s="13"/>
      <c r="L39" s="14"/>
      <c r="M39" s="15"/>
      <c r="N39" s="16"/>
      <c r="O39" s="16"/>
    </row>
    <row r="40" spans="1:15">
      <c r="A40" s="83"/>
      <c r="B40" s="84"/>
      <c r="C40" s="85"/>
      <c r="D40" s="84"/>
      <c r="E40" s="84"/>
      <c r="F40" s="84"/>
      <c r="G40" s="84"/>
      <c r="H40" s="75" t="s">
        <v>67</v>
      </c>
      <c r="I40" s="75"/>
      <c r="K40" s="75"/>
      <c r="L40" s="75"/>
      <c r="M40" s="76"/>
      <c r="N40" s="17">
        <f>I39</f>
        <v>0</v>
      </c>
      <c r="O40" s="17">
        <f>N40</f>
        <v>0</v>
      </c>
    </row>
    <row r="41" spans="1:15" ht="15">
      <c r="A41" s="87"/>
      <c r="B41" s="88"/>
      <c r="C41" s="26"/>
      <c r="D41" s="89"/>
      <c r="E41" s="89"/>
      <c r="F41" s="89"/>
      <c r="G41" s="89"/>
      <c r="H41" s="75" t="s">
        <v>37</v>
      </c>
      <c r="I41" s="75"/>
      <c r="K41" s="75"/>
      <c r="L41" s="75"/>
      <c r="M41" s="76"/>
      <c r="N41" s="90">
        <v>0.2457</v>
      </c>
      <c r="O41" s="10">
        <f>N40*N41</f>
        <v>0</v>
      </c>
    </row>
    <row r="42" spans="1:15" ht="15">
      <c r="A42" s="91" t="s">
        <v>68</v>
      </c>
      <c r="B42" s="92"/>
      <c r="C42" s="92"/>
      <c r="D42" s="93">
        <v>2</v>
      </c>
      <c r="E42" s="89" t="s">
        <v>69</v>
      </c>
      <c r="F42" s="94" t="s">
        <v>70</v>
      </c>
      <c r="G42" s="75"/>
      <c r="H42" s="75"/>
      <c r="I42" s="75"/>
      <c r="K42" s="75"/>
      <c r="L42" s="75"/>
      <c r="M42" s="76"/>
      <c r="N42" s="95"/>
      <c r="O42" s="10">
        <f>O40+O41</f>
        <v>0</v>
      </c>
    </row>
    <row r="43" spans="1:15">
      <c r="A43" s="83" t="s">
        <v>71</v>
      </c>
      <c r="B43" s="96"/>
      <c r="C43" s="96"/>
      <c r="D43" s="96"/>
      <c r="E43" s="96"/>
      <c r="F43" s="96"/>
      <c r="G43" s="96"/>
      <c r="H43" s="96"/>
      <c r="I43" s="96"/>
      <c r="K43" s="96"/>
      <c r="L43" s="96"/>
      <c r="M43" s="97"/>
      <c r="N43" s="98"/>
      <c r="O43" s="10">
        <f>TRUNC(O42/D42,2)</f>
        <v>0</v>
      </c>
    </row>
  </sheetData>
  <mergeCells count="15">
    <mergeCell ref="O5:O7"/>
    <mergeCell ref="D6:D7"/>
    <mergeCell ref="E6:E7"/>
    <mergeCell ref="J6:J7"/>
    <mergeCell ref="J30:J32"/>
    <mergeCell ref="D31:D32"/>
    <mergeCell ref="E31:E32"/>
    <mergeCell ref="A28:J28"/>
    <mergeCell ref="K28:L29"/>
    <mergeCell ref="A29:J29"/>
    <mergeCell ref="A3:J3"/>
    <mergeCell ref="K3:L4"/>
    <mergeCell ref="A4:J4"/>
    <mergeCell ref="C1:G1"/>
    <mergeCell ref="H1:N1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75" firstPageNumber="9" orientation="landscape" r:id="rId1"/>
  <headerFooter alignWithMargins="0"/>
  <rowBreaks count="1" manualBreakCount="1">
    <brk id="22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Y88"/>
  <sheetViews>
    <sheetView workbookViewId="0">
      <selection activeCell="E81" sqref="E81"/>
    </sheetView>
  </sheetViews>
  <sheetFormatPr defaultRowHeight="15"/>
  <cols>
    <col min="1" max="1" width="21.85546875" customWidth="1"/>
    <col min="2" max="2" width="9.42578125" customWidth="1"/>
    <col min="3" max="3" width="4.5703125" customWidth="1"/>
    <col min="5" max="5" width="10" customWidth="1"/>
    <col min="6" max="6" width="3.7109375" customWidth="1"/>
    <col min="8" max="8" width="3.140625" customWidth="1"/>
    <col min="10" max="10" width="3.28515625" customWidth="1"/>
    <col min="12" max="12" width="4" customWidth="1"/>
    <col min="14" max="14" width="3.85546875" customWidth="1"/>
    <col min="16" max="16" width="3.28515625" customWidth="1"/>
    <col min="18" max="18" width="3.28515625" customWidth="1"/>
    <col min="20" max="20" width="3.28515625" customWidth="1"/>
    <col min="22" max="22" width="3.7109375" customWidth="1"/>
  </cols>
  <sheetData>
    <row r="2" spans="1:24">
      <c r="A2" s="273" t="s">
        <v>147</v>
      </c>
      <c r="B2" s="274">
        <f>I7</f>
        <v>210.7</v>
      </c>
      <c r="C2" s="273" t="s">
        <v>13</v>
      </c>
    </row>
    <row r="3" spans="1:24">
      <c r="A3" t="s">
        <v>733</v>
      </c>
    </row>
    <row r="4" spans="1:24">
      <c r="E4" s="265">
        <f>1.5+16.35+2+1.5</f>
        <v>21.35</v>
      </c>
      <c r="F4" s="265" t="s">
        <v>132</v>
      </c>
      <c r="G4" s="269">
        <f>3.5+1.5</f>
        <v>5</v>
      </c>
      <c r="H4" s="265" t="s">
        <v>133</v>
      </c>
      <c r="I4" s="269">
        <f>E4*G4</f>
        <v>106.75</v>
      </c>
    </row>
    <row r="5" spans="1:24">
      <c r="E5" s="265">
        <f>19.65</f>
        <v>19.649999999999999</v>
      </c>
      <c r="F5" s="265" t="s">
        <v>132</v>
      </c>
      <c r="G5" s="269">
        <f>3.5+1.5</f>
        <v>5</v>
      </c>
      <c r="H5" s="265" t="s">
        <v>133</v>
      </c>
      <c r="I5" s="269">
        <f>E5*G5</f>
        <v>98.25</v>
      </c>
    </row>
    <row r="6" spans="1:24">
      <c r="E6" s="269">
        <f>2.3+1.5</f>
        <v>3.8</v>
      </c>
      <c r="F6" s="265" t="s">
        <v>132</v>
      </c>
      <c r="G6" s="269">
        <v>1.5</v>
      </c>
      <c r="H6" s="265" t="s">
        <v>133</v>
      </c>
      <c r="I6" s="269">
        <f>E6*G6</f>
        <v>5.6999999999999993</v>
      </c>
    </row>
    <row r="7" spans="1:24">
      <c r="E7" s="265"/>
      <c r="F7" s="265"/>
      <c r="G7" s="269"/>
      <c r="H7" s="265"/>
      <c r="I7" s="270">
        <f>SUM(I4:I6)</f>
        <v>210.7</v>
      </c>
    </row>
    <row r="8" spans="1:24">
      <c r="E8" s="265"/>
      <c r="F8" s="265"/>
      <c r="G8" s="269"/>
      <c r="H8" s="265"/>
      <c r="I8" s="581"/>
    </row>
    <row r="9" spans="1:24">
      <c r="A9" s="360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</row>
    <row r="10" spans="1:24" ht="15.75" thickBot="1">
      <c r="A10" s="273" t="s">
        <v>734</v>
      </c>
    </row>
    <row r="11" spans="1:24" ht="16.5" thickTop="1" thickBot="1">
      <c r="B11" s="583" t="s">
        <v>742</v>
      </c>
      <c r="D11" s="582" t="s">
        <v>743</v>
      </c>
      <c r="S11" s="589"/>
    </row>
    <row r="12" spans="1:24">
      <c r="A12" s="279" t="s">
        <v>740</v>
      </c>
      <c r="B12" s="274">
        <v>0.2</v>
      </c>
      <c r="C12" s="277" t="s">
        <v>132</v>
      </c>
      <c r="D12" s="580">
        <v>0.6</v>
      </c>
      <c r="P12" s="587"/>
      <c r="Q12" s="587"/>
      <c r="R12" s="588"/>
      <c r="S12" s="584"/>
      <c r="T12" s="586"/>
      <c r="U12" s="587"/>
      <c r="V12" s="587"/>
      <c r="W12" s="587"/>
      <c r="X12" s="592"/>
    </row>
    <row r="13" spans="1:24">
      <c r="S13" s="584"/>
      <c r="U13" s="269">
        <v>0.4</v>
      </c>
    </row>
    <row r="14" spans="1:24" ht="15.75" thickBot="1">
      <c r="A14" s="272" t="s">
        <v>741</v>
      </c>
      <c r="B14" s="274">
        <f>M14</f>
        <v>41.399999999999991</v>
      </c>
      <c r="C14" s="277" t="s">
        <v>8</v>
      </c>
      <c r="E14" s="266">
        <v>16.350000000000001</v>
      </c>
      <c r="F14" s="266" t="s">
        <v>135</v>
      </c>
      <c r="G14" s="266">
        <v>19.45</v>
      </c>
      <c r="H14" s="266" t="s">
        <v>135</v>
      </c>
      <c r="I14" s="267">
        <v>2.2999999999999998</v>
      </c>
      <c r="J14" s="266" t="s">
        <v>135</v>
      </c>
      <c r="K14" s="267">
        <v>3.3</v>
      </c>
      <c r="L14" s="266" t="s">
        <v>133</v>
      </c>
      <c r="M14" s="267">
        <f>E14+G14+I14+K14</f>
        <v>41.399999999999991</v>
      </c>
      <c r="N14" t="s">
        <v>8</v>
      </c>
      <c r="S14" s="585"/>
      <c r="U14" s="265"/>
    </row>
    <row r="15" spans="1:24" ht="15.75" thickTop="1">
      <c r="Q15" s="272" t="s">
        <v>744</v>
      </c>
      <c r="R15" s="591"/>
      <c r="S15" s="591"/>
      <c r="T15" s="591"/>
      <c r="U15" s="265">
        <v>0.05</v>
      </c>
    </row>
    <row r="16" spans="1:24">
      <c r="A16" s="272" t="s">
        <v>149</v>
      </c>
      <c r="B16" s="274">
        <f>I16</f>
        <v>8.2799999999999994</v>
      </c>
      <c r="C16" s="277" t="s">
        <v>13</v>
      </c>
      <c r="E16" s="269">
        <f>B12</f>
        <v>0.2</v>
      </c>
      <c r="F16" s="265" t="s">
        <v>132</v>
      </c>
      <c r="G16" s="269">
        <f>B14</f>
        <v>41.399999999999991</v>
      </c>
      <c r="H16" s="265" t="s">
        <v>133</v>
      </c>
      <c r="I16" s="269">
        <f>E16*G16</f>
        <v>8.2799999999999994</v>
      </c>
      <c r="J16" s="265" t="s">
        <v>13</v>
      </c>
    </row>
    <row r="18" spans="1:21">
      <c r="A18" s="272" t="s">
        <v>148</v>
      </c>
      <c r="B18">
        <v>0.05</v>
      </c>
      <c r="C18" t="s">
        <v>8</v>
      </c>
    </row>
    <row r="19" spans="1:21">
      <c r="A19" s="272" t="s">
        <v>142</v>
      </c>
      <c r="B19" s="280">
        <f>K19</f>
        <v>0.41399999999999998</v>
      </c>
      <c r="C19" s="277" t="s">
        <v>7</v>
      </c>
      <c r="E19" s="269">
        <f>B12</f>
        <v>0.2</v>
      </c>
      <c r="F19" s="265" t="s">
        <v>132</v>
      </c>
      <c r="G19" s="269">
        <f>B14</f>
        <v>41.399999999999991</v>
      </c>
      <c r="H19" s="265" t="s">
        <v>132</v>
      </c>
      <c r="I19" s="265">
        <f>B18</f>
        <v>0.05</v>
      </c>
      <c r="J19" s="265" t="s">
        <v>133</v>
      </c>
      <c r="K19" s="269">
        <f t="shared" ref="K19" si="0">E19*G19*I19</f>
        <v>0.41399999999999998</v>
      </c>
      <c r="L19" s="265" t="s">
        <v>7</v>
      </c>
    </row>
    <row r="21" spans="1:21">
      <c r="A21" s="276" t="s">
        <v>143</v>
      </c>
      <c r="B21" s="274">
        <f>K21</f>
        <v>3.7259999999999995</v>
      </c>
      <c r="C21" s="277" t="s">
        <v>7</v>
      </c>
      <c r="E21" s="269">
        <f>U13+U15</f>
        <v>0.45</v>
      </c>
      <c r="F21" s="265" t="s">
        <v>132</v>
      </c>
      <c r="G21" s="269">
        <f>B12</f>
        <v>0.2</v>
      </c>
      <c r="H21" s="265" t="s">
        <v>132</v>
      </c>
      <c r="I21" s="269">
        <f>B14</f>
        <v>41.399999999999991</v>
      </c>
      <c r="J21" s="265" t="s">
        <v>133</v>
      </c>
      <c r="K21" s="269">
        <f t="shared" ref="K21" si="1">E21*G21*I21</f>
        <v>3.7259999999999995</v>
      </c>
      <c r="L21" s="265" t="s">
        <v>7</v>
      </c>
      <c r="O21" t="s">
        <v>731</v>
      </c>
    </row>
    <row r="22" spans="1:21">
      <c r="A22" s="276"/>
    </row>
    <row r="23" spans="1:21">
      <c r="A23" s="276" t="s">
        <v>739</v>
      </c>
      <c r="B23" s="274">
        <f>K23</f>
        <v>4.9679999999999991</v>
      </c>
      <c r="C23" s="277" t="s">
        <v>7</v>
      </c>
      <c r="E23" s="269">
        <f>B12</f>
        <v>0.2</v>
      </c>
      <c r="F23" s="265" t="s">
        <v>132</v>
      </c>
      <c r="G23" s="269">
        <f>D12</f>
        <v>0.6</v>
      </c>
      <c r="H23" s="265" t="s">
        <v>132</v>
      </c>
      <c r="I23" s="269">
        <f>B14</f>
        <v>41.399999999999991</v>
      </c>
      <c r="J23" s="265" t="s">
        <v>133</v>
      </c>
      <c r="K23" s="265">
        <f t="shared" ref="K23" si="2">E23*G23*I23</f>
        <v>4.9679999999999991</v>
      </c>
      <c r="L23" s="265" t="s">
        <v>7</v>
      </c>
    </row>
    <row r="24" spans="1:21">
      <c r="A24" s="276"/>
    </row>
    <row r="25" spans="1:21">
      <c r="A25" s="276" t="s">
        <v>144</v>
      </c>
      <c r="B25" s="274">
        <f>I25</f>
        <v>397.43999999999994</v>
      </c>
      <c r="C25" s="277" t="s">
        <v>97</v>
      </c>
      <c r="E25" s="265">
        <f>K23</f>
        <v>4.9679999999999991</v>
      </c>
      <c r="F25" s="265" t="s">
        <v>132</v>
      </c>
      <c r="G25" s="265">
        <v>80</v>
      </c>
      <c r="H25" s="265" t="s">
        <v>133</v>
      </c>
      <c r="I25" s="269">
        <f>E25*G25</f>
        <v>397.43999999999994</v>
      </c>
      <c r="J25" s="265" t="s">
        <v>97</v>
      </c>
    </row>
    <row r="26" spans="1:21">
      <c r="A26" s="276" t="s">
        <v>732</v>
      </c>
      <c r="E26" s="265"/>
      <c r="F26" s="265"/>
      <c r="G26" s="269"/>
      <c r="H26" s="265"/>
      <c r="I26" s="269"/>
      <c r="J26" s="265"/>
      <c r="K26" s="266"/>
      <c r="L26" s="265"/>
      <c r="M26" s="277"/>
      <c r="N26" s="277"/>
    </row>
    <row r="27" spans="1:21">
      <c r="I27" s="298"/>
      <c r="K27" s="278"/>
    </row>
    <row r="29" spans="1:21">
      <c r="A29" s="360"/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</row>
    <row r="32" spans="1:21">
      <c r="A32" s="273" t="s">
        <v>146</v>
      </c>
      <c r="B32" s="274">
        <f>I34</f>
        <v>113.75</v>
      </c>
      <c r="C32" s="277" t="s">
        <v>13</v>
      </c>
      <c r="E32" s="266">
        <f>16.35-3.5</f>
        <v>12.850000000000001</v>
      </c>
      <c r="F32" s="266" t="s">
        <v>132</v>
      </c>
      <c r="G32" s="267">
        <v>3.5</v>
      </c>
      <c r="H32" s="266" t="s">
        <v>133</v>
      </c>
      <c r="I32" s="267">
        <f>E32*G32</f>
        <v>44.975000000000009</v>
      </c>
      <c r="J32" s="266"/>
    </row>
    <row r="33" spans="1:24">
      <c r="E33" s="266">
        <v>19.649999999999999</v>
      </c>
      <c r="F33" s="266" t="s">
        <v>132</v>
      </c>
      <c r="G33" s="267">
        <v>3.5</v>
      </c>
      <c r="H33" s="266" t="s">
        <v>133</v>
      </c>
      <c r="I33" s="267">
        <f>E33*G33</f>
        <v>68.774999999999991</v>
      </c>
      <c r="J33" s="266"/>
    </row>
    <row r="34" spans="1:24">
      <c r="E34" s="266"/>
      <c r="F34" s="266"/>
      <c r="G34" s="267"/>
      <c r="H34" s="266"/>
      <c r="I34" s="268">
        <f>SUM(I32:I33)</f>
        <v>113.75</v>
      </c>
      <c r="J34" s="266"/>
    </row>
    <row r="35" spans="1:24">
      <c r="E35" s="266"/>
      <c r="F35" s="266"/>
      <c r="G35" s="267"/>
      <c r="H35" s="266"/>
      <c r="I35" s="271"/>
      <c r="J35" s="266"/>
    </row>
    <row r="36" spans="1:24">
      <c r="E36" s="266"/>
      <c r="F36" s="266"/>
      <c r="G36" s="267"/>
      <c r="H36" s="266"/>
      <c r="I36" s="271"/>
      <c r="J36" s="266"/>
    </row>
    <row r="37" spans="1:24">
      <c r="A37" s="272" t="s">
        <v>149</v>
      </c>
      <c r="B37" s="274">
        <f>I39</f>
        <v>105.92999999999999</v>
      </c>
      <c r="C37" s="277" t="s">
        <v>13</v>
      </c>
      <c r="E37" s="266">
        <f>16.35-3.5-0.2</f>
        <v>12.650000000000002</v>
      </c>
      <c r="F37" s="266" t="s">
        <v>132</v>
      </c>
      <c r="G37" s="267">
        <f>3.5-0.2</f>
        <v>3.3</v>
      </c>
      <c r="H37" s="266" t="s">
        <v>133</v>
      </c>
      <c r="I37" s="271">
        <f>E37*G37</f>
        <v>41.745000000000005</v>
      </c>
      <c r="J37" s="266"/>
    </row>
    <row r="38" spans="1:24">
      <c r="A38" s="272"/>
      <c r="B38" s="274"/>
      <c r="C38" s="277"/>
      <c r="E38" s="266">
        <f>19.65-0.2</f>
        <v>19.45</v>
      </c>
      <c r="F38" s="266" t="s">
        <v>132</v>
      </c>
      <c r="G38" s="267">
        <f>3.5-0.2</f>
        <v>3.3</v>
      </c>
      <c r="H38" s="266" t="s">
        <v>133</v>
      </c>
      <c r="I38" s="271">
        <f>E38*G38</f>
        <v>64.184999999999988</v>
      </c>
      <c r="J38" s="266"/>
    </row>
    <row r="39" spans="1:24">
      <c r="E39" s="266"/>
      <c r="F39" s="266"/>
      <c r="G39" s="267"/>
      <c r="H39" s="266"/>
      <c r="I39" s="268">
        <f>SUM(I37:I38)</f>
        <v>105.92999999999999</v>
      </c>
      <c r="J39" s="266"/>
    </row>
    <row r="40" spans="1:24">
      <c r="E40" s="266"/>
      <c r="F40" s="266"/>
      <c r="G40" s="267"/>
      <c r="H40" s="266"/>
      <c r="I40" s="271"/>
      <c r="J40" s="266"/>
    </row>
    <row r="41" spans="1:24">
      <c r="A41" s="272" t="s">
        <v>148</v>
      </c>
      <c r="B41">
        <f>S44</f>
        <v>0.05</v>
      </c>
      <c r="C41" t="s">
        <v>8</v>
      </c>
      <c r="E41" s="266"/>
      <c r="F41" s="266"/>
      <c r="G41" s="267"/>
      <c r="H41" s="266"/>
      <c r="I41" s="271"/>
      <c r="J41" s="266"/>
      <c r="K41" s="267"/>
    </row>
    <row r="42" spans="1:24" ht="15.75" thickBot="1">
      <c r="A42" s="272" t="s">
        <v>745</v>
      </c>
      <c r="B42" s="274">
        <f>I42</f>
        <v>5.2965</v>
      </c>
      <c r="C42" s="277" t="s">
        <v>7</v>
      </c>
      <c r="E42" s="267">
        <f>B37</f>
        <v>105.92999999999999</v>
      </c>
      <c r="F42" s="266" t="s">
        <v>132</v>
      </c>
      <c r="G42" s="267">
        <f>B41</f>
        <v>0.05</v>
      </c>
      <c r="H42" s="266" t="s">
        <v>133</v>
      </c>
      <c r="I42" s="271">
        <f>E42*G42</f>
        <v>5.2965</v>
      </c>
      <c r="J42" s="266" t="s">
        <v>7</v>
      </c>
    </row>
    <row r="43" spans="1:24" ht="15.75" thickTop="1">
      <c r="E43" s="266"/>
      <c r="F43" s="266"/>
      <c r="G43" s="267"/>
      <c r="H43" s="266"/>
      <c r="I43" s="271"/>
      <c r="J43" s="266"/>
      <c r="M43" s="597"/>
      <c r="N43" s="598"/>
      <c r="O43" s="594"/>
      <c r="P43" s="594"/>
      <c r="Q43" s="594"/>
      <c r="S43" s="275">
        <v>0.1</v>
      </c>
      <c r="T43" s="582" t="s">
        <v>8</v>
      </c>
      <c r="U43" t="s">
        <v>749</v>
      </c>
    </row>
    <row r="44" spans="1:24">
      <c r="E44" s="266"/>
      <c r="F44" s="266"/>
      <c r="G44" s="267"/>
      <c r="H44" s="266"/>
      <c r="I44" s="271"/>
      <c r="J44" s="266"/>
      <c r="M44" s="599"/>
      <c r="N44" s="600"/>
      <c r="O44" s="593"/>
      <c r="P44" s="593"/>
      <c r="Q44" s="593"/>
      <c r="S44" s="272">
        <v>0.05</v>
      </c>
      <c r="T44" s="582" t="s">
        <v>8</v>
      </c>
      <c r="U44" t="s">
        <v>748</v>
      </c>
    </row>
    <row r="45" spans="1:24" ht="15.75" thickBot="1">
      <c r="A45" s="272" t="s">
        <v>152</v>
      </c>
      <c r="B45" s="274">
        <f>I45</f>
        <v>233.04599999999999</v>
      </c>
      <c r="C45" s="277" t="s">
        <v>97</v>
      </c>
      <c r="E45" s="267">
        <f>B37</f>
        <v>105.92999999999999</v>
      </c>
      <c r="F45" s="266" t="s">
        <v>132</v>
      </c>
      <c r="G45" s="267">
        <v>2.2000000000000002</v>
      </c>
      <c r="H45" s="266" t="s">
        <v>133</v>
      </c>
      <c r="I45" s="271">
        <f t="shared" ref="I45" si="3">E45*G45</f>
        <v>233.04599999999999</v>
      </c>
      <c r="J45" s="266" t="s">
        <v>97</v>
      </c>
      <c r="M45" s="701" t="s">
        <v>751</v>
      </c>
      <c r="N45" s="702"/>
      <c r="O45" s="595"/>
      <c r="P45" s="595"/>
      <c r="Q45" s="595"/>
      <c r="S45" s="272">
        <v>0.05</v>
      </c>
      <c r="T45" s="582" t="s">
        <v>8</v>
      </c>
      <c r="U45" t="s">
        <v>725</v>
      </c>
    </row>
    <row r="46" spans="1:24">
      <c r="A46" s="272"/>
      <c r="E46" s="266"/>
      <c r="F46" s="266"/>
      <c r="G46" s="299" t="s">
        <v>160</v>
      </c>
      <c r="H46" s="266"/>
      <c r="I46" s="271"/>
      <c r="J46" s="266"/>
      <c r="M46" s="701" t="s">
        <v>752</v>
      </c>
      <c r="N46" s="702"/>
      <c r="O46" s="596"/>
      <c r="P46" s="596"/>
      <c r="Q46" s="596"/>
      <c r="R46" s="596" t="s">
        <v>750</v>
      </c>
      <c r="S46" s="596"/>
      <c r="T46" s="596"/>
      <c r="U46" s="596"/>
      <c r="V46" s="596"/>
      <c r="W46" s="596"/>
    </row>
    <row r="47" spans="1:24">
      <c r="A47" s="272"/>
      <c r="E47" s="266"/>
      <c r="F47" s="266"/>
      <c r="G47" s="299"/>
      <c r="H47" s="266"/>
      <c r="I47" s="271"/>
      <c r="J47" s="266"/>
      <c r="L47">
        <v>60</v>
      </c>
      <c r="M47" s="599"/>
      <c r="N47" s="600"/>
      <c r="O47" s="591"/>
      <c r="P47" s="591"/>
      <c r="Q47" s="591"/>
      <c r="R47" s="591"/>
      <c r="S47" s="591"/>
      <c r="T47" s="591"/>
      <c r="U47" s="591"/>
      <c r="V47" s="591"/>
      <c r="W47" s="591"/>
    </row>
    <row r="48" spans="1:24">
      <c r="A48" s="272" t="s">
        <v>747</v>
      </c>
      <c r="B48">
        <f>S45</f>
        <v>0.05</v>
      </c>
      <c r="C48" t="s">
        <v>8</v>
      </c>
      <c r="E48" s="266"/>
      <c r="F48" s="266"/>
      <c r="G48" s="299"/>
      <c r="H48" s="266"/>
      <c r="I48" s="271"/>
      <c r="J48" s="266"/>
      <c r="L48" s="583" t="s">
        <v>150</v>
      </c>
      <c r="M48" s="599"/>
      <c r="N48" s="600"/>
      <c r="O48" s="591"/>
      <c r="P48" s="591"/>
      <c r="Q48" s="591"/>
      <c r="R48" s="591"/>
      <c r="S48" s="591"/>
      <c r="T48" s="591"/>
      <c r="U48" s="591"/>
      <c r="V48" s="591"/>
      <c r="W48" s="591"/>
      <c r="X48" t="s">
        <v>754</v>
      </c>
    </row>
    <row r="49" spans="1:23">
      <c r="A49" s="272"/>
      <c r="B49" s="274">
        <f>I49</f>
        <v>5.2965</v>
      </c>
      <c r="C49" s="277" t="s">
        <v>7</v>
      </c>
      <c r="E49" s="267">
        <f>B37</f>
        <v>105.92999999999999</v>
      </c>
      <c r="F49" s="266" t="s">
        <v>132</v>
      </c>
      <c r="G49" s="267">
        <f>B48</f>
        <v>0.05</v>
      </c>
      <c r="H49" s="266" t="s">
        <v>133</v>
      </c>
      <c r="I49" s="271">
        <f>E49*G49</f>
        <v>5.2965</v>
      </c>
      <c r="J49" s="266" t="s">
        <v>7</v>
      </c>
      <c r="M49" s="599"/>
      <c r="N49" s="600"/>
      <c r="O49" s="591"/>
      <c r="P49" s="591"/>
      <c r="Q49" s="591"/>
      <c r="R49" s="591"/>
      <c r="S49" s="591"/>
      <c r="T49" s="591"/>
      <c r="U49" s="591"/>
      <c r="V49" s="591"/>
      <c r="W49" s="591"/>
    </row>
    <row r="50" spans="1:23" ht="15.75" thickBot="1">
      <c r="E50" s="266"/>
      <c r="F50" s="266"/>
      <c r="G50" s="267"/>
      <c r="H50" s="266"/>
      <c r="I50" s="271"/>
      <c r="J50" s="266"/>
      <c r="M50" s="704" t="s">
        <v>753</v>
      </c>
      <c r="N50" s="705"/>
      <c r="O50" s="591"/>
      <c r="P50" s="591"/>
      <c r="Q50" s="591"/>
      <c r="R50" s="591"/>
      <c r="S50" s="591"/>
      <c r="T50" s="591"/>
      <c r="U50" s="591"/>
      <c r="V50" s="591"/>
      <c r="W50" s="591"/>
    </row>
    <row r="51" spans="1:23" ht="15.75" thickTop="1">
      <c r="E51" s="266"/>
      <c r="F51" s="266"/>
      <c r="G51" s="267"/>
      <c r="H51" s="266"/>
      <c r="I51" s="271"/>
      <c r="J51" s="266"/>
      <c r="L51">
        <v>5</v>
      </c>
      <c r="M51" s="703" t="s">
        <v>150</v>
      </c>
      <c r="N51" s="703"/>
      <c r="O51" s="591"/>
      <c r="P51" s="591"/>
      <c r="Q51" s="591"/>
      <c r="R51" s="591"/>
      <c r="S51" s="591"/>
      <c r="T51" s="591"/>
      <c r="U51" s="591"/>
      <c r="V51" s="591"/>
      <c r="W51" s="591"/>
    </row>
    <row r="52" spans="1:23">
      <c r="A52" s="272" t="s">
        <v>746</v>
      </c>
      <c r="B52" s="590">
        <f>S43</f>
        <v>0.1</v>
      </c>
      <c r="C52" t="s">
        <v>8</v>
      </c>
      <c r="E52" s="266"/>
      <c r="F52" s="266"/>
      <c r="G52" s="267"/>
      <c r="H52" s="266"/>
      <c r="I52" s="271"/>
      <c r="J52" s="266"/>
    </row>
    <row r="53" spans="1:23">
      <c r="A53" s="272" t="s">
        <v>142</v>
      </c>
      <c r="B53" s="274">
        <f>I53</f>
        <v>10.593</v>
      </c>
      <c r="C53" s="277" t="s">
        <v>7</v>
      </c>
      <c r="E53" s="267">
        <f>B37</f>
        <v>105.92999999999999</v>
      </c>
      <c r="F53" s="266" t="s">
        <v>132</v>
      </c>
      <c r="G53" s="267">
        <f>B52</f>
        <v>0.1</v>
      </c>
      <c r="H53" s="266" t="s">
        <v>133</v>
      </c>
      <c r="I53" s="271">
        <f>E53*G53</f>
        <v>10.593</v>
      </c>
      <c r="J53" s="266" t="s">
        <v>7</v>
      </c>
    </row>
    <row r="54" spans="1:23">
      <c r="E54" s="266"/>
      <c r="F54" s="266"/>
      <c r="G54" s="267"/>
      <c r="H54" s="266"/>
      <c r="I54" s="271"/>
      <c r="J54" s="266"/>
    </row>
    <row r="55" spans="1:23">
      <c r="E55" s="266"/>
      <c r="F55" s="266"/>
      <c r="G55" s="267"/>
      <c r="H55" s="266"/>
      <c r="I55" s="271"/>
      <c r="J55" s="266"/>
    </row>
    <row r="56" spans="1:23">
      <c r="E56" s="266"/>
      <c r="F56" s="266"/>
      <c r="G56" s="267"/>
      <c r="H56" s="266"/>
      <c r="I56" s="271"/>
      <c r="J56" s="266"/>
    </row>
    <row r="57" spans="1:23">
      <c r="A57" s="272" t="s">
        <v>151</v>
      </c>
      <c r="E57" s="266"/>
      <c r="F57" s="266"/>
      <c r="G57" s="267"/>
      <c r="H57" s="266"/>
      <c r="I57" s="271"/>
      <c r="J57" s="266"/>
    </row>
    <row r="58" spans="1:23">
      <c r="A58" s="272" t="s">
        <v>136</v>
      </c>
      <c r="E58" s="266">
        <f>E32</f>
        <v>12.850000000000001</v>
      </c>
      <c r="F58" s="266" t="s">
        <v>135</v>
      </c>
      <c r="G58" s="267">
        <f>E33</f>
        <v>19.649999999999999</v>
      </c>
      <c r="H58" s="266" t="s">
        <v>135</v>
      </c>
      <c r="I58" s="271">
        <f>3.5-0.15</f>
        <v>3.35</v>
      </c>
      <c r="J58" s="266" t="s">
        <v>135</v>
      </c>
      <c r="K58" s="271">
        <f>3.5-0.15</f>
        <v>3.35</v>
      </c>
      <c r="L58" s="266" t="s">
        <v>133</v>
      </c>
      <c r="M58" s="267">
        <f>E58+G58+I58+K58</f>
        <v>39.200000000000003</v>
      </c>
      <c r="N58" s="265" t="s">
        <v>132</v>
      </c>
      <c r="O58" s="265">
        <v>0.15</v>
      </c>
      <c r="P58" s="265" t="s">
        <v>133</v>
      </c>
      <c r="Q58" s="265">
        <f>M58*O58</f>
        <v>5.88</v>
      </c>
      <c r="R58" t="s">
        <v>13</v>
      </c>
    </row>
    <row r="59" spans="1:23">
      <c r="A59" s="272" t="s">
        <v>134</v>
      </c>
      <c r="E59" s="267">
        <f>I34</f>
        <v>113.75</v>
      </c>
      <c r="F59" s="266" t="s">
        <v>137</v>
      </c>
      <c r="G59" s="267">
        <f>Q58</f>
        <v>5.88</v>
      </c>
      <c r="H59" s="266" t="s">
        <v>133</v>
      </c>
      <c r="I59" s="271">
        <f>E59-G59</f>
        <v>107.87</v>
      </c>
      <c r="J59" t="s">
        <v>96</v>
      </c>
    </row>
    <row r="60" spans="1:23">
      <c r="E60" s="266"/>
      <c r="F60" s="266"/>
      <c r="G60" s="267"/>
      <c r="H60" s="266"/>
      <c r="I60" s="271"/>
      <c r="J60" s="266"/>
    </row>
    <row r="61" spans="1:23">
      <c r="A61" s="272" t="s">
        <v>181</v>
      </c>
      <c r="E61" s="266">
        <f>E58</f>
        <v>12.850000000000001</v>
      </c>
      <c r="F61" s="266" t="s">
        <v>135</v>
      </c>
      <c r="G61" s="267">
        <f>19.65-3.5</f>
        <v>16.149999999999999</v>
      </c>
      <c r="H61" s="266" t="s">
        <v>135</v>
      </c>
      <c r="I61" s="271">
        <f>3.5-2.2</f>
        <v>1.2999999999999998</v>
      </c>
      <c r="J61" s="266" t="s">
        <v>133</v>
      </c>
      <c r="K61" s="269">
        <f>E61+G61+I61</f>
        <v>30.3</v>
      </c>
      <c r="L61" s="265" t="s">
        <v>132</v>
      </c>
      <c r="M61" s="265">
        <v>7.0000000000000007E-2</v>
      </c>
      <c r="N61" s="265" t="s">
        <v>133</v>
      </c>
      <c r="O61" s="265">
        <f>K61*M61</f>
        <v>2.1210000000000004</v>
      </c>
      <c r="P61" s="265" t="s">
        <v>96</v>
      </c>
    </row>
    <row r="62" spans="1:23">
      <c r="E62" s="266"/>
      <c r="F62" s="266"/>
      <c r="G62" s="267"/>
      <c r="H62" s="266"/>
      <c r="I62" s="271"/>
      <c r="J62" s="266"/>
      <c r="K62" s="278" t="s">
        <v>8</v>
      </c>
    </row>
    <row r="63" spans="1:23">
      <c r="A63" s="360"/>
      <c r="B63" s="360"/>
      <c r="C63" s="360"/>
      <c r="D63" s="360"/>
      <c r="E63" s="361"/>
      <c r="F63" s="361"/>
      <c r="G63" s="362"/>
      <c r="H63" s="361"/>
      <c r="I63" s="362"/>
      <c r="J63" s="361"/>
      <c r="K63" s="360"/>
      <c r="L63" s="360"/>
      <c r="M63" s="360"/>
      <c r="N63" s="360"/>
      <c r="O63" s="360"/>
      <c r="P63" s="360"/>
      <c r="Q63" s="363"/>
      <c r="R63" s="360"/>
      <c r="S63" s="360"/>
      <c r="T63" s="360"/>
      <c r="U63" s="360"/>
    </row>
    <row r="64" spans="1:23">
      <c r="A64" s="273" t="s">
        <v>131</v>
      </c>
    </row>
    <row r="65" spans="1:25">
      <c r="A65" s="272" t="s">
        <v>138</v>
      </c>
      <c r="B65" s="274">
        <f>I69</f>
        <v>150.04999999999998</v>
      </c>
      <c r="C65" s="273" t="s">
        <v>13</v>
      </c>
      <c r="E65" s="265">
        <v>18.850000000000001</v>
      </c>
      <c r="F65" s="265" t="s">
        <v>132</v>
      </c>
      <c r="G65" s="269">
        <f>3.5+0.5</f>
        <v>4</v>
      </c>
      <c r="H65" s="265" t="s">
        <v>133</v>
      </c>
      <c r="I65" s="269">
        <f>E65*G65</f>
        <v>75.400000000000006</v>
      </c>
      <c r="M65" s="272" t="s">
        <v>140</v>
      </c>
      <c r="Q65" s="269">
        <v>4</v>
      </c>
      <c r="R65" s="269" t="s">
        <v>132</v>
      </c>
      <c r="S65" s="269">
        <v>4</v>
      </c>
      <c r="T65" s="269" t="s">
        <v>133</v>
      </c>
      <c r="U65" s="269">
        <f>Q65*S65</f>
        <v>16</v>
      </c>
      <c r="V65" s="269"/>
      <c r="W65" s="269"/>
      <c r="X65" s="269"/>
      <c r="Y65" s="269"/>
    </row>
    <row r="66" spans="1:25">
      <c r="E66" s="265">
        <f>8.35-(3.5+0.5)</f>
        <v>4.3499999999999996</v>
      </c>
      <c r="F66" s="265" t="s">
        <v>132</v>
      </c>
      <c r="G66" s="269">
        <v>2</v>
      </c>
      <c r="H66" s="265" t="s">
        <v>133</v>
      </c>
      <c r="I66" s="269">
        <f>E66*G66</f>
        <v>8.6999999999999993</v>
      </c>
      <c r="M66">
        <v>1.1499999999999999</v>
      </c>
      <c r="N66" t="s">
        <v>8</v>
      </c>
      <c r="Q66" s="269">
        <f>M66</f>
        <v>1.1499999999999999</v>
      </c>
      <c r="R66" s="269" t="s">
        <v>132</v>
      </c>
      <c r="S66" s="269">
        <f>M66</f>
        <v>1.1499999999999999</v>
      </c>
      <c r="T66" s="269" t="s">
        <v>133</v>
      </c>
      <c r="U66" s="269">
        <f>Q66*S66</f>
        <v>1.3224999999999998</v>
      </c>
      <c r="V66" s="269"/>
      <c r="W66" s="269"/>
      <c r="X66" s="269"/>
      <c r="Y66" s="269"/>
    </row>
    <row r="67" spans="1:25">
      <c r="E67" s="265">
        <f>20.65-(3.5+0.5)-0.5</f>
        <v>16.149999999999999</v>
      </c>
      <c r="F67" s="265" t="s">
        <v>132</v>
      </c>
      <c r="G67" s="269">
        <f>3.5+0.5</f>
        <v>4</v>
      </c>
      <c r="H67" s="265" t="s">
        <v>133</v>
      </c>
      <c r="I67" s="269">
        <f>E67*G67</f>
        <v>64.599999999999994</v>
      </c>
      <c r="U67" s="270">
        <f>SUM(U65:U66)</f>
        <v>17.322499999999998</v>
      </c>
    </row>
    <row r="68" spans="1:25">
      <c r="E68" s="269">
        <v>0.5</v>
      </c>
      <c r="F68" s="265" t="s">
        <v>132</v>
      </c>
      <c r="G68" s="269">
        <v>2.7</v>
      </c>
      <c r="H68" s="265" t="s">
        <v>133</v>
      </c>
      <c r="I68" s="269">
        <f>E68*G68</f>
        <v>1.35</v>
      </c>
      <c r="Q68" s="272" t="s">
        <v>141</v>
      </c>
      <c r="S68" s="275">
        <f>SQRT(U67)</f>
        <v>4.1620307543313517</v>
      </c>
      <c r="T68" t="s">
        <v>8</v>
      </c>
    </row>
    <row r="69" spans="1:25">
      <c r="F69" s="265"/>
      <c r="I69" s="270">
        <f>SUM(I65:I68)</f>
        <v>150.04999999999998</v>
      </c>
    </row>
    <row r="71" spans="1:25">
      <c r="A71" s="272" t="s">
        <v>139</v>
      </c>
      <c r="B71" s="274">
        <f>I74</f>
        <v>183.66411902783747</v>
      </c>
      <c r="C71" s="273" t="s">
        <v>13</v>
      </c>
      <c r="E71" s="265">
        <v>18.850000000000001</v>
      </c>
      <c r="F71" s="265" t="s">
        <v>132</v>
      </c>
      <c r="G71" s="269">
        <f>S68</f>
        <v>4.1620307543313517</v>
      </c>
      <c r="H71" s="265" t="s">
        <v>133</v>
      </c>
      <c r="I71" s="269">
        <f t="shared" ref="I71:I72" si="4">E71*G71</f>
        <v>78.454279719145987</v>
      </c>
      <c r="Q71" s="269">
        <v>2</v>
      </c>
      <c r="R71" s="269" t="s">
        <v>132</v>
      </c>
      <c r="S71" s="269">
        <v>2</v>
      </c>
      <c r="T71" s="269" t="s">
        <v>133</v>
      </c>
      <c r="U71" s="269">
        <f>Q71*S71</f>
        <v>4</v>
      </c>
    </row>
    <row r="72" spans="1:25">
      <c r="E72" s="265">
        <v>20.65</v>
      </c>
      <c r="F72" s="265" t="s">
        <v>132</v>
      </c>
      <c r="G72" s="269">
        <f>S68</f>
        <v>4.1620307543313517</v>
      </c>
      <c r="H72" s="265" t="s">
        <v>133</v>
      </c>
      <c r="I72" s="269">
        <f t="shared" si="4"/>
        <v>85.945935076942405</v>
      </c>
      <c r="Q72" s="269">
        <f>M66</f>
        <v>1.1499999999999999</v>
      </c>
      <c r="R72" s="269" t="s">
        <v>132</v>
      </c>
      <c r="S72" s="269">
        <f>M66</f>
        <v>1.1499999999999999</v>
      </c>
      <c r="T72" s="269" t="s">
        <v>133</v>
      </c>
      <c r="U72" s="269">
        <f>Q72*S72</f>
        <v>1.3224999999999998</v>
      </c>
    </row>
    <row r="73" spans="1:25">
      <c r="E73" s="265">
        <v>8.35</v>
      </c>
      <c r="F73" s="265" t="s">
        <v>132</v>
      </c>
      <c r="G73" s="269">
        <f>S74</f>
        <v>2.3070543990118653</v>
      </c>
      <c r="H73" s="265" t="s">
        <v>133</v>
      </c>
      <c r="I73" s="269">
        <f t="shared" ref="I73" si="5">E73*G73</f>
        <v>19.263904231749073</v>
      </c>
      <c r="U73" s="270">
        <f>SUM(U71:U72)</f>
        <v>5.3224999999999998</v>
      </c>
    </row>
    <row r="74" spans="1:25">
      <c r="I74" s="270">
        <f>SUM(I71:I73)</f>
        <v>183.66411902783747</v>
      </c>
      <c r="Q74" s="272" t="s">
        <v>141</v>
      </c>
      <c r="S74" s="275">
        <f>SQRT(U73)</f>
        <v>2.3070543990118653</v>
      </c>
      <c r="T74" t="s">
        <v>8</v>
      </c>
    </row>
    <row r="75" spans="1:25">
      <c r="A75" s="360"/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</row>
    <row r="77" spans="1:25">
      <c r="A77" s="273" t="s">
        <v>828</v>
      </c>
      <c r="B77" s="274">
        <f>K79+K82</f>
        <v>66.759999999999991</v>
      </c>
      <c r="C77" s="277" t="s">
        <v>13</v>
      </c>
    </row>
    <row r="79" spans="1:25">
      <c r="A79" s="272" t="s">
        <v>806</v>
      </c>
      <c r="B79" s="603">
        <v>12</v>
      </c>
      <c r="E79" s="269">
        <f>0.2*4</f>
        <v>0.8</v>
      </c>
      <c r="F79" s="265" t="s">
        <v>132</v>
      </c>
      <c r="G79" s="269">
        <v>3.6</v>
      </c>
      <c r="H79" s="265" t="s">
        <v>132</v>
      </c>
      <c r="I79" s="265">
        <f>B79</f>
        <v>12</v>
      </c>
      <c r="J79" s="265" t="s">
        <v>133</v>
      </c>
      <c r="K79" s="269">
        <f>E79*G79*I79</f>
        <v>34.56</v>
      </c>
      <c r="L79" s="265" t="s">
        <v>13</v>
      </c>
      <c r="M79" s="265"/>
    </row>
    <row r="80" spans="1:25">
      <c r="G80" s="278" t="s">
        <v>189</v>
      </c>
    </row>
    <row r="81" spans="1:21">
      <c r="A81" s="272"/>
      <c r="B81" s="590"/>
      <c r="G81" s="278"/>
    </row>
    <row r="82" spans="1:21">
      <c r="A82" s="272" t="s">
        <v>805</v>
      </c>
      <c r="B82" s="590">
        <f>16.35+19.65+0.5+1.5+7.85+0.15</f>
        <v>46</v>
      </c>
      <c r="C82" t="s">
        <v>8</v>
      </c>
      <c r="E82" s="269">
        <f>(0.25+0.25+0.1+0.1)</f>
        <v>0.7</v>
      </c>
      <c r="F82" s="265" t="s">
        <v>132</v>
      </c>
      <c r="G82" s="269">
        <f>B82</f>
        <v>46</v>
      </c>
      <c r="J82" s="265" t="s">
        <v>133</v>
      </c>
      <c r="K82" s="269">
        <f>E82*G82</f>
        <v>32.199999999999996</v>
      </c>
      <c r="L82" s="265" t="s">
        <v>13</v>
      </c>
    </row>
    <row r="84" spans="1:21">
      <c r="A84" s="360"/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</row>
    <row r="86" spans="1:21">
      <c r="A86" s="273" t="s">
        <v>689</v>
      </c>
    </row>
    <row r="87" spans="1:21">
      <c r="A87" s="272" t="s">
        <v>691</v>
      </c>
      <c r="B87" s="274">
        <f>B32</f>
        <v>113.75</v>
      </c>
      <c r="C87" s="277" t="s">
        <v>13</v>
      </c>
      <c r="D87" t="s">
        <v>692</v>
      </c>
    </row>
    <row r="88" spans="1:21">
      <c r="A88" s="272" t="s">
        <v>690</v>
      </c>
      <c r="B88" s="274">
        <f>B2-B32</f>
        <v>96.949999999999989</v>
      </c>
      <c r="C88" s="277" t="s">
        <v>13</v>
      </c>
      <c r="D88" t="s">
        <v>693</v>
      </c>
    </row>
  </sheetData>
  <mergeCells count="4">
    <mergeCell ref="M45:N45"/>
    <mergeCell ref="M46:N46"/>
    <mergeCell ref="M51:N51"/>
    <mergeCell ref="M50:N5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res</vt:lpstr>
      <vt:lpstr>Orçamento</vt:lpstr>
      <vt:lpstr>COMPOSIÇÕES</vt:lpstr>
      <vt:lpstr>COMP AUX</vt:lpstr>
      <vt:lpstr>Administração da Obra</vt:lpstr>
      <vt:lpstr>memoria</vt:lpstr>
      <vt:lpstr>'Administração da Obra'!Area_de_impressao</vt:lpstr>
      <vt:lpstr>'COMP AUX'!Area_de_impressao</vt:lpstr>
      <vt:lpstr>COMPOSIÇÕES!Area_de_impressao</vt:lpstr>
      <vt:lpstr>Orçamento!Area_de_impressao</vt:lpstr>
      <vt:lpstr>res!Area_de_impressao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Rangel</dc:creator>
  <cp:lastModifiedBy>JacobsGuimar</cp:lastModifiedBy>
  <cp:lastPrinted>2018-07-23T16:58:50Z</cp:lastPrinted>
  <dcterms:created xsi:type="dcterms:W3CDTF">2013-08-05T14:14:34Z</dcterms:created>
  <dcterms:modified xsi:type="dcterms:W3CDTF">2018-07-23T17:22:44Z</dcterms:modified>
</cp:coreProperties>
</file>