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obsGuimar\Desktop\ORÇAMENTO\ESCOLA SESC PANTANAL POCONÉ\"/>
    </mc:Choice>
  </mc:AlternateContent>
  <bookViews>
    <workbookView xWindow="0" yWindow="0" windowWidth="15345" windowHeight="4050" activeTab="1"/>
  </bookViews>
  <sheets>
    <sheet name="res" sheetId="5" r:id="rId1"/>
    <sheet name="Orçamento" sheetId="1" r:id="rId2"/>
    <sheet name="COMPOSIÇÕES" sheetId="2" r:id="rId3"/>
    <sheet name="COMP AUX" sheetId="7" r:id="rId4"/>
    <sheet name="memoria" sheetId="8" r:id="rId5"/>
    <sheet name="Administração da Obra" sheetId="4" r:id="rId6"/>
    <sheet name="Cronograma" sheetId="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cab1" localSheetId="3">#REF!</definedName>
    <definedName name="_cab1">#REF!</definedName>
    <definedName name="_xlnm._FilterDatabase" localSheetId="5" hidden="1">'Administração da Obra'!$A$8:$O$25</definedName>
    <definedName name="_xlnm._FilterDatabase" localSheetId="3" hidden="1">'COMP AUX'!#REF!</definedName>
    <definedName name="_xlnm._FilterDatabase" localSheetId="2" hidden="1">COMPOSIÇÕES!#REF!</definedName>
    <definedName name="_xlnm._FilterDatabase" localSheetId="1" hidden="1">Orçamento!$A$4:$Q$5</definedName>
    <definedName name="_JAZ1" localSheetId="3">#REF!</definedName>
    <definedName name="_JAZ1">#REF!</definedName>
    <definedName name="_JAZ11" localSheetId="3">#REF!</definedName>
    <definedName name="_JAZ11">#REF!</definedName>
    <definedName name="_JAZ2" localSheetId="3">#REF!</definedName>
    <definedName name="_JAZ2">#REF!</definedName>
    <definedName name="_JAZ22" localSheetId="3">#REF!</definedName>
    <definedName name="_JAZ22">#REF!</definedName>
    <definedName name="_JAZ3" localSheetId="3">#REF!</definedName>
    <definedName name="_JAZ3">#REF!</definedName>
    <definedName name="_JAZ33" localSheetId="3">#REF!</definedName>
    <definedName name="_JAZ33">#REF!</definedName>
    <definedName name="_Key1" hidden="1">'[1]1.6'!$A$11</definedName>
    <definedName name="_LAG2">[2]SERVIÇOS!$G$26</definedName>
    <definedName name="_Order1" hidden="1">255</definedName>
    <definedName name="_Order2" hidden="1">255</definedName>
    <definedName name="_PAG1">"$#REF!.$C$16"</definedName>
    <definedName name="_PAG10">"$#REF!.$C$26"</definedName>
    <definedName name="_PAG11">"$#REF!.$C$27"</definedName>
    <definedName name="_PAG12">"$#REF!.$C$28"</definedName>
    <definedName name="_PAG13">"$#REF!.$C$21"</definedName>
    <definedName name="_PAG2">"$#REF!.$C$17"</definedName>
    <definedName name="_PAG3">"$#REF!.$C$18"</definedName>
    <definedName name="_PAG4">"$#REF!.$C$19"</definedName>
    <definedName name="_PAG5">"$#REF!.$C$20"</definedName>
    <definedName name="_PAG6">"$#REF!.$C$22"</definedName>
    <definedName name="_PAG7">"$#REF!.$C$23"</definedName>
    <definedName name="_PAG8">"$#REF!.$C$24"</definedName>
    <definedName name="_PAG9">"$#REF!.$C$25"</definedName>
    <definedName name="_RET1" localSheetId="3">#REF!</definedName>
    <definedName name="_RET1">#REF!</definedName>
    <definedName name="_TB10">"'file:///D:/Meus documentos/ANASTÁCIO/SERCEL/BR262990800.xls'#$TLMB.$#REF!$#REF!"</definedName>
    <definedName name="_tb97">"$#REF!.$E$71"</definedName>
    <definedName name="_tbw97">"$#REF!.$E$73"</definedName>
    <definedName name="_TCB4">"$#REF!.$I$26"</definedName>
    <definedName name="_TCC4">"$#REF!.$I$18"</definedName>
    <definedName name="_TEB4">"$#REF!.$I$16"</definedName>
    <definedName name="_TT102" localSheetId="3">'[3]Relatório-1ª med.'!#REF!</definedName>
    <definedName name="_TT102">'[3]Relatório-1ª med.'!#REF!</definedName>
    <definedName name="_TT107" localSheetId="3">'[3]Relatório-1ª med.'!#REF!</definedName>
    <definedName name="_TT107">'[3]Relatório-1ª med.'!#REF!</definedName>
    <definedName name="_TT121" localSheetId="3">'[3]Relatório-1ª med.'!#REF!</definedName>
    <definedName name="_TT121">'[3]Relatório-1ª med.'!#REF!</definedName>
    <definedName name="_TT123" localSheetId="3">'[3]Relatório-1ª med.'!#REF!</definedName>
    <definedName name="_TT123">'[3]Relatório-1ª med.'!#REF!</definedName>
    <definedName name="_TT19" localSheetId="3">'[3]Relatório-1ª med.'!#REF!</definedName>
    <definedName name="_TT19">'[3]Relatório-1ª med.'!#REF!</definedName>
    <definedName name="_TT20" localSheetId="3">'[3]Relatório-1ª med.'!#REF!</definedName>
    <definedName name="_TT20">'[3]Relatório-1ª med.'!#REF!</definedName>
    <definedName name="_TT21" localSheetId="3">'[3]Relatório-1ª med.'!#REF!</definedName>
    <definedName name="_TT21">'[3]Relatório-1ª med.'!#REF!</definedName>
    <definedName name="_TT22" localSheetId="3">'[3]Relatório-1ª med.'!#REF!</definedName>
    <definedName name="_TT22">'[3]Relatório-1ª med.'!#REF!</definedName>
    <definedName name="_TT26" localSheetId="3">'[3]Relatório-1ª med.'!#REF!</definedName>
    <definedName name="_TT26">'[3]Relatório-1ª med.'!#REF!</definedName>
    <definedName name="_TT27" localSheetId="3">'[3]Relatório-1ª med.'!#REF!</definedName>
    <definedName name="_TT27">'[3]Relatório-1ª med.'!#REF!</definedName>
    <definedName name="_TT28" localSheetId="3">'[3]Relatório-1ª med.'!#REF!</definedName>
    <definedName name="_TT28">'[3]Relatório-1ª med.'!#REF!</definedName>
    <definedName name="_TT30" localSheetId="3">'[3]Relatório-1ª med.'!#REF!</definedName>
    <definedName name="_TT30">'[3]Relatório-1ª med.'!#REF!</definedName>
    <definedName name="_TT31" localSheetId="3">'[3]Relatório-1ª med.'!#REF!</definedName>
    <definedName name="_TT31">'[3]Relatório-1ª med.'!#REF!</definedName>
    <definedName name="_TT32" localSheetId="3">'[3]Relatório-1ª med.'!#REF!</definedName>
    <definedName name="_TT32">'[3]Relatório-1ª med.'!#REF!</definedName>
    <definedName name="_TT33" localSheetId="3">'[3]Relatório-1ª med.'!#REF!</definedName>
    <definedName name="_TT33">'[3]Relatório-1ª med.'!#REF!</definedName>
    <definedName name="_TT34" localSheetId="3">'[3]Relatório-1ª med.'!#REF!</definedName>
    <definedName name="_TT34">'[3]Relatório-1ª med.'!#REF!</definedName>
    <definedName name="_TT36" localSheetId="3">'[3]Relatório-1ª med.'!#REF!</definedName>
    <definedName name="_TT36">'[3]Relatório-1ª med.'!#REF!</definedName>
    <definedName name="_TT37" localSheetId="3">'[3]Relatório-1ª med.'!#REF!</definedName>
    <definedName name="_TT37">'[3]Relatório-1ª med.'!#REF!</definedName>
    <definedName name="_TT38" localSheetId="3">'[3]Relatório-1ª med.'!#REF!</definedName>
    <definedName name="_TT38">'[3]Relatório-1ª med.'!#REF!</definedName>
    <definedName name="_TT39" localSheetId="3">'[3]Relatório-1ª med.'!#REF!</definedName>
    <definedName name="_TT39">'[3]Relatório-1ª med.'!#REF!</definedName>
    <definedName name="_TT40" localSheetId="3">'[3]Relatório-1ª med.'!#REF!</definedName>
    <definedName name="_TT40">'[3]Relatório-1ª med.'!#REF!</definedName>
    <definedName name="_TT5" localSheetId="3">'[3]Relatório-1ª med.'!#REF!</definedName>
    <definedName name="_TT5">'[3]Relatório-1ª med.'!#REF!</definedName>
    <definedName name="_TT52" localSheetId="3">'[3]Relatório-1ª med.'!#REF!</definedName>
    <definedName name="_TT52">'[3]Relatório-1ª med.'!#REF!</definedName>
    <definedName name="_TT53" localSheetId="3">'[3]Relatório-1ª med.'!#REF!</definedName>
    <definedName name="_TT53">'[3]Relatório-1ª med.'!#REF!</definedName>
    <definedName name="_TT54" localSheetId="3">'[3]Relatório-1ª med.'!#REF!</definedName>
    <definedName name="_TT54">'[3]Relatório-1ª med.'!#REF!</definedName>
    <definedName name="_TT55" localSheetId="3">'[3]Relatório-1ª med.'!#REF!</definedName>
    <definedName name="_TT55">'[3]Relatório-1ª med.'!#REF!</definedName>
    <definedName name="_TT6" localSheetId="3">'[3]Relatório-1ª med.'!#REF!</definedName>
    <definedName name="_TT6">'[3]Relatório-1ª med.'!#REF!</definedName>
    <definedName name="_TT60" localSheetId="3">'[3]Relatório-1ª med.'!#REF!</definedName>
    <definedName name="_TT60">'[3]Relatório-1ª med.'!#REF!</definedName>
    <definedName name="_TT61" localSheetId="3">'[3]Relatório-1ª med.'!#REF!</definedName>
    <definedName name="_TT61">'[3]Relatório-1ª med.'!#REF!</definedName>
    <definedName name="_TT69" localSheetId="3">'[3]Relatório-1ª med.'!#REF!</definedName>
    <definedName name="_TT69">'[3]Relatório-1ª med.'!#REF!</definedName>
    <definedName name="_TT7" localSheetId="3">'[3]Relatório-1ª med.'!#REF!</definedName>
    <definedName name="_TT7">'[3]Relatório-1ª med.'!#REF!</definedName>
    <definedName name="_TT70" localSheetId="3">'[3]Relatório-1ª med.'!#REF!</definedName>
    <definedName name="_TT70">'[3]Relatório-1ª med.'!#REF!</definedName>
    <definedName name="_TT71" localSheetId="3">'[3]Relatório-1ª med.'!#REF!</definedName>
    <definedName name="_TT71">'[3]Relatório-1ª med.'!#REF!</definedName>
    <definedName name="_TT74" localSheetId="3">'[3]Relatório-1ª med.'!#REF!</definedName>
    <definedName name="_TT74">'[3]Relatório-1ª med.'!#REF!</definedName>
    <definedName name="_TT75" localSheetId="3">'[3]Relatório-1ª med.'!#REF!</definedName>
    <definedName name="_TT75">'[3]Relatório-1ª med.'!#REF!</definedName>
    <definedName name="_TT76" localSheetId="3">'[3]Relatório-1ª med.'!#REF!</definedName>
    <definedName name="_TT76">'[3]Relatório-1ª med.'!#REF!</definedName>
    <definedName name="_TT77" localSheetId="3">'[3]Relatório-1ª med.'!#REF!</definedName>
    <definedName name="_TT77">'[3]Relatório-1ª med.'!#REF!</definedName>
    <definedName name="_TT78" localSheetId="3">'[3]Relatório-1ª med.'!#REF!</definedName>
    <definedName name="_TT78">'[3]Relatório-1ª med.'!#REF!</definedName>
    <definedName name="_TT79" localSheetId="3">'[3]Relatório-1ª med.'!#REF!</definedName>
    <definedName name="_TT79">'[3]Relatório-1ª med.'!#REF!</definedName>
    <definedName name="_TT94" localSheetId="3">'[3]Relatório-1ª med.'!#REF!</definedName>
    <definedName name="_TT94">'[3]Relatório-1ª med.'!#REF!</definedName>
    <definedName name="_TT95" localSheetId="3">'[3]Relatório-1ª med.'!#REF!</definedName>
    <definedName name="_TT95">'[3]Relatório-1ª med.'!#REF!</definedName>
    <definedName name="_TT97" localSheetId="3">'[3]Relatório-1ª med.'!#REF!</definedName>
    <definedName name="_TT97">'[3]Relatório-1ª med.'!#REF!</definedName>
    <definedName name="alex" localSheetId="5" hidden="1">{#N/A,#N/A,FALSE,"MO (2)"}</definedName>
    <definedName name="alex" localSheetId="3" hidden="1">{#N/A,#N/A,FALSE,"MO (2)"}</definedName>
    <definedName name="alex" hidden="1">{#N/A,#N/A,FALSE,"MO (2)"}</definedName>
    <definedName name="AND" localSheetId="3">#REF!</definedName>
    <definedName name="AND">#REF!</definedName>
    <definedName name="ant" localSheetId="5" hidden="1">{#N/A,#N/A,FALSE,"MO (2)"}</definedName>
    <definedName name="ant" localSheetId="3" hidden="1">{#N/A,#N/A,FALSE,"MO (2)"}</definedName>
    <definedName name="ant" hidden="1">{#N/A,#N/A,FALSE,"MO (2)"}</definedName>
    <definedName name="AQCAP20">"$#REF!.$I$15"</definedName>
    <definedName name="AQCM30">"$#REF!.$I$16"</definedName>
    <definedName name="AQRM1C">"$#REF!.$I$18"</definedName>
    <definedName name="AQRR1C">"$#REF!.$I$17"</definedName>
    <definedName name="area_base">[4]Base!$U$40</definedName>
    <definedName name="_xlnm.Print_Area" localSheetId="5">'Administração da Obra'!$A$1:$O$68</definedName>
    <definedName name="_xlnm.Print_Area" localSheetId="3">'COMP AUX'!$A$1:$H$1989</definedName>
    <definedName name="_xlnm.Print_Area" localSheetId="2">COMPOSIÇÕES!$A$1:$H$3074</definedName>
    <definedName name="_xlnm.Print_Area" localSheetId="6">Cronograma!$A$1:$H$19</definedName>
    <definedName name="_xlnm.Print_Area" localSheetId="1">Orçamento!$A$1:$Q$366</definedName>
    <definedName name="_xlnm.Print_Area" localSheetId="0">res!$A$1:$D$33</definedName>
    <definedName name="_xlnm.Print_Area">#REF!</definedName>
    <definedName name="ASFALTO" localSheetId="3">#REF!</definedName>
    <definedName name="ASFALTO" localSheetId="2">#REF!</definedName>
    <definedName name="ASFALTO">#REF!</definedName>
    <definedName name="ATUAL">"$#REF!.$F$29"</definedName>
    <definedName name="AUTO">"$#REF!.$D$12"</definedName>
    <definedName name="bbbb" localSheetId="5" hidden="1">{#N/A,#N/A,FALSE,"MO (2)"}</definedName>
    <definedName name="bbbb" localSheetId="3" hidden="1">{#N/A,#N/A,FALSE,"MO (2)"}</definedName>
    <definedName name="bbbb" hidden="1">{#N/A,#N/A,FALSE,"MO (2)"}</definedName>
    <definedName name="BR">[5]Croqui!$B$3</definedName>
    <definedName name="BRZ">[6]ORÇAMENTO!$B$4</definedName>
    <definedName name="cab_cortes" localSheetId="3">#REF!</definedName>
    <definedName name="cab_cortes">#REF!</definedName>
    <definedName name="cab_dmt" localSheetId="3">#REF!</definedName>
    <definedName name="cab_dmt">#REF!</definedName>
    <definedName name="cab_limpeza" localSheetId="3">#REF!</definedName>
    <definedName name="cab_limpeza">#REF!</definedName>
    <definedName name="cab_pmf" localSheetId="3">#REF!</definedName>
    <definedName name="cab_pmf">#REF!</definedName>
    <definedName name="cabmeio" localSheetId="3">#REF!</definedName>
    <definedName name="cabmeio">#REF!</definedName>
    <definedName name="CAIA">"'file:///D:/Meus documentos/ANASTÁCIO/SERCEL/BR262990800.xls'#$SERVIÇOS.$#REF!$#REF!"</definedName>
    <definedName name="CAMI">"$#REF!.$D$13"</definedName>
    <definedName name="CAP20W">"$#REF!.$J$14"</definedName>
    <definedName name="CAP20WA">"$#REF!.$J$13"</definedName>
    <definedName name="CAPSEL">[2]SERVIÇOS!$G$25</definedName>
    <definedName name="CAPTOTAL">"$#REF!.$J$12"</definedName>
    <definedName name="CARRO">'[5]CALCULOS AUXILIARES'!$E$12</definedName>
    <definedName name="CCP">[6]SERVIÇOS!$G$59</definedName>
    <definedName name="CCPW">"$#REF!.$E$34"</definedName>
    <definedName name="CCPWA">"$#REF!.$E$33"</definedName>
    <definedName name="CD">[6]SERVIÇOS!$G$13</definedName>
    <definedName name="CD97A">"$#REF!.$H$80"</definedName>
    <definedName name="CD97AW">"$#REF!.$H$82"</definedName>
    <definedName name="CDW">"$#REF!.$H$41"</definedName>
    <definedName name="CDWA">"$#REF!.$H$40"</definedName>
    <definedName name="CM">"$#REF!.$O$31"</definedName>
    <definedName name="CM30W">"$#REF!.$I$14"</definedName>
    <definedName name="CM30WA">"$#REF!.$I$13"</definedName>
    <definedName name="CMTOTAL">"$#REF!.$I$12"</definedName>
    <definedName name="CMW">"$#REF!.$O$33"</definedName>
    <definedName name="CMWA">"$#REF!.$O$32"</definedName>
    <definedName name="CODIGO" localSheetId="3">#REF!</definedName>
    <definedName name="CODIGO" localSheetId="2">#REF!</definedName>
    <definedName name="CODIGO">#REF!</definedName>
    <definedName name="CONTR">[6]SERVIÇOS!$I$5</definedName>
    <definedName name="Cron" localSheetId="5" hidden="1">{#N/A,#N/A,FALSE,"MO (2)"}</definedName>
    <definedName name="Cron" localSheetId="3" hidden="1">{#N/A,#N/A,FALSE,"MO (2)"}</definedName>
    <definedName name="Cron" hidden="1">{#N/A,#N/A,FALSE,"MO (2)"}</definedName>
    <definedName name="cronograma" localSheetId="5" hidden="1">{#N/A,#N/A,TRUE,"Plan1"}</definedName>
    <definedName name="cronograma" localSheetId="3" hidden="1">{#N/A,#N/A,TRUE,"Plan1"}</definedName>
    <definedName name="cronograma" localSheetId="2" hidden="1">{#N/A,#N/A,TRUE,"Plan1"}</definedName>
    <definedName name="cronograma" localSheetId="0" hidden="1">{#N/A,#N/A,TRUE,"Plan1"}</definedName>
    <definedName name="cronograma" hidden="1">{#N/A,#N/A,TRUE,"Plan1"}</definedName>
    <definedName name="cronograma1" localSheetId="3" hidden="1">{#N/A,#N/A,TRUE,"Plan1"}</definedName>
    <definedName name="cronograma1" localSheetId="2" hidden="1">{#N/A,#N/A,TRUE,"Plan1"}</definedName>
    <definedName name="cronograma1" localSheetId="0" hidden="1">{#N/A,#N/A,TRUE,"Plan1"}</definedName>
    <definedName name="cronograma1" hidden="1">{#N/A,#N/A,TRUE,"Plan1"}</definedName>
    <definedName name="data" localSheetId="3">#REF!</definedName>
    <definedName name="data">#REF!</definedName>
    <definedName name="DCA">"$#REF!.$E$31"</definedName>
    <definedName name="DCAW">"$#REF!.$E$33"</definedName>
    <definedName name="densidade_cap" localSheetId="3">#REF!</definedName>
    <definedName name="densidade_cap">#REF!</definedName>
    <definedName name="DIA">"$#REF!.$H$4"</definedName>
    <definedName name="DMT" localSheetId="3">#REF!</definedName>
    <definedName name="DMT" localSheetId="2">#REF!</definedName>
    <definedName name="DMT">#REF!</definedName>
    <definedName name="DMT_0_50" localSheetId="3">#REF!</definedName>
    <definedName name="DMT_0_50">#REF!</definedName>
    <definedName name="DMT_1000" localSheetId="3">#REF!</definedName>
    <definedName name="DMT_1000">#REF!</definedName>
    <definedName name="DMT_200" localSheetId="3">#REF!</definedName>
    <definedName name="DMT_200">#REF!</definedName>
    <definedName name="DMT_200_400" localSheetId="3">#REF!</definedName>
    <definedName name="DMT_200_400">#REF!</definedName>
    <definedName name="DMT_400" localSheetId="3">#REF!</definedName>
    <definedName name="DMT_400">#REF!</definedName>
    <definedName name="DMT_400_600" localSheetId="3">#REF!</definedName>
    <definedName name="DMT_400_600">#REF!</definedName>
    <definedName name="DMT_50" localSheetId="3">#REF!</definedName>
    <definedName name="DMT_50">#REF!</definedName>
    <definedName name="DMT_50_200" localSheetId="3">#REF!</definedName>
    <definedName name="DMT_50_200">#REF!</definedName>
    <definedName name="DMT_600" localSheetId="3">#REF!</definedName>
    <definedName name="DMT_600">#REF!</definedName>
    <definedName name="DMT_800" localSheetId="3">#REF!</definedName>
    <definedName name="DMT_800">#REF!</definedName>
    <definedName name="DNIT1">[5]Pato!$A$1</definedName>
    <definedName name="drena" localSheetId="3">#REF!</definedName>
    <definedName name="drena">#REF!</definedName>
    <definedName name="DTMED">"$#REF!.$C$8"</definedName>
    <definedName name="EA">[6]SERVIÇOS!$G$32</definedName>
    <definedName name="ee" localSheetId="3">[7]reg_mec_fx_dm_!#REF!</definedName>
    <definedName name="ee" localSheetId="2">[7]reg_mec_fx_dm_!#REF!</definedName>
    <definedName name="ee">[8]reg_mec_fx_dm_!#REF!</definedName>
    <definedName name="EM">"$#REF!.$E$30"</definedName>
    <definedName name="EMP">[6]SERVIÇOS!$I$6</definedName>
    <definedName name="Empo" localSheetId="3">#REF!</definedName>
    <definedName name="Empo">#REF!</definedName>
    <definedName name="Empolamento" localSheetId="3">#REF!</definedName>
    <definedName name="Empolamento">#REF!</definedName>
    <definedName name="EMW">"$#REF!.$E$32"</definedName>
    <definedName name="EMWA">"$#REF!.$E$31"</definedName>
    <definedName name="EU" localSheetId="5" hidden="1">{#N/A,#N/A,FALSE,"MO (2)"}</definedName>
    <definedName name="EU" localSheetId="3" hidden="1">{#N/A,#N/A,FALSE,"MO (2)"}</definedName>
    <definedName name="EU" hidden="1">{#N/A,#N/A,FALSE,"MO (2)"}</definedName>
    <definedName name="Excel_BuiltIn_Print_Area_2">"$Quad_Quant_.$#REF!$#REF!:$#REF!$#REF!"</definedName>
    <definedName name="Excel_BuiltIn_Print_Area_7" localSheetId="3">[7]reg_mec_fx_dm_!#REF!</definedName>
    <definedName name="Excel_BuiltIn_Print_Area_7" localSheetId="2">[7]reg_mec_fx_dm_!#REF!</definedName>
    <definedName name="Excel_BuiltIn_Print_Area_7">[8]reg_mec_fx_dm_!#REF!</definedName>
    <definedName name="EXT" localSheetId="3">#REF!</definedName>
    <definedName name="EXT" localSheetId="2">#REF!</definedName>
    <definedName name="EXT">#REF!</definedName>
    <definedName name="EXTENSÃO">[5]Croqui!$A$7</definedName>
    <definedName name="EXTENSÃO1">[5]Croqui!$B$7</definedName>
    <definedName name="FAT" localSheetId="3">#REF!</definedName>
    <definedName name="FAT" localSheetId="2">#REF!</definedName>
    <definedName name="FAT">#REF!</definedName>
    <definedName name="FCT" localSheetId="3">#REF!</definedName>
    <definedName name="FCT" localSheetId="2">#REF!</definedName>
    <definedName name="FCT">#REF!</definedName>
    <definedName name="FE">"'file:///D:/Meus documentos/ANASTÁCIO/SERCEL/BR262990800.xls'#$SERVIÇOS.$#REF!$#REF!"</definedName>
    <definedName name="fgff" localSheetId="5" hidden="1">{#N/A,#N/A,FALSE,"MO (2)"}</definedName>
    <definedName name="fgff" localSheetId="3" hidden="1">{#N/A,#N/A,FALSE,"MO (2)"}</definedName>
    <definedName name="fgff" hidden="1">{#N/A,#N/A,FALSE,"MO (2)"}</definedName>
    <definedName name="FM">"$#REF!.$E$31"</definedName>
    <definedName name="FMW">"$#REF!.$E$33"</definedName>
    <definedName name="FMWA">"$#REF!.$E$32"</definedName>
    <definedName name="GP">"'file:///D:/Meus documentos/ANASTÁCIO/SERCEL/BR262990800.xls'#$SERVIÇOS.$#REF!$#REF!"</definedName>
    <definedName name="IND" localSheetId="3">#REF!</definedName>
    <definedName name="IND" localSheetId="2">#REF!</definedName>
    <definedName name="IND">#REF!</definedName>
    <definedName name="INDI22" localSheetId="3">#REF!</definedName>
    <definedName name="INDI22">#REF!</definedName>
    <definedName name="inic" localSheetId="3">#REF!</definedName>
    <definedName name="inic">#REF!</definedName>
    <definedName name="koae" localSheetId="3">#REF!</definedName>
    <definedName name="koae">#REF!</definedName>
    <definedName name="kpavi" localSheetId="3">#REF!</definedName>
    <definedName name="kpavi">#REF!</definedName>
    <definedName name="kterra" localSheetId="3">#REF!</definedName>
    <definedName name="kterra">#REF!</definedName>
    <definedName name="la" localSheetId="5" hidden="1">{#N/A,#N/A,FALSE,"MO (2)"}</definedName>
    <definedName name="la" localSheetId="3" hidden="1">{#N/A,#N/A,FALSE,"MO (2)"}</definedName>
    <definedName name="la" hidden="1">{#N/A,#N/A,FALSE,"MO (2)"}</definedName>
    <definedName name="LDD">"'file:///D:/Meus documentos/ANASTÁCIO/SERCEL/BR262990800.xls'#$SERVIÇOS.$#REF!$#REF!"</definedName>
    <definedName name="LDI" localSheetId="3">#REF!</definedName>
    <definedName name="LDI" localSheetId="2">#REF!</definedName>
    <definedName name="LDI">#REF!</definedName>
    <definedName name="LOCAL">"$#REF!.$D$5"</definedName>
    <definedName name="LOTE">[5]Croqui!$I$6</definedName>
    <definedName name="LP">"$#REF!.$E$28"</definedName>
    <definedName name="LPW">"$#REF!.$E$30"</definedName>
    <definedName name="LPWA">"$#REF!.$E$29"</definedName>
    <definedName name="LS">"$#REF!.$E$27"</definedName>
    <definedName name="LSW">"$#REF!.$E$29"</definedName>
    <definedName name="LSWA">"$#REF!.$E$28"</definedName>
    <definedName name="LVC">"'file:///D:/Meus documentos/ANASTÁCIO/SERCEL/BR262990800.xls'#$SERVIÇOS.$#REF!$#REF!"</definedName>
    <definedName name="LVD">"'file:///D:/Meus documentos/ANASTÁCIO/SERCEL/BR262990800.xls'#$SERVIÇOS.$#REF!$#REF!"</definedName>
    <definedName name="m" localSheetId="3">#REF!</definedName>
    <definedName name="m" localSheetId="0">'[9]materiais drenagem'!$C$14</definedName>
    <definedName name="m">#REF!</definedName>
    <definedName name="MATBET" localSheetId="3">#REF!</definedName>
    <definedName name="MATBET" localSheetId="2">#REF!</definedName>
    <definedName name="MATBET">#REF!</definedName>
    <definedName name="MBQ">[6]SERVIÇOS!$G$57</definedName>
    <definedName name="MBR">"$#REF!.$I$34"</definedName>
    <definedName name="MBUF">"$#REF!.$D$12"</definedName>
    <definedName name="MBUFW">"$#REF!.$D$14"</definedName>
    <definedName name="MBUFWA">"$#REF!.$D$13"</definedName>
    <definedName name="MBUQ">"$#REF!.$E$12"</definedName>
    <definedName name="MBUQW">"$#REF!.$E$14"</definedName>
    <definedName name="MBUQWA">"$#REF!.$E$13"</definedName>
    <definedName name="MD">[6]SERVIÇOS!$G$60</definedName>
    <definedName name="MEIO_FIO" localSheetId="3">#REF!</definedName>
    <definedName name="MEIO_FIO">#REF!</definedName>
    <definedName name="MES">"$#REF!.$C$4"</definedName>
    <definedName name="MÊS" localSheetId="3">#REF!</definedName>
    <definedName name="MÊS" localSheetId="2">#REF!</definedName>
    <definedName name="MÊS">#REF!</definedName>
    <definedName name="mo_base">[4]Base!$U$39</definedName>
    <definedName name="mo_sub_base">'[4]Sub-base'!$U$36</definedName>
    <definedName name="NUMED">"$#REF!.$C$3"</definedName>
    <definedName name="oac" localSheetId="3">#REF!</definedName>
    <definedName name="oac">#REF!</definedName>
    <definedName name="oae" localSheetId="3">#REF!</definedName>
    <definedName name="oae">#REF!</definedName>
    <definedName name="ocom" localSheetId="3">#REF!</definedName>
    <definedName name="ocom">#REF!</definedName>
    <definedName name="Orçamento" localSheetId="3">[10]Orçamento!$A$13:$D$34</definedName>
    <definedName name="Orçamento" localSheetId="2">[10]Orçamento!$A$13:$D$34</definedName>
    <definedName name="Orçamento">[11]Orçamento!$A$13:$D$34</definedName>
    <definedName name="PATO" localSheetId="3">#REF!</definedName>
    <definedName name="PATO" localSheetId="2">#REF!</definedName>
    <definedName name="PATO">#REF!</definedName>
    <definedName name="PAVI" localSheetId="3">#REF!</definedName>
    <definedName name="PAVI">#REF!</definedName>
    <definedName name="PCAIA">"'file:///D:/Meus documentos/ANASTÁCIO/SERCEL/BR262990800.xls'#$SERVIÇOS.$#REF!$#REF!"</definedName>
    <definedName name="PEN">[2]SERVIÇOS!$G$59</definedName>
    <definedName name="PG">"$#REF!.$C$1"</definedName>
    <definedName name="PGP">"'file:///D:/Meus documentos/ANASTÁCIO/SERCEL/BR262990800.xls'#$SERVIÇOS.$#REF!$#REF!"</definedName>
    <definedName name="PL">"$#REF!.$F$12"</definedName>
    <definedName name="plano" localSheetId="3">#REF!</definedName>
    <definedName name="plano">#REF!</definedName>
    <definedName name="PLCD">"$#REF!.$L$39"</definedName>
    <definedName name="PLCD97">"$#REF!.$L$80"</definedName>
    <definedName name="PLDD">"'file:///D:/Meus documentos/ANASTÁCIO/SERCEL/BR262990800.xls'#$SERVIÇOS.$#REF!$#REF!"</definedName>
    <definedName name="PLIQ">"$#REF!.$C$5"</definedName>
    <definedName name="pliq1">"$#REF!.$C$6"</definedName>
    <definedName name="PLMBUQ">"$#REF!.$L$32"</definedName>
    <definedName name="PLVC">"'file:///D:/Meus documentos/ANASTÁCIO/SERCEL/BR262990800.xls'#$SERVIÇOS.$#REF!$#REF!"</definedName>
    <definedName name="PLVD">"'file:///D:/Meus documentos/ANASTÁCIO/SERCEL/BR262990800.xls'#$SERVIÇOS.$#REF!$#REF!"</definedName>
    <definedName name="PLW">"$#REF!.$F$14"</definedName>
    <definedName name="PLWA">"$#REF!.$F$13"</definedName>
    <definedName name="PRDM">"'file:///D:/Meus documentos/ANASTÁCIO/SERCEL/BR262990800.xls'#$SERVIÇOS.$#REF!$#REF!"</definedName>
    <definedName name="Print_Area_MI" localSheetId="3">#REF!</definedName>
    <definedName name="Print_Area_MI" localSheetId="2">#REF!</definedName>
    <definedName name="Print_Area_MI">#REF!</definedName>
    <definedName name="PRINT_TITLES_MI" localSheetId="3">#REF!</definedName>
    <definedName name="PRINT_TITLES_MI" localSheetId="2">#REF!</definedName>
    <definedName name="PRINT_TITLES_MI">#REF!</definedName>
    <definedName name="PRMCC">"'file:///D:/Meus documentos/ANASTÁCIO/SERCEL/BR262990800.xls'#$SERVIÇOS.$#REF!$#REF!"</definedName>
    <definedName name="PRRMBF">"'file:///D:/Meus documentos/ANASTÁCIO/SERCEL/BR262990800.xls'#$SERVIÇOS.$#REF!$#REF!"</definedName>
    <definedName name="QUANT_acumu" localSheetId="3">#REF!</definedName>
    <definedName name="QUANT_acumu">#REF!</definedName>
    <definedName name="RDM">"'file:///D:/Meus documentos/ANASTÁCIO/SERCEL/BR262990800.xls'#$SERVIÇOS.$#REF!$#REF!"</definedName>
    <definedName name="rea" localSheetId="3">#REF!</definedName>
    <definedName name="rea">#REF!</definedName>
    <definedName name="REAJ">"$#REF!.$F$16"</definedName>
    <definedName name="REG" localSheetId="3">#REF!</definedName>
    <definedName name="REG">#REF!</definedName>
    <definedName name="REGULA" localSheetId="3">#REF!</definedName>
    <definedName name="REGULA">#REF!</definedName>
    <definedName name="RELATÓRIO_DOS_SERVIÇOS_EXECUTADOS" localSheetId="3">#REF!</definedName>
    <definedName name="RELATÓRIO_DOS_SERVIÇOS_EXECUTADOS">#REF!</definedName>
    <definedName name="resumo" localSheetId="3" hidden="1">{#N/A,#N/A,TRUE,"Plan1"}</definedName>
    <definedName name="resumo" localSheetId="2" hidden="1">{#N/A,#N/A,TRUE,"Plan1"}</definedName>
    <definedName name="resumo" localSheetId="0" hidden="1">{#N/A,#N/A,TRUE,"Plan1"}</definedName>
    <definedName name="resumo" hidden="1">{#N/A,#N/A,TRUE,"Plan1"}</definedName>
    <definedName name="resumou" localSheetId="5" hidden="1">{#N/A,#N/A,TRUE,"Plan1"}</definedName>
    <definedName name="resumou" localSheetId="3" hidden="1">{#N/A,#N/A,TRUE,"Plan1"}</definedName>
    <definedName name="resumou" localSheetId="2" hidden="1">{#N/A,#N/A,TRUE,"Plan1"}</definedName>
    <definedName name="resumou" localSheetId="0" hidden="1">{#N/A,#N/A,TRUE,"Plan1"}</definedName>
    <definedName name="resumou" hidden="1">{#N/A,#N/A,TRUE,"Plan1"}</definedName>
    <definedName name="RM">"$#REF!.$E$31"</definedName>
    <definedName name="RM1CW">"$#REF!.$G$14"</definedName>
    <definedName name="RM1CWA">"$#REF!.$G$13"</definedName>
    <definedName name="RMA">"$#REF!.$E$28"</definedName>
    <definedName name="RMAW">"$#REF!.$E$30"</definedName>
    <definedName name="RMAWA">"$#REF!.$E$29"</definedName>
    <definedName name="RMCC">"'file:///D:/Meus documentos/ANASTÁCIO/SERCEL/BR262990800.xls'#$SERVIÇOS.$#REF!$#REF!"</definedName>
    <definedName name="RMCCW">"$#REF!.$J$33"</definedName>
    <definedName name="RMCCWA">"$#REF!.$J$32"</definedName>
    <definedName name="RMTOTAL">"$#REF!.$G$12"</definedName>
    <definedName name="RMW">"$#REF!.$E$33"</definedName>
    <definedName name="RMWA">"$#REF!.$E$32"</definedName>
    <definedName name="RMZ">"'file:///D:/Meus documentos/ANASTÁCIO/SERCEL/BR262990800.xls'#$SERVIÇOS.$#REF!$#REF!"</definedName>
    <definedName name="RMZW">"$#REF!.$J$30"</definedName>
    <definedName name="RMZWA">"$#REF!.$J$29"</definedName>
    <definedName name="RODOVIA" localSheetId="3">#REF!</definedName>
    <definedName name="RODOVIA" localSheetId="2">#REF!</definedName>
    <definedName name="RODOVIA">#REF!</definedName>
    <definedName name="RP">[6]SERVIÇOS!$G$12</definedName>
    <definedName name="RPW">"$#REF!.$K$36"</definedName>
    <definedName name="RPWA">"$#REF!.$K$35"</definedName>
    <definedName name="RPZ">"'file:///D:/Meus documentos/ANASTÁCIO/SERCEL/BR262990800.xls'#$SERVIÇOS.$#REF!$#REF!"</definedName>
    <definedName name="RR1CW">"$#REF!.$H$14"</definedName>
    <definedName name="RR1CWA">"$#REF!.$H$13"</definedName>
    <definedName name="RRMBF">"'file:///D:/Meus documentos/ANASTÁCIO/SERCEL/BR262990800.xls'#$SERVIÇOS.$#REF!$#REF!"</definedName>
    <definedName name="RRMBUQ">"$#REF!.$H$32"</definedName>
    <definedName name="RRMBUQW">"$#REF!.$H$34"</definedName>
    <definedName name="RRMBUQWA">"$#REF!.$H$33"</definedName>
    <definedName name="RRTOTAL">"$#REF!.$H$12"</definedName>
    <definedName name="rz">[6]SERVIÇOS!$G$37</definedName>
    <definedName name="SASA" localSheetId="5" hidden="1">{#N/A,#N/A,FALSE,"MO (2)"}</definedName>
    <definedName name="SASA" localSheetId="3" hidden="1">{#N/A,#N/A,FALSE,"MO (2)"}</definedName>
    <definedName name="SASA" hidden="1">{#N/A,#N/A,FALSE,"MO (2)"}</definedName>
    <definedName name="SASASA" localSheetId="5" hidden="1">{#N/A,#N/A,FALSE,"MO (2)"}</definedName>
    <definedName name="SASASA" localSheetId="3" hidden="1">{#N/A,#N/A,FALSE,"MO (2)"}</definedName>
    <definedName name="SASASA" hidden="1">{#N/A,#N/A,FALSE,"MO (2)"}</definedName>
    <definedName name="SB">"'file:///D:/Meus documentos/ANASTÁCIO/SERCEL/BR262990800.xls'#$SERVIÇOS.$#REF!$#REF!"</definedName>
    <definedName name="SBRP">"'file:///D:/Meus documentos/ANASTÁCIO/SERCEL/BR262990800.xls'#$SERVIÇOS.$#REF!$#REF!"</definedName>
    <definedName name="SCB">[6]SERVIÇOS!$G$55</definedName>
    <definedName name="SEGMENTO" localSheetId="3">#REF!</definedName>
    <definedName name="SEGMENTO" localSheetId="2">#REF!</definedName>
    <definedName name="SEGMENTO">#REF!</definedName>
    <definedName name="SERV">"$#REF!.$C$7"</definedName>
    <definedName name="Serviços" localSheetId="3">[12]Serviços!$A$3:$AF$1403</definedName>
    <definedName name="Serviços" localSheetId="2">[12]Serviços!$A$3:$AF$1403</definedName>
    <definedName name="Serviços">[13]Serviços!$A$3:$AF$1403</definedName>
    <definedName name="SM">"$#REF!.$J$34"</definedName>
    <definedName name="SMW">"$#REF!.$J$36"</definedName>
    <definedName name="SMWA">"$#REF!.$J$35"</definedName>
    <definedName name="SRROO">[5]Croqui!$I$4</definedName>
    <definedName name="SS" localSheetId="5" hidden="1">{#N/A,#N/A,FALSE,"MO (2)"}</definedName>
    <definedName name="SS" localSheetId="3" hidden="1">{#N/A,#N/A,FALSE,"MO (2)"}</definedName>
    <definedName name="SS" hidden="1">{#N/A,#N/A,FALSE,"MO (2)"}</definedName>
    <definedName name="SSS" localSheetId="5" hidden="1">{#N/A,#N/A,FALSE,"MO (2)"}</definedName>
    <definedName name="SSS" localSheetId="3" hidden="1">{#N/A,#N/A,FALSE,"MO (2)"}</definedName>
    <definedName name="SSS" hidden="1">{#N/A,#N/A,FALSE,"MO (2)"}</definedName>
    <definedName name="STR">[6]ORÇAMENTO!$B$6</definedName>
    <definedName name="SUBT1" localSheetId="3">#REF!</definedName>
    <definedName name="SUBT1" localSheetId="2">#REF!</definedName>
    <definedName name="SUBT1">#REF!</definedName>
    <definedName name="SUBTRECHO" localSheetId="3">#REF!</definedName>
    <definedName name="SUBTRECHO" localSheetId="2">#REF!</definedName>
    <definedName name="SUBTRECHO">#REF!</definedName>
    <definedName name="SUBTRECHO1">[5]Croqui!$B$6</definedName>
    <definedName name="TABELA">"$#REF!.$B$32"</definedName>
    <definedName name="Tachas" localSheetId="5" hidden="1">{#N/A,#N/A,TRUE,"Plan1"}</definedName>
    <definedName name="Tachas" localSheetId="3" hidden="1">{#N/A,#N/A,TRUE,"Plan1"}</definedName>
    <definedName name="Tachas" hidden="1">{#N/A,#N/A,TRUE,"Plan1"}</definedName>
    <definedName name="taxa_cap" localSheetId="3">#REF!</definedName>
    <definedName name="taxa_cap">#REF!</definedName>
    <definedName name="TB">[6]SERVIÇOS!$G$11</definedName>
    <definedName name="TBW">"$#REF!.$E$33"</definedName>
    <definedName name="TBWA">"$#REF!.$E$32"</definedName>
    <definedName name="TCB">"$#REF!.$G$31"</definedName>
    <definedName name="TCB10M3" localSheetId="3">#REF!</definedName>
    <definedName name="TCB10M3" localSheetId="2">#REF!</definedName>
    <definedName name="TCB10M3">#REF!</definedName>
    <definedName name="TCB5M3">"$#REF!.$J$32"</definedName>
    <definedName name="TCBMBUQ">"$#REF!.$K$32"</definedName>
    <definedName name="TCBW">"$#REF!.$G$33"</definedName>
    <definedName name="TCBWA">"$#REF!.$G$32"</definedName>
    <definedName name="TCC">"$#REF!.$G$44"</definedName>
    <definedName name="TCC4TCONCR">"$#REF!.$I$32"</definedName>
    <definedName name="TCC4TFORMA">"$#REF!.$H$31"</definedName>
    <definedName name="TCCBRMZ">"$#REF!.$M$28"</definedName>
    <definedName name="TCCW">"$#REF!.$G$46"</definedName>
    <definedName name="TCCWA">"$#REF!.$G$45"</definedName>
    <definedName name="TEB">"$#REF!.$G$16"</definedName>
    <definedName name="TEBW">"$#REF!.$G$18"</definedName>
    <definedName name="TEBWA">"$#REF!.$G$17"</definedName>
    <definedName name="TECD">"$#REF!.$K$39"</definedName>
    <definedName name="TECD97">"$#REF!.$K$80"</definedName>
    <definedName name="TERP">"$#REF!.$P$34"</definedName>
    <definedName name="terra" localSheetId="3">#REF!</definedName>
    <definedName name="terra">#REF!</definedName>
    <definedName name="TESM">"$#REF!.$Q$34"</definedName>
    <definedName name="TETB">"$#REF!.$H$30"</definedName>
    <definedName name="TETB97">"$#REF!.$H$70"</definedName>
    <definedName name="_xlnm.Print_Titles" localSheetId="6">Cronograma!$1:$3</definedName>
    <definedName name="_xlnm.Print_Titles" localSheetId="1">Orçamento!$3:$4</definedName>
    <definedName name="TLC4T" localSheetId="3">#REF!</definedName>
    <definedName name="TLC4T" localSheetId="2">#REF!</definedName>
    <definedName name="TLC4T">#REF!</definedName>
    <definedName name="TLMR" localSheetId="3">#REF!</definedName>
    <definedName name="TLMR" localSheetId="2">#REF!</definedName>
    <definedName name="TLMR">#REF!</definedName>
    <definedName name="TR">[6]ORÇAMENTO!$B$5</definedName>
    <definedName name="TRABALHO" localSheetId="3">#REF!</definedName>
    <definedName name="TRABALHO" localSheetId="2">#REF!</definedName>
    <definedName name="TRABALHO">#REF!</definedName>
    <definedName name="TRCAP20">"$#REF!.$I$27"</definedName>
    <definedName name="TRCM30">"$#REF!.$I$28"</definedName>
    <definedName name="TRECHO" localSheetId="3">#REF!</definedName>
    <definedName name="TRECHO" localSheetId="2">#REF!</definedName>
    <definedName name="TRECHO">#REF!</definedName>
    <definedName name="TRECHO1">[5]Croqui!$B$5</definedName>
    <definedName name="TRRM1C">"$#REF!.$I$30"</definedName>
    <definedName name="TRRR1C">"$#REF!.$I$29"</definedName>
    <definedName name="TS2C">"'file:///D:/Meus documentos/ANASTÁCIO/SERCEL/BR262990800.xls'#$TLMB.$#REF!$#REF!"</definedName>
    <definedName name="TSD">"'file:///D:/Meus documentos/ANASTÁCIO/SERCEL/BR262990800.xls'#$SERVIÇOS.$#REF!$#REF!"</definedName>
    <definedName name="VACAP">"$#REF!.$D$38"</definedName>
    <definedName name="VACM">"$#REF!.$D$37"</definedName>
    <definedName name="VARM">"$#REF!.$D$36"</definedName>
    <definedName name="VARR">"$#REF!.$D$34"</definedName>
    <definedName name="VLM">"$#REF!.$#REF!$#REF!"</definedName>
    <definedName name="VLPI">"$#REF!.$#REF!$#REF!"</definedName>
    <definedName name="VLREAJ">"$#REF!.$#REF!$#REF!"</definedName>
    <definedName name="vvv" localSheetId="5" hidden="1">{#N/A,#N/A,FALSE,"MO (2)"}</definedName>
    <definedName name="vvv" localSheetId="3" hidden="1">{#N/A,#N/A,FALSE,"MO (2)"}</definedName>
    <definedName name="vvv" hidden="1">{#N/A,#N/A,FALSE,"MO (2)"}</definedName>
    <definedName name="w" localSheetId="3" hidden="1">{#N/A,#N/A,TRUE,"Plan1"}</definedName>
    <definedName name="w" localSheetId="2" hidden="1">{#N/A,#N/A,TRUE,"Plan1"}</definedName>
    <definedName name="w" localSheetId="0" hidden="1">{#N/A,#N/A,TRUE,"Plan1"}</definedName>
    <definedName name="w" hidden="1">{#N/A,#N/A,TRUE,"Plan1"}</definedName>
    <definedName name="wrn.mo2." localSheetId="5" hidden="1">{#N/A,#N/A,FALSE,"MO (2)"}</definedName>
    <definedName name="wrn.mo2." localSheetId="3" hidden="1">{#N/A,#N/A,FALSE,"MO (2)"}</definedName>
    <definedName name="wrn.mo2." hidden="1">{#N/A,#N/A,FALSE,"MO (2)"}</definedName>
    <definedName name="wrn.relext." localSheetId="5" hidden="1">{#N/A,#N/A,TRUE,"Plan1"}</definedName>
    <definedName name="wrn.relext." localSheetId="3" hidden="1">{#N/A,#N/A,TRUE,"Plan1"}</definedName>
    <definedName name="wrn.relext." localSheetId="2" hidden="1">{#N/A,#N/A,TRUE,"Plan1"}</definedName>
    <definedName name="wrn.relext." localSheetId="0" hidden="1">{#N/A,#N/A,TRUE,"Plan1"}</definedName>
    <definedName name="wrn.relext." hidden="1">{#N/A,#N/A,TRUE,"Plan1"}</definedName>
    <definedName name="ww" localSheetId="3">[7]reg_mec_fx_dm_!#REF!</definedName>
    <definedName name="ww" localSheetId="2">[7]reg_mec_fx_dm_!#REF!</definedName>
    <definedName name="ww">[8]reg_mec_fx_dm_!#REF!</definedName>
    <definedName name="Y" localSheetId="5" hidden="1">{#N/A,#N/A,FALSE,"MO (2)"}</definedName>
    <definedName name="Y" localSheetId="3" hidden="1">{#N/A,#N/A,FALSE,"MO (2)"}</definedName>
    <definedName name="Y" hidden="1">{#N/A,#N/A,FALSE,"MO (2)"}</definedName>
    <definedName name="z" localSheetId="5" hidden="1">{#N/A,#N/A,FALSE,"MO (2)"}</definedName>
    <definedName name="z" localSheetId="3" hidden="1">{#N/A,#N/A,FALSE,"MO (2)"}</definedName>
    <definedName name="z" hidden="1">{#N/A,#N/A,FALSE,"MO (2)"}</definedName>
    <definedName name="zaza" localSheetId="5" hidden="1">{#N/A,#N/A,FALSE,"MO (2)"}</definedName>
    <definedName name="zaza" localSheetId="3" hidden="1">{#N/A,#N/A,FALSE,"MO (2)"}</definedName>
    <definedName name="zaza" hidden="1">{#N/A,#N/A,FALSE,"MO (2)"}</definedName>
  </definedNames>
  <calcPr calcId="152511"/>
</workbook>
</file>

<file path=xl/calcChain.xml><?xml version="1.0" encoding="utf-8"?>
<calcChain xmlns="http://schemas.openxmlformats.org/spreadsheetml/2006/main">
  <c r="F1714" i="2" l="1"/>
  <c r="G1714" i="2"/>
  <c r="P227" i="1"/>
  <c r="Q227" i="1"/>
  <c r="O227" i="1"/>
  <c r="O228" i="1"/>
  <c r="F1716" i="2"/>
  <c r="G1716" i="2" s="1"/>
  <c r="F1715" i="2"/>
  <c r="G1715" i="2" s="1"/>
  <c r="G1717" i="2" s="1"/>
  <c r="F1698" i="2"/>
  <c r="G1718" i="2" l="1"/>
  <c r="G1719" i="2" s="1"/>
  <c r="B1720" i="2" s="1"/>
  <c r="B1722" i="2" l="1"/>
  <c r="B1723" i="2" s="1"/>
  <c r="P228" i="1" s="1"/>
  <c r="Q228" i="1" s="1"/>
  <c r="F1700" i="2" l="1"/>
  <c r="G1700" i="2" s="1"/>
  <c r="F1699" i="2"/>
  <c r="G1699" i="2" s="1"/>
  <c r="G1701" i="2" s="1"/>
  <c r="G1698" i="2"/>
  <c r="G1702" i="2" l="1"/>
  <c r="G1703" i="2" s="1"/>
  <c r="B1704" i="2" s="1"/>
  <c r="B1706" i="2" s="1"/>
  <c r="B1707" i="2" s="1"/>
  <c r="P86" i="1"/>
  <c r="W86" i="1"/>
  <c r="S86" i="1"/>
  <c r="U86" i="1"/>
  <c r="V86" i="1" s="1"/>
  <c r="X86" i="1" l="1"/>
  <c r="P88" i="1" l="1"/>
  <c r="P85" i="1"/>
  <c r="P87" i="1" s="1"/>
  <c r="F786" i="2"/>
  <c r="G786" i="2" s="1"/>
  <c r="F785" i="2"/>
  <c r="F784" i="2"/>
  <c r="F783" i="2"/>
  <c r="G787" i="2"/>
  <c r="G785" i="2"/>
  <c r="G784" i="2"/>
  <c r="G783" i="2"/>
  <c r="G789" i="2" l="1"/>
  <c r="G788" i="2"/>
  <c r="O26" i="1"/>
  <c r="Q26" i="1" s="1"/>
  <c r="G790" i="2" l="1"/>
  <c r="B791" i="2" s="1"/>
  <c r="B793" i="2" s="1"/>
  <c r="H62" i="4"/>
  <c r="I62" i="4" s="1"/>
  <c r="S378" i="1"/>
  <c r="S377" i="1"/>
  <c r="S373" i="1"/>
  <c r="S374" i="1"/>
  <c r="S375" i="1"/>
  <c r="S376" i="1"/>
  <c r="S372" i="1"/>
  <c r="E54" i="1"/>
  <c r="N19" i="1"/>
  <c r="O264" i="1"/>
  <c r="P264" i="1"/>
  <c r="B794" i="2" l="1"/>
  <c r="P84" i="1" s="1"/>
  <c r="Q264" i="1"/>
  <c r="F1148" i="2"/>
  <c r="G1148" i="2" s="1"/>
  <c r="F1147" i="2"/>
  <c r="G1147" i="2" s="1"/>
  <c r="F1150" i="2"/>
  <c r="G1150" i="2" s="1"/>
  <c r="F1149" i="2"/>
  <c r="G1149" i="2" s="1"/>
  <c r="G1151" i="2"/>
  <c r="H112" i="1"/>
  <c r="E112" i="1"/>
  <c r="F1110" i="2"/>
  <c r="G1110" i="2" s="1"/>
  <c r="F1109" i="2"/>
  <c r="F1108" i="2"/>
  <c r="F1107" i="2"/>
  <c r="F1114" i="2"/>
  <c r="G1113" i="2"/>
  <c r="G1112" i="2"/>
  <c r="G1111" i="2"/>
  <c r="G1114" i="2"/>
  <c r="G1109" i="2"/>
  <c r="G1108" i="2"/>
  <c r="G1107" i="2"/>
  <c r="P315" i="1"/>
  <c r="H115" i="1"/>
  <c r="G115" i="1"/>
  <c r="E115" i="1"/>
  <c r="P314" i="1"/>
  <c r="F1252" i="2"/>
  <c r="G1252" i="2" s="1"/>
  <c r="F1251" i="2"/>
  <c r="F1250" i="2"/>
  <c r="F1249" i="2"/>
  <c r="G1249" i="2" s="1"/>
  <c r="G1253" i="2"/>
  <c r="G1251" i="2"/>
  <c r="G1250" i="2"/>
  <c r="O273" i="1"/>
  <c r="F1232" i="2"/>
  <c r="G1232" i="2" s="1"/>
  <c r="F1231" i="2"/>
  <c r="G1231" i="2" s="1"/>
  <c r="F1230" i="2"/>
  <c r="G1230" i="2" s="1"/>
  <c r="F1229" i="2"/>
  <c r="G1229" i="2" s="1"/>
  <c r="G1235" i="2"/>
  <c r="P272" i="1"/>
  <c r="N272" i="1"/>
  <c r="N274" i="1" s="1"/>
  <c r="J83" i="1"/>
  <c r="P124" i="1"/>
  <c r="P123" i="1"/>
  <c r="H124" i="1"/>
  <c r="G124" i="1"/>
  <c r="E124" i="1"/>
  <c r="E125" i="1"/>
  <c r="B91" i="8"/>
  <c r="B90" i="8"/>
  <c r="B89" i="8"/>
  <c r="B95" i="8"/>
  <c r="O112" i="1" l="1"/>
  <c r="O272" i="1"/>
  <c r="G1153" i="2"/>
  <c r="G1152" i="2"/>
  <c r="G1116" i="2"/>
  <c r="G1115" i="2"/>
  <c r="N275" i="1"/>
  <c r="O275" i="1" s="1"/>
  <c r="O274" i="1"/>
  <c r="G1255" i="2"/>
  <c r="F1234" i="2" s="1"/>
  <c r="G1234" i="2" s="1"/>
  <c r="G1237" i="2" s="1"/>
  <c r="G1254" i="2"/>
  <c r="F1233" i="2" s="1"/>
  <c r="G1233" i="2" s="1"/>
  <c r="G1236" i="2" s="1"/>
  <c r="Q272" i="1"/>
  <c r="O124" i="1"/>
  <c r="Q124" i="1" s="1"/>
  <c r="H76" i="1"/>
  <c r="M61" i="1"/>
  <c r="I61" i="1"/>
  <c r="K61" i="1"/>
  <c r="J61" i="1"/>
  <c r="H61" i="1"/>
  <c r="E61" i="1"/>
  <c r="G1154" i="2" l="1"/>
  <c r="B1155" i="2" s="1"/>
  <c r="B1157" i="2" s="1"/>
  <c r="B1158" i="2" s="1"/>
  <c r="P112" i="1" s="1"/>
  <c r="Q112" i="1" s="1"/>
  <c r="G1117" i="2"/>
  <c r="B1118" i="2" s="1"/>
  <c r="B1120" i="2" s="1"/>
  <c r="B1121" i="2" s="1"/>
  <c r="P115" i="1" s="1"/>
  <c r="G1256" i="2"/>
  <c r="B1257" i="2" s="1"/>
  <c r="B1259" i="2" s="1"/>
  <c r="B1260" i="2" s="1"/>
  <c r="G1238" i="2"/>
  <c r="B1239" i="2" s="1"/>
  <c r="B1241" i="2" s="1"/>
  <c r="B1242" i="2" s="1"/>
  <c r="P273" i="1" s="1"/>
  <c r="Q273" i="1" s="1"/>
  <c r="N31" i="1"/>
  <c r="N202" i="8"/>
  <c r="N201" i="8"/>
  <c r="N200" i="8"/>
  <c r="N199" i="8"/>
  <c r="B206" i="8"/>
  <c r="N198" i="8"/>
  <c r="B198" i="8"/>
  <c r="F171" i="8"/>
  <c r="B167" i="8"/>
  <c r="K745" i="2" l="1"/>
  <c r="L746" i="2" s="1"/>
  <c r="F744" i="2" l="1"/>
  <c r="F743" i="2"/>
  <c r="F644" i="2"/>
  <c r="F643" i="2"/>
  <c r="F742" i="2"/>
  <c r="F741" i="2"/>
  <c r="H55" i="4" l="1"/>
  <c r="N128" i="1" l="1"/>
  <c r="B108" i="8"/>
  <c r="N52" i="1"/>
  <c r="E53" i="1"/>
  <c r="H127" i="1"/>
  <c r="G127" i="1"/>
  <c r="B110" i="8"/>
  <c r="M105" i="1"/>
  <c r="K105" i="1"/>
  <c r="J105" i="1"/>
  <c r="T21" i="8"/>
  <c r="F627" i="2"/>
  <c r="G627" i="2" s="1"/>
  <c r="F626" i="2"/>
  <c r="G626" i="2" s="1"/>
  <c r="F625" i="2"/>
  <c r="G625" i="2" s="1"/>
  <c r="F624" i="2"/>
  <c r="G624" i="2" s="1"/>
  <c r="M104" i="1"/>
  <c r="K104" i="1"/>
  <c r="J104" i="1"/>
  <c r="L613" i="2"/>
  <c r="J613" i="2" s="1"/>
  <c r="G629" i="2"/>
  <c r="G628" i="2"/>
  <c r="L612" i="2"/>
  <c r="G609" i="2"/>
  <c r="G608" i="2"/>
  <c r="F607" i="2"/>
  <c r="G607" i="2" s="1"/>
  <c r="F606" i="2"/>
  <c r="F605" i="2"/>
  <c r="G605" i="2" s="1"/>
  <c r="F604" i="2"/>
  <c r="G604" i="2" s="1"/>
  <c r="G610" i="2"/>
  <c r="G606" i="2"/>
  <c r="AA14" i="8"/>
  <c r="AA13" i="8"/>
  <c r="O345" i="1"/>
  <c r="O346" i="1"/>
  <c r="O347" i="1"/>
  <c r="O348" i="1"/>
  <c r="O349" i="1"/>
  <c r="O350" i="1"/>
  <c r="O351" i="1"/>
  <c r="O354" i="1"/>
  <c r="P354" i="1"/>
  <c r="O355" i="1"/>
  <c r="O356" i="1"/>
  <c r="M127" i="1"/>
  <c r="H145" i="8"/>
  <c r="B146" i="8"/>
  <c r="F123" i="8"/>
  <c r="E93" i="1"/>
  <c r="O93" i="1" s="1"/>
  <c r="E92" i="1"/>
  <c r="F840" i="2"/>
  <c r="F839" i="2"/>
  <c r="F842" i="2"/>
  <c r="F841" i="2"/>
  <c r="F823" i="2"/>
  <c r="G823" i="2" s="1"/>
  <c r="F822" i="2"/>
  <c r="G822" i="2" s="1"/>
  <c r="F821" i="2"/>
  <c r="G821" i="2" s="1"/>
  <c r="F820" i="2"/>
  <c r="G820" i="2" s="1"/>
  <c r="G825" i="2"/>
  <c r="G824" i="2"/>
  <c r="O104" i="1" l="1"/>
  <c r="O105" i="1"/>
  <c r="M613" i="2"/>
  <c r="G631" i="2"/>
  <c r="G611" i="2"/>
  <c r="G612" i="2"/>
  <c r="G630" i="2"/>
  <c r="Q354" i="1"/>
  <c r="G826" i="2"/>
  <c r="G827" i="2"/>
  <c r="G613" i="2" l="1"/>
  <c r="B614" i="2" s="1"/>
  <c r="B616" i="2" s="1"/>
  <c r="B617" i="2" s="1"/>
  <c r="P104" i="1" s="1"/>
  <c r="Q104" i="1" s="1"/>
  <c r="G632" i="2"/>
  <c r="B633" i="2" s="1"/>
  <c r="B635" i="2" s="1"/>
  <c r="B636" i="2" s="1"/>
  <c r="P105" i="1" s="1"/>
  <c r="Q105" i="1" s="1"/>
  <c r="G828" i="2"/>
  <c r="B829" i="2" s="1"/>
  <c r="B831" i="2" l="1"/>
  <c r="B832" i="2" s="1"/>
  <c r="P93" i="1" s="1"/>
  <c r="Q93" i="1" s="1"/>
  <c r="G840" i="2" l="1"/>
  <c r="G839" i="2"/>
  <c r="G844" i="2"/>
  <c r="G843" i="2"/>
  <c r="G842" i="2"/>
  <c r="G841" i="2"/>
  <c r="F804" i="2"/>
  <c r="G804" i="2" s="1"/>
  <c r="F803" i="2"/>
  <c r="G803" i="2" s="1"/>
  <c r="F422" i="7"/>
  <c r="F449" i="7"/>
  <c r="G449" i="7" s="1"/>
  <c r="G450" i="7" s="1"/>
  <c r="G452" i="7" s="1"/>
  <c r="F415" i="7"/>
  <c r="G415" i="7" s="1"/>
  <c r="G422" i="7"/>
  <c r="F420" i="7"/>
  <c r="G420" i="7" s="1"/>
  <c r="G419" i="7"/>
  <c r="G418" i="7"/>
  <c r="G417" i="7"/>
  <c r="G416" i="7"/>
  <c r="G806" i="2"/>
  <c r="G805" i="2"/>
  <c r="G845" i="2" l="1"/>
  <c r="G846" i="2"/>
  <c r="G423" i="7"/>
  <c r="O87" i="1"/>
  <c r="O88" i="1"/>
  <c r="O86" i="1"/>
  <c r="G847" i="2" l="1"/>
  <c r="B848" i="2" s="1"/>
  <c r="B850" i="2" s="1"/>
  <c r="B851" i="2" s="1"/>
  <c r="P94" i="1" s="1"/>
  <c r="H56" i="4"/>
  <c r="H57" i="4"/>
  <c r="H58" i="4"/>
  <c r="H59" i="4"/>
  <c r="H60" i="4"/>
  <c r="H61" i="4"/>
  <c r="P23" i="1"/>
  <c r="N12" i="1"/>
  <c r="J205" i="2"/>
  <c r="G747" i="2"/>
  <c r="G748" i="2"/>
  <c r="G746" i="2"/>
  <c r="G750" i="2"/>
  <c r="G749" i="2"/>
  <c r="G745" i="2"/>
  <c r="L204" i="2"/>
  <c r="G769" i="2" l="1"/>
  <c r="G768" i="2"/>
  <c r="H122" i="1" l="1"/>
  <c r="P87" i="8"/>
  <c r="P85" i="8"/>
  <c r="P86" i="8"/>
  <c r="E122" i="1"/>
  <c r="P80" i="8"/>
  <c r="P81" i="8"/>
  <c r="G121" i="1"/>
  <c r="P79" i="8"/>
  <c r="G123" i="1" l="1"/>
  <c r="O23" i="1"/>
  <c r="Q23" i="1" s="1"/>
  <c r="O24" i="1"/>
  <c r="I58" i="4"/>
  <c r="H54" i="4"/>
  <c r="I54" i="4" s="1"/>
  <c r="I55" i="4"/>
  <c r="I56" i="4"/>
  <c r="I57" i="4"/>
  <c r="I59" i="4"/>
  <c r="I60" i="4"/>
  <c r="I61" i="4"/>
  <c r="H53" i="4"/>
  <c r="I53" i="4" s="1"/>
  <c r="G12" i="4"/>
  <c r="H12" i="4" s="1"/>
  <c r="I12" i="4" s="1"/>
  <c r="G13" i="4"/>
  <c r="H13" i="4" s="1"/>
  <c r="I13" i="4" s="1"/>
  <c r="G14" i="4"/>
  <c r="H14" i="4" s="1"/>
  <c r="I14" i="4" s="1"/>
  <c r="G15" i="4"/>
  <c r="H15" i="4" s="1"/>
  <c r="I15" i="4" s="1"/>
  <c r="G16" i="4"/>
  <c r="H16" i="4" s="1"/>
  <c r="I16" i="4" s="1"/>
  <c r="G17" i="4"/>
  <c r="H17" i="4" s="1"/>
  <c r="I17" i="4" s="1"/>
  <c r="G18" i="4"/>
  <c r="H18" i="4" s="1"/>
  <c r="I18" i="4" s="1"/>
  <c r="G19" i="4"/>
  <c r="H19" i="4" s="1"/>
  <c r="I19" i="4" s="1"/>
  <c r="G20" i="4"/>
  <c r="H20" i="4" s="1"/>
  <c r="I20" i="4" s="1"/>
  <c r="G11" i="4"/>
  <c r="H11" i="4" s="1"/>
  <c r="I11" i="4" s="1"/>
  <c r="T19" i="8"/>
  <c r="T20" i="8" s="1"/>
  <c r="I63" i="4" l="1"/>
  <c r="I64" i="4" s="1"/>
  <c r="T17" i="8"/>
  <c r="R17" i="8"/>
  <c r="R16" i="8"/>
  <c r="I65" i="4" l="1"/>
  <c r="I66" i="4" s="1"/>
  <c r="I67" i="4" s="1"/>
  <c r="I68" i="4" s="1"/>
  <c r="P294" i="1"/>
  <c r="O294" i="1"/>
  <c r="H296" i="1"/>
  <c r="H295" i="1"/>
  <c r="P295" i="1"/>
  <c r="P296" i="1" s="1"/>
  <c r="F1829" i="2"/>
  <c r="E1811" i="2"/>
  <c r="P24" i="1" l="1"/>
  <c r="Q24" i="1" s="1"/>
  <c r="Q294" i="1"/>
  <c r="P241" i="1"/>
  <c r="O241" i="1"/>
  <c r="E239" i="1"/>
  <c r="O242" i="1"/>
  <c r="P242" i="1"/>
  <c r="P243" i="1"/>
  <c r="O243" i="1"/>
  <c r="O244" i="1"/>
  <c r="P244" i="1"/>
  <c r="P52" i="1"/>
  <c r="L19" i="4"/>
  <c r="M19" i="4" s="1"/>
  <c r="N19" i="4" s="1"/>
  <c r="O19" i="4" s="1"/>
  <c r="L18" i="4"/>
  <c r="M18" i="4" s="1"/>
  <c r="N18" i="4" s="1"/>
  <c r="O18" i="4" s="1"/>
  <c r="H37" i="4"/>
  <c r="I37" i="4" s="1"/>
  <c r="D40" i="4"/>
  <c r="P9" i="1"/>
  <c r="F683" i="2"/>
  <c r="F665" i="2"/>
  <c r="Q244" i="1" l="1"/>
  <c r="Q241" i="1"/>
  <c r="Q242" i="1"/>
  <c r="Q243" i="1"/>
  <c r="P293" i="1"/>
  <c r="P292" i="1"/>
  <c r="P291" i="1"/>
  <c r="P289" i="1"/>
  <c r="P287" i="1"/>
  <c r="P286" i="1"/>
  <c r="P290" i="1"/>
  <c r="P288" i="1"/>
  <c r="P285" i="1"/>
  <c r="H292" i="1"/>
  <c r="H291" i="1"/>
  <c r="H290" i="1"/>
  <c r="H289" i="1"/>
  <c r="H288" i="1"/>
  <c r="H287" i="1"/>
  <c r="H286" i="1"/>
  <c r="H285" i="1"/>
  <c r="P279" i="1"/>
  <c r="P278" i="1"/>
  <c r="P277" i="1"/>
  <c r="P276" i="1"/>
  <c r="P353" i="1"/>
  <c r="P269" i="1"/>
  <c r="P265" i="1"/>
  <c r="G1775" i="2"/>
  <c r="G1774" i="2"/>
  <c r="L15" i="8" l="1"/>
  <c r="N15" i="8"/>
  <c r="E84" i="1" l="1"/>
  <c r="K98" i="2" l="1"/>
  <c r="F499" i="7"/>
  <c r="G499" i="7"/>
  <c r="G500" i="7" s="1"/>
  <c r="G502" i="7" s="1"/>
  <c r="F69" i="7" s="1"/>
  <c r="F62" i="7"/>
  <c r="G62" i="7" s="1"/>
  <c r="G66" i="7"/>
  <c r="G65" i="7"/>
  <c r="G64" i="7"/>
  <c r="G63" i="7"/>
  <c r="G1731" i="2"/>
  <c r="G1732" i="2"/>
  <c r="G1730" i="2"/>
  <c r="P236" i="1"/>
  <c r="K1826" i="2"/>
  <c r="K1825" i="2"/>
  <c r="E232" i="1"/>
  <c r="E233" i="1"/>
  <c r="O233" i="1" s="1"/>
  <c r="G1977" i="7"/>
  <c r="G1976" i="7"/>
  <c r="G1962" i="7"/>
  <c r="G1961" i="7"/>
  <c r="G1947" i="7"/>
  <c r="G1946" i="7"/>
  <c r="M1810" i="2"/>
  <c r="G1838" i="2"/>
  <c r="G1837" i="2"/>
  <c r="G101" i="2" l="1"/>
  <c r="G100" i="2"/>
  <c r="G99" i="2"/>
  <c r="O89" i="1" l="1"/>
  <c r="B22" i="5" l="1"/>
  <c r="B18" i="5"/>
  <c r="B16" i="5"/>
  <c r="B14" i="5"/>
  <c r="B12" i="5"/>
  <c r="B10" i="5"/>
  <c r="J127" i="1"/>
  <c r="F300" i="8" l="1"/>
  <c r="F302" i="8" s="1"/>
  <c r="F303" i="8" s="1"/>
  <c r="O359" i="1" l="1"/>
  <c r="A22" i="5"/>
  <c r="A16" i="5"/>
  <c r="A14" i="5"/>
  <c r="A12" i="5"/>
  <c r="A10" i="5"/>
  <c r="O277" i="1"/>
  <c r="O278" i="1"/>
  <c r="O276" i="1"/>
  <c r="Q276" i="1" s="1"/>
  <c r="P271" i="1"/>
  <c r="P268" i="1"/>
  <c r="P267" i="1"/>
  <c r="N270" i="1"/>
  <c r="O271" i="1"/>
  <c r="Q271" i="1" s="1"/>
  <c r="O269" i="1"/>
  <c r="Q269" i="1" s="1"/>
  <c r="O268" i="1"/>
  <c r="O267" i="1"/>
  <c r="O266" i="1"/>
  <c r="O265" i="1"/>
  <c r="O263" i="1"/>
  <c r="P266" i="1"/>
  <c r="P263" i="1"/>
  <c r="P253" i="1"/>
  <c r="P252" i="1"/>
  <c r="P250" i="1"/>
  <c r="P249" i="1"/>
  <c r="P245" i="1"/>
  <c r="P237" i="1"/>
  <c r="P235" i="1"/>
  <c r="P234" i="1"/>
  <c r="P218" i="1"/>
  <c r="P217" i="1"/>
  <c r="P215" i="1"/>
  <c r="P214" i="1"/>
  <c r="P213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1" i="1"/>
  <c r="P140" i="1"/>
  <c r="P139" i="1"/>
  <c r="P138" i="1"/>
  <c r="P137" i="1"/>
  <c r="P126" i="1"/>
  <c r="P125" i="1"/>
  <c r="P116" i="1"/>
  <c r="Q267" i="1" l="1"/>
  <c r="Q278" i="1"/>
  <c r="Q268" i="1"/>
  <c r="Q277" i="1"/>
  <c r="P143" i="1"/>
  <c r="G2060" i="2" l="1"/>
  <c r="G2059" i="2"/>
  <c r="G2058" i="2"/>
  <c r="G2057" i="2"/>
  <c r="G1960" i="2"/>
  <c r="G1962" i="2"/>
  <c r="G1963" i="2"/>
  <c r="G1961" i="2"/>
  <c r="G1633" i="2"/>
  <c r="G1615" i="2"/>
  <c r="G1597" i="2"/>
  <c r="G1579" i="2"/>
  <c r="G1561" i="2"/>
  <c r="P229" i="1"/>
  <c r="E1543" i="2"/>
  <c r="E1539" i="2"/>
  <c r="E1541" i="2"/>
  <c r="G1545" i="2"/>
  <c r="G712" i="7"/>
  <c r="G713" i="7" s="1"/>
  <c r="G715" i="7" s="1"/>
  <c r="F702" i="7" s="1"/>
  <c r="G699" i="7"/>
  <c r="G698" i="7"/>
  <c r="G697" i="7"/>
  <c r="G696" i="7"/>
  <c r="G695" i="7"/>
  <c r="F1470" i="7"/>
  <c r="F1460" i="7"/>
  <c r="F1450" i="7"/>
  <c r="F1440" i="7"/>
  <c r="F1430" i="7"/>
  <c r="F1420" i="7"/>
  <c r="F1347" i="7"/>
  <c r="F1331" i="7"/>
  <c r="F1049" i="7"/>
  <c r="F1039" i="7"/>
  <c r="F897" i="7"/>
  <c r="F887" i="7"/>
  <c r="F870" i="7"/>
  <c r="F854" i="7"/>
  <c r="F732" i="7"/>
  <c r="F722" i="7"/>
  <c r="F678" i="7"/>
  <c r="F662" i="7"/>
  <c r="F589" i="7"/>
  <c r="F579" i="7"/>
  <c r="F569" i="7"/>
  <c r="F559" i="7"/>
  <c r="F549" i="7"/>
  <c r="F539" i="7"/>
  <c r="F529" i="7"/>
  <c r="F519" i="7"/>
  <c r="F509" i="7"/>
  <c r="F489" i="7"/>
  <c r="F479" i="7"/>
  <c r="F469" i="7"/>
  <c r="F459" i="7"/>
  <c r="F432" i="7"/>
  <c r="F398" i="7"/>
  <c r="F381" i="7"/>
  <c r="F364" i="7"/>
  <c r="F347" i="7"/>
  <c r="F330" i="7"/>
  <c r="F313" i="7"/>
  <c r="F296" i="7"/>
  <c r="F279" i="7"/>
  <c r="F262" i="7"/>
  <c r="F245" i="7"/>
  <c r="F228" i="7"/>
  <c r="F211" i="7"/>
  <c r="F194" i="7"/>
  <c r="F177" i="7"/>
  <c r="F160" i="7"/>
  <c r="F143" i="7"/>
  <c r="F128" i="7"/>
  <c r="F113" i="7"/>
  <c r="F96" i="7"/>
  <c r="F79" i="7"/>
  <c r="F45" i="7"/>
  <c r="G1427" i="2" l="1"/>
  <c r="G1093" i="2"/>
  <c r="G1215" i="2"/>
  <c r="G1199" i="2"/>
  <c r="G1198" i="2"/>
  <c r="G1197" i="2"/>
  <c r="G1196" i="2"/>
  <c r="G2095" i="2"/>
  <c r="G2077" i="2"/>
  <c r="G2076" i="2"/>
  <c r="G2075" i="2"/>
  <c r="G2074" i="2"/>
  <c r="G1938" i="2"/>
  <c r="G1937" i="2"/>
  <c r="G1176" i="2"/>
  <c r="G1177" i="2"/>
  <c r="G1178" i="2"/>
  <c r="G1175" i="2"/>
  <c r="G1133" i="2"/>
  <c r="G1132" i="2"/>
  <c r="G1074" i="2"/>
  <c r="G1075" i="2"/>
  <c r="G1073" i="2"/>
  <c r="G1055" i="2"/>
  <c r="G1037" i="2"/>
  <c r="G1019" i="2"/>
  <c r="G1564" i="7"/>
  <c r="G1563" i="7"/>
  <c r="G1550" i="7"/>
  <c r="G1551" i="7"/>
  <c r="G1549" i="7"/>
  <c r="G942" i="2"/>
  <c r="G941" i="2"/>
  <c r="G940" i="2"/>
  <c r="G905" i="2"/>
  <c r="G906" i="2"/>
  <c r="G439" i="2"/>
  <c r="G438" i="2"/>
  <c r="G507" i="2"/>
  <c r="G506" i="2"/>
  <c r="G505" i="2"/>
  <c r="G504" i="2"/>
  <c r="G503" i="2"/>
  <c r="G354" i="2"/>
  <c r="E188" i="1" l="1"/>
  <c r="O193" i="1"/>
  <c r="Q193" i="1" s="1"/>
  <c r="O162" i="1"/>
  <c r="Q162" i="1" s="1"/>
  <c r="G469" i="7"/>
  <c r="G470" i="7" s="1"/>
  <c r="G472" i="7" s="1"/>
  <c r="F269" i="7" s="1"/>
  <c r="G262" i="7"/>
  <c r="G266" i="7"/>
  <c r="G265" i="7"/>
  <c r="G264" i="7"/>
  <c r="G263" i="7"/>
  <c r="G459" i="7"/>
  <c r="G460" i="7" s="1"/>
  <c r="G462" i="7" s="1"/>
  <c r="F303" i="7" s="1"/>
  <c r="G296" i="7"/>
  <c r="G300" i="7"/>
  <c r="G299" i="7"/>
  <c r="G298" i="7"/>
  <c r="G297" i="7"/>
  <c r="G202" i="2"/>
  <c r="G203" i="2"/>
  <c r="G204" i="2"/>
  <c r="G205" i="2"/>
  <c r="E922" i="2" l="1"/>
  <c r="E920" i="2"/>
  <c r="O111" i="1"/>
  <c r="H161" i="8"/>
  <c r="L161" i="8" s="1"/>
  <c r="J162" i="8" s="1"/>
  <c r="H158" i="8"/>
  <c r="L158" i="8" s="1"/>
  <c r="J159" i="8" s="1"/>
  <c r="H155" i="8"/>
  <c r="L155" i="8" s="1"/>
  <c r="J156" i="8" s="1"/>
  <c r="H153" i="8"/>
  <c r="H162" i="8" s="1"/>
  <c r="E141" i="1"/>
  <c r="B54" i="8"/>
  <c r="B53" i="8"/>
  <c r="B55" i="8"/>
  <c r="J37" i="8"/>
  <c r="N37" i="8" s="1"/>
  <c r="J36" i="8"/>
  <c r="N36" i="8" s="1"/>
  <c r="N6" i="8"/>
  <c r="J27" i="8"/>
  <c r="N27" i="8" s="1"/>
  <c r="D7" i="8" s="1"/>
  <c r="G723" i="2"/>
  <c r="L20" i="4"/>
  <c r="M20" i="4" s="1"/>
  <c r="N20" i="4" s="1"/>
  <c r="O20" i="4" s="1"/>
  <c r="E214" i="1"/>
  <c r="D290" i="8"/>
  <c r="F289" i="8"/>
  <c r="N290" i="8"/>
  <c r="N289" i="8"/>
  <c r="L159" i="8" l="1"/>
  <c r="H126" i="1" s="1"/>
  <c r="H159" i="8"/>
  <c r="H156" i="8"/>
  <c r="L156" i="8" s="1"/>
  <c r="L162" i="8"/>
  <c r="G126" i="1" s="1"/>
  <c r="N38" i="8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81" i="2"/>
  <c r="O10" i="1"/>
  <c r="O9" i="1"/>
  <c r="Q9" i="1" s="1"/>
  <c r="O18" i="1"/>
  <c r="O17" i="1"/>
  <c r="N16" i="1"/>
  <c r="O16" i="1" s="1"/>
  <c r="H218" i="1" l="1"/>
  <c r="H215" i="1"/>
  <c r="O214" i="1" l="1"/>
  <c r="Q214" i="1" s="1"/>
  <c r="L294" i="8" l="1"/>
  <c r="N293" i="8"/>
  <c r="H217" i="1" s="1"/>
  <c r="N292" i="8"/>
  <c r="H216" i="1" s="1"/>
  <c r="N288" i="8"/>
  <c r="H290" i="8"/>
  <c r="E215" i="1" s="1"/>
  <c r="H289" i="8"/>
  <c r="E218" i="1" s="1"/>
  <c r="O218" i="1" s="1"/>
  <c r="Q218" i="1" s="1"/>
  <c r="H264" i="8"/>
  <c r="N342" i="1" s="1"/>
  <c r="N295" i="8" l="1"/>
  <c r="H220" i="1" s="1"/>
  <c r="H288" i="8"/>
  <c r="F293" i="8"/>
  <c r="H293" i="8" s="1"/>
  <c r="E217" i="1" s="1"/>
  <c r="O217" i="1" s="1"/>
  <c r="Q217" i="1" s="1"/>
  <c r="N294" i="8"/>
  <c r="H219" i="1" s="1"/>
  <c r="F294" i="8"/>
  <c r="F292" i="8"/>
  <c r="H292" i="8" s="1"/>
  <c r="B294" i="8" s="1"/>
  <c r="D294" i="8"/>
  <c r="D295" i="8" l="1"/>
  <c r="H295" i="8" s="1"/>
  <c r="E220" i="1" s="1"/>
  <c r="O220" i="1" s="1"/>
  <c r="E216" i="1"/>
  <c r="O216" i="1" s="1"/>
  <c r="H294" i="8"/>
  <c r="E219" i="1" s="1"/>
  <c r="O219" i="1" s="1"/>
  <c r="O32" i="1"/>
  <c r="O33" i="1"/>
  <c r="O34" i="1"/>
  <c r="O31" i="1"/>
  <c r="G422" i="2"/>
  <c r="G404" i="2"/>
  <c r="G722" i="7"/>
  <c r="G723" i="7" s="1"/>
  <c r="G678" i="7"/>
  <c r="G682" i="7"/>
  <c r="G681" i="7"/>
  <c r="G680" i="7"/>
  <c r="G679" i="7"/>
  <c r="G386" i="2"/>
  <c r="G370" i="2"/>
  <c r="G291" i="2"/>
  <c r="G725" i="7" l="1"/>
  <c r="F685" i="7" s="1"/>
  <c r="G685" i="7" s="1"/>
  <c r="G686" i="7" s="1"/>
  <c r="F387" i="2" s="1"/>
  <c r="G387" i="2" s="1"/>
  <c r="E100" i="1"/>
  <c r="O100" i="1" s="1"/>
  <c r="E99" i="1"/>
  <c r="N23" i="8"/>
  <c r="E76" i="1"/>
  <c r="O342" i="1"/>
  <c r="O174" i="1"/>
  <c r="Q174" i="1" s="1"/>
  <c r="E170" i="1"/>
  <c r="E166" i="1"/>
  <c r="O202" i="1"/>
  <c r="Q202" i="1" s="1"/>
  <c r="O201" i="1"/>
  <c r="Q201" i="1" s="1"/>
  <c r="O192" i="1"/>
  <c r="Q192" i="1" s="1"/>
  <c r="O194" i="1"/>
  <c r="Q194" i="1" s="1"/>
  <c r="O195" i="1"/>
  <c r="Q195" i="1" s="1"/>
  <c r="O196" i="1"/>
  <c r="Q196" i="1" s="1"/>
  <c r="O197" i="1"/>
  <c r="Q197" i="1" s="1"/>
  <c r="O198" i="1"/>
  <c r="Q198" i="1" s="1"/>
  <c r="O199" i="1"/>
  <c r="Q199" i="1" s="1"/>
  <c r="O200" i="1"/>
  <c r="Q200" i="1" s="1"/>
  <c r="O172" i="1"/>
  <c r="Q172" i="1" s="1"/>
  <c r="O173" i="1"/>
  <c r="Q173" i="1" s="1"/>
  <c r="O175" i="1"/>
  <c r="Q175" i="1" s="1"/>
  <c r="O176" i="1"/>
  <c r="Q176" i="1" s="1"/>
  <c r="O177" i="1"/>
  <c r="Q177" i="1" s="1"/>
  <c r="O178" i="1"/>
  <c r="Q178" i="1" s="1"/>
  <c r="O179" i="1"/>
  <c r="Q179" i="1" s="1"/>
  <c r="O161" i="1"/>
  <c r="Q161" i="1" s="1"/>
  <c r="O49" i="1" l="1"/>
  <c r="O205" i="1" l="1"/>
  <c r="Q205" i="1" s="1"/>
  <c r="O206" i="1"/>
  <c r="Q206" i="1" s="1"/>
  <c r="O190" i="1"/>
  <c r="Q190" i="1" s="1"/>
  <c r="O203" i="1"/>
  <c r="Q203" i="1" s="1"/>
  <c r="O204" i="1"/>
  <c r="Q204" i="1" s="1"/>
  <c r="O207" i="1"/>
  <c r="Q207" i="1" s="1"/>
  <c r="O208" i="1"/>
  <c r="Q208" i="1" s="1"/>
  <c r="H166" i="1"/>
  <c r="F275" i="8"/>
  <c r="H275" i="8" s="1"/>
  <c r="F271" i="8"/>
  <c r="H271" i="8" s="1"/>
  <c r="F270" i="8"/>
  <c r="H280" i="8" s="1"/>
  <c r="B278" i="8"/>
  <c r="O231" i="1"/>
  <c r="O232" i="1"/>
  <c r="O150" i="1"/>
  <c r="Q150" i="1" s="1"/>
  <c r="O155" i="1"/>
  <c r="Q155" i="1" s="1"/>
  <c r="O156" i="1"/>
  <c r="Q156" i="1" s="1"/>
  <c r="O157" i="1"/>
  <c r="Q157" i="1" s="1"/>
  <c r="O158" i="1"/>
  <c r="Q158" i="1" s="1"/>
  <c r="O159" i="1"/>
  <c r="Q159" i="1" s="1"/>
  <c r="O160" i="1"/>
  <c r="Q160" i="1" s="1"/>
  <c r="O148" i="1"/>
  <c r="Q148" i="1" s="1"/>
  <c r="O149" i="1"/>
  <c r="Q149" i="1" s="1"/>
  <c r="O151" i="1"/>
  <c r="Q151" i="1" s="1"/>
  <c r="O152" i="1"/>
  <c r="Q152" i="1" s="1"/>
  <c r="O153" i="1"/>
  <c r="Q153" i="1" s="1"/>
  <c r="O154" i="1"/>
  <c r="Q154" i="1" s="1"/>
  <c r="O147" i="1"/>
  <c r="Q147" i="1" s="1"/>
  <c r="O142" i="1"/>
  <c r="O143" i="1"/>
  <c r="Q143" i="1" s="1"/>
  <c r="O138" i="1"/>
  <c r="Q138" i="1" s="1"/>
  <c r="O139" i="1"/>
  <c r="Q139" i="1" s="1"/>
  <c r="O137" i="1"/>
  <c r="Q137" i="1" s="1"/>
  <c r="D278" i="8" l="1"/>
  <c r="H270" i="8"/>
  <c r="B281" i="8" s="1"/>
  <c r="N68" i="1"/>
  <c r="O68" i="1" s="1"/>
  <c r="D281" i="8"/>
  <c r="D283" i="8" s="1"/>
  <c r="F274" i="8"/>
  <c r="H274" i="8" s="1"/>
  <c r="F281" i="8" s="1"/>
  <c r="H272" i="8"/>
  <c r="N64" i="1" s="1"/>
  <c r="O64" i="1" s="1"/>
  <c r="H276" i="8"/>
  <c r="N65" i="1" s="1"/>
  <c r="O65" i="1" s="1"/>
  <c r="H278" i="8"/>
  <c r="N66" i="1" s="1"/>
  <c r="O66" i="1" s="1"/>
  <c r="B283" i="8"/>
  <c r="H279" i="8"/>
  <c r="N67" i="1" s="1"/>
  <c r="O67" i="1" s="1"/>
  <c r="B285" i="8"/>
  <c r="F283" i="8"/>
  <c r="Q163" i="1"/>
  <c r="H283" i="8" l="1"/>
  <c r="H281" i="8"/>
  <c r="N69" i="1" s="1"/>
  <c r="O69" i="1" s="1"/>
  <c r="D285" i="8"/>
  <c r="H285" i="8" s="1"/>
  <c r="N71" i="1" s="1"/>
  <c r="O71" i="1" s="1"/>
  <c r="N70" i="1"/>
  <c r="O70" i="1" s="1"/>
  <c r="J115" i="8"/>
  <c r="E127" i="1" s="1"/>
  <c r="G1932" i="7"/>
  <c r="G1931" i="7"/>
  <c r="G1930" i="7"/>
  <c r="G1929" i="7"/>
  <c r="G1682" i="2"/>
  <c r="G1756" i="2"/>
  <c r="G1755" i="2"/>
  <c r="G1754" i="2"/>
  <c r="G1753" i="2"/>
  <c r="G1752" i="2"/>
  <c r="G1751" i="2"/>
  <c r="G1750" i="2"/>
  <c r="E225" i="1" l="1"/>
  <c r="O225" i="1" s="1"/>
  <c r="E223" i="1"/>
  <c r="J46" i="8"/>
  <c r="J45" i="8"/>
  <c r="J41" i="8"/>
  <c r="J40" i="8"/>
  <c r="J32" i="8"/>
  <c r="J31" i="8"/>
  <c r="J29" i="8"/>
  <c r="J25" i="8"/>
  <c r="G701" i="2" l="1"/>
  <c r="G700" i="2"/>
  <c r="G699" i="2"/>
  <c r="G698" i="2"/>
  <c r="G697" i="2"/>
  <c r="G585" i="2"/>
  <c r="G586" i="2"/>
  <c r="G647" i="2"/>
  <c r="G683" i="2"/>
  <c r="G665" i="2"/>
  <c r="O106" i="1"/>
  <c r="B62" i="8"/>
  <c r="B63" i="8" s="1"/>
  <c r="B61" i="8"/>
  <c r="B58" i="8"/>
  <c r="B57" i="8"/>
  <c r="B50" i="8"/>
  <c r="B49" i="8"/>
  <c r="N46" i="8"/>
  <c r="N45" i="8"/>
  <c r="N41" i="8"/>
  <c r="N40" i="8"/>
  <c r="N32" i="8"/>
  <c r="N31" i="8"/>
  <c r="N25" i="8"/>
  <c r="D10" i="8" s="1"/>
  <c r="G101" i="1" s="1"/>
  <c r="N29" i="8"/>
  <c r="D4" i="8"/>
  <c r="E101" i="1" s="1"/>
  <c r="B59" i="8" l="1"/>
  <c r="G103" i="1" s="1"/>
  <c r="B67" i="8"/>
  <c r="B71" i="8" s="1"/>
  <c r="B76" i="8" s="1"/>
  <c r="H103" i="1"/>
  <c r="B51" i="8"/>
  <c r="B65" i="8" s="1"/>
  <c r="B69" i="8" s="1"/>
  <c r="B74" i="8" s="1"/>
  <c r="N33" i="8"/>
  <c r="E102" i="1" s="1"/>
  <c r="N42" i="8"/>
  <c r="G102" i="1" s="1"/>
  <c r="D13" i="8"/>
  <c r="H101" i="1" s="1"/>
  <c r="N47" i="8"/>
  <c r="H102" i="1" s="1"/>
  <c r="N12" i="8"/>
  <c r="N9" i="8"/>
  <c r="N3" i="8"/>
  <c r="F212" i="8"/>
  <c r="B208" i="8"/>
  <c r="F204" i="8" s="1"/>
  <c r="F187" i="8"/>
  <c r="B184" i="8"/>
  <c r="H191" i="8"/>
  <c r="F191" i="8"/>
  <c r="H187" i="8"/>
  <c r="J185" i="8"/>
  <c r="F185" i="8"/>
  <c r="F182" i="8"/>
  <c r="H219" i="8"/>
  <c r="H220" i="8"/>
  <c r="B66" i="8" l="1"/>
  <c r="B70" i="8" s="1"/>
  <c r="B75" i="8" s="1"/>
  <c r="O102" i="1"/>
  <c r="E103" i="1"/>
  <c r="O103" i="1" s="1"/>
  <c r="O101" i="1"/>
  <c r="F209" i="8"/>
  <c r="O296" i="1" l="1"/>
  <c r="Q296" i="1" s="1"/>
  <c r="O295" i="1"/>
  <c r="Q295" i="1" s="1"/>
  <c r="O293" i="1"/>
  <c r="Q293" i="1" s="1"/>
  <c r="O292" i="1"/>
  <c r="Q292" i="1" s="1"/>
  <c r="O210" i="1" l="1"/>
  <c r="O209" i="1"/>
  <c r="O191" i="1"/>
  <c r="O189" i="1"/>
  <c r="O188" i="1"/>
  <c r="O187" i="1"/>
  <c r="O184" i="1"/>
  <c r="O183" i="1"/>
  <c r="O180" i="1"/>
  <c r="Q180" i="1" s="1"/>
  <c r="O171" i="1"/>
  <c r="O170" i="1"/>
  <c r="Q170" i="1" s="1"/>
  <c r="O169" i="1"/>
  <c r="Q169" i="1" s="1"/>
  <c r="O168" i="1"/>
  <c r="O167" i="1"/>
  <c r="O166" i="1"/>
  <c r="O146" i="1"/>
  <c r="O145" i="1"/>
  <c r="O144" i="1"/>
  <c r="O141" i="1"/>
  <c r="O140" i="1"/>
  <c r="Q140" i="1" s="1"/>
  <c r="O136" i="1"/>
  <c r="O135" i="1"/>
  <c r="O134" i="1"/>
  <c r="O133" i="1"/>
  <c r="O215" i="1"/>
  <c r="O257" i="1"/>
  <c r="O256" i="1"/>
  <c r="O255" i="1"/>
  <c r="O254" i="1"/>
  <c r="O252" i="1"/>
  <c r="Q252" i="1" s="1"/>
  <c r="O234" i="1"/>
  <c r="O230" i="1"/>
  <c r="O229" i="1"/>
  <c r="O260" i="1"/>
  <c r="O279" i="1"/>
  <c r="O270" i="1"/>
  <c r="O291" i="1"/>
  <c r="O290" i="1"/>
  <c r="O289" i="1"/>
  <c r="O288" i="1"/>
  <c r="O287" i="1"/>
  <c r="O286" i="1"/>
  <c r="O285" i="1"/>
  <c r="B257" i="8" l="1"/>
  <c r="H257" i="8" s="1"/>
  <c r="N334" i="1" s="1"/>
  <c r="O334" i="1" s="1"/>
  <c r="F228" i="8"/>
  <c r="F253" i="8"/>
  <c r="F247" i="8"/>
  <c r="D247" i="8"/>
  <c r="H261" i="8"/>
  <c r="D250" i="8"/>
  <c r="H250" i="8" s="1"/>
  <c r="N329" i="1" s="1"/>
  <c r="O329" i="1" s="1"/>
  <c r="H246" i="8"/>
  <c r="H256" i="8" s="1"/>
  <c r="N333" i="1" s="1"/>
  <c r="O333" i="1" s="1"/>
  <c r="H245" i="8"/>
  <c r="H262" i="8" s="1"/>
  <c r="N341" i="1" s="1"/>
  <c r="O341" i="1" s="1"/>
  <c r="N322" i="1"/>
  <c r="O322" i="1" s="1"/>
  <c r="N321" i="1"/>
  <c r="O321" i="1" s="1"/>
  <c r="N320" i="1"/>
  <c r="O320" i="1" s="1"/>
  <c r="D238" i="8"/>
  <c r="H238" i="8" s="1"/>
  <c r="N314" i="1" s="1"/>
  <c r="O314" i="1" s="1"/>
  <c r="F222" i="8"/>
  <c r="D222" i="8"/>
  <c r="F232" i="8"/>
  <c r="D232" i="8"/>
  <c r="D225" i="8"/>
  <c r="H225" i="8" s="1"/>
  <c r="N303" i="1" s="1"/>
  <c r="O303" i="1" s="1"/>
  <c r="H221" i="8"/>
  <c r="H231" i="8" s="1"/>
  <c r="N307" i="1" s="1"/>
  <c r="O307" i="1" s="1"/>
  <c r="N339" i="1" l="1"/>
  <c r="O339" i="1" s="1"/>
  <c r="N340" i="1"/>
  <c r="O340" i="1" s="1"/>
  <c r="H232" i="8"/>
  <c r="H235" i="8" s="1"/>
  <c r="H247" i="8"/>
  <c r="D251" i="8" s="1"/>
  <c r="H251" i="8" s="1"/>
  <c r="N330" i="1" s="1"/>
  <c r="O330" i="1" s="1"/>
  <c r="H222" i="8"/>
  <c r="D227" i="8" s="1"/>
  <c r="H227" i="8" s="1"/>
  <c r="N301" i="1" s="1"/>
  <c r="O301" i="1" s="1"/>
  <c r="D248" i="8"/>
  <c r="H248" i="8" s="1"/>
  <c r="D233" i="8"/>
  <c r="H233" i="8" s="1"/>
  <c r="N309" i="1" s="1"/>
  <c r="O309" i="1" s="1"/>
  <c r="D253" i="8" l="1"/>
  <c r="H253" i="8" s="1"/>
  <c r="D254" i="8" s="1"/>
  <c r="H254" i="8" s="1"/>
  <c r="N326" i="1" s="1"/>
  <c r="O326" i="1" s="1"/>
  <c r="H255" i="8"/>
  <c r="N328" i="1" s="1"/>
  <c r="O328" i="1" s="1"/>
  <c r="N308" i="1"/>
  <c r="O308" i="1" s="1"/>
  <c r="D252" i="8"/>
  <c r="H252" i="8" s="1"/>
  <c r="N327" i="1" s="1"/>
  <c r="O327" i="1" s="1"/>
  <c r="D224" i="8"/>
  <c r="H224" i="8" s="1"/>
  <c r="D249" i="8"/>
  <c r="H249" i="8" s="1"/>
  <c r="N331" i="1" s="1"/>
  <c r="O331" i="1" s="1"/>
  <c r="D228" i="8"/>
  <c r="H228" i="8" s="1"/>
  <c r="D229" i="8" s="1"/>
  <c r="H229" i="8" s="1"/>
  <c r="N300" i="1" s="1"/>
  <c r="O300" i="1" s="1"/>
  <c r="D226" i="8"/>
  <c r="H226" i="8" s="1"/>
  <c r="N304" i="1" s="1"/>
  <c r="O304" i="1" s="1"/>
  <c r="H234" i="8"/>
  <c r="N310" i="1" s="1"/>
  <c r="O310" i="1" s="1"/>
  <c r="H230" i="8"/>
  <c r="N302" i="1" s="1"/>
  <c r="O302" i="1" s="1"/>
  <c r="D258" i="8"/>
  <c r="H258" i="8" s="1"/>
  <c r="H237" i="8"/>
  <c r="N311" i="1"/>
  <c r="O311" i="1" s="1"/>
  <c r="N325" i="1" l="1"/>
  <c r="O325" i="1" s="1"/>
  <c r="H236" i="8"/>
  <c r="N315" i="1" s="1"/>
  <c r="O315" i="1" s="1"/>
  <c r="N299" i="1"/>
  <c r="O299" i="1" s="1"/>
  <c r="N332" i="1"/>
  <c r="O332" i="1" s="1"/>
  <c r="H259" i="8"/>
  <c r="N335" i="1"/>
  <c r="O335" i="1" s="1"/>
  <c r="N312" i="1"/>
  <c r="O312" i="1" s="1"/>
  <c r="N313" i="1"/>
  <c r="O313" i="1" s="1"/>
  <c r="N336" i="1" l="1"/>
  <c r="O336" i="1" s="1"/>
  <c r="H260" i="8"/>
  <c r="D223" i="8"/>
  <c r="H223" i="8" s="1"/>
  <c r="L224" i="8" s="1"/>
  <c r="N305" i="1" s="1"/>
  <c r="O305" i="1" s="1"/>
  <c r="N317" i="1"/>
  <c r="O317" i="1" s="1"/>
  <c r="H167" i="8"/>
  <c r="F211" i="8"/>
  <c r="B211" i="8" s="1"/>
  <c r="F214" i="8" s="1"/>
  <c r="D171" i="8"/>
  <c r="H168" i="8"/>
  <c r="O353" i="1" s="1"/>
  <c r="Q353" i="1" s="1"/>
  <c r="E253" i="1"/>
  <c r="H253" i="1"/>
  <c r="H117" i="8"/>
  <c r="H116" i="8"/>
  <c r="H118" i="8"/>
  <c r="H94" i="1"/>
  <c r="O94" i="1" s="1"/>
  <c r="Q94" i="1" s="1"/>
  <c r="H152" i="8"/>
  <c r="L152" i="8" s="1"/>
  <c r="J153" i="8" l="1"/>
  <c r="L153" i="8" s="1"/>
  <c r="E126" i="1" s="1"/>
  <c r="O126" i="1" s="1"/>
  <c r="Q126" i="1" s="1"/>
  <c r="N352" i="1"/>
  <c r="O352" i="1" s="1"/>
  <c r="F203" i="8"/>
  <c r="B203" i="8" s="1"/>
  <c r="B214" i="8" s="1"/>
  <c r="F208" i="8"/>
  <c r="B209" i="8" s="1"/>
  <c r="J118" i="8"/>
  <c r="N337" i="1"/>
  <c r="O337" i="1" s="1"/>
  <c r="N338" i="1"/>
  <c r="O338" i="1" s="1"/>
  <c r="O253" i="1"/>
  <c r="N306" i="1"/>
  <c r="O306" i="1" s="1"/>
  <c r="H171" i="8"/>
  <c r="H239" i="8"/>
  <c r="N316" i="1"/>
  <c r="O316" i="1" s="1"/>
  <c r="E247" i="1"/>
  <c r="O247" i="1" s="1"/>
  <c r="H245" i="1"/>
  <c r="O245" i="1" s="1"/>
  <c r="Q245" i="1" s="1"/>
  <c r="E246" i="1"/>
  <c r="O246" i="1" s="1"/>
  <c r="H236" i="1"/>
  <c r="H226" i="1"/>
  <c r="E224" i="1"/>
  <c r="Q291" i="1"/>
  <c r="Q290" i="1"/>
  <c r="Q289" i="1"/>
  <c r="Q288" i="1"/>
  <c r="Q287" i="1"/>
  <c r="Q286" i="1"/>
  <c r="Q285" i="1"/>
  <c r="O251" i="1"/>
  <c r="E249" i="1"/>
  <c r="O249" i="1" s="1"/>
  <c r="E248" i="1"/>
  <c r="O248" i="1" s="1"/>
  <c r="E240" i="1"/>
  <c r="O240" i="1" s="1"/>
  <c r="O239" i="1"/>
  <c r="E238" i="1"/>
  <c r="O238" i="1" s="1"/>
  <c r="E235" i="1"/>
  <c r="O235" i="1" s="1"/>
  <c r="E237" i="1"/>
  <c r="O237" i="1" s="1"/>
  <c r="G1914" i="2"/>
  <c r="G1913" i="2"/>
  <c r="Q229" i="1"/>
  <c r="J1810" i="2"/>
  <c r="G479" i="7"/>
  <c r="G480" i="7" s="1"/>
  <c r="G482" i="7" s="1"/>
  <c r="F405" i="7" s="1"/>
  <c r="G398" i="7"/>
  <c r="G402" i="7"/>
  <c r="G401" i="7"/>
  <c r="G400" i="7"/>
  <c r="G399" i="7"/>
  <c r="G1793" i="2"/>
  <c r="Q297" i="1" l="1"/>
  <c r="M1822" i="2"/>
  <c r="M1812" i="2"/>
  <c r="M1814" i="2"/>
  <c r="M1820" i="2"/>
  <c r="M1811" i="2"/>
  <c r="M1815" i="2"/>
  <c r="M1813" i="2"/>
  <c r="K1812" i="2"/>
  <c r="K1813" i="2"/>
  <c r="K1822" i="2"/>
  <c r="F180" i="8"/>
  <c r="B180" i="8" s="1"/>
  <c r="H172" i="8"/>
  <c r="O226" i="1"/>
  <c r="O250" i="1"/>
  <c r="Q250" i="1" s="1"/>
  <c r="O236" i="1"/>
  <c r="Q236" i="1" s="1"/>
  <c r="O223" i="1"/>
  <c r="O224" i="1"/>
  <c r="N318" i="1"/>
  <c r="O318" i="1" s="1"/>
  <c r="N319" i="1"/>
  <c r="O319" i="1" s="1"/>
  <c r="K1814" i="2"/>
  <c r="K1820" i="2"/>
  <c r="K1815" i="2"/>
  <c r="Q249" i="1"/>
  <c r="Q234" i="1"/>
  <c r="G509" i="7"/>
  <c r="G510" i="7" s="1"/>
  <c r="G512" i="7" s="1"/>
  <c r="F388" i="7" s="1"/>
  <c r="G381" i="7"/>
  <c r="G385" i="7"/>
  <c r="G384" i="7"/>
  <c r="G383" i="7"/>
  <c r="G382" i="7"/>
  <c r="G922" i="2"/>
  <c r="G815" i="7"/>
  <c r="G814" i="7"/>
  <c r="G813" i="7"/>
  <c r="G865" i="2"/>
  <c r="G866" i="2"/>
  <c r="G864" i="2"/>
  <c r="O52" i="1"/>
  <c r="Q52" i="1" s="1"/>
  <c r="G1087" i="7"/>
  <c r="O213" i="1"/>
  <c r="B174" i="8" l="1"/>
  <c r="H185" i="8"/>
  <c r="L185" i="8" s="1"/>
  <c r="B185" i="8" s="1"/>
  <c r="H182" i="8"/>
  <c r="J182" i="8" s="1"/>
  <c r="B182" i="8" s="1"/>
  <c r="J191" i="8"/>
  <c r="L191" i="8" s="1"/>
  <c r="J187" i="8"/>
  <c r="L187" i="8" s="1"/>
  <c r="B187" i="8" s="1"/>
  <c r="B189" i="8" l="1"/>
  <c r="F193" i="8"/>
  <c r="J193" i="8" s="1"/>
  <c r="B193" i="8" s="1"/>
  <c r="B191" i="8"/>
  <c r="O12" i="1"/>
  <c r="O11" i="1"/>
  <c r="O19" i="1"/>
  <c r="O15" i="1"/>
  <c r="O43" i="1"/>
  <c r="O42" i="1"/>
  <c r="O41" i="1"/>
  <c r="O40" i="1"/>
  <c r="O39" i="1"/>
  <c r="O38" i="1"/>
  <c r="O37" i="1"/>
  <c r="O36" i="1"/>
  <c r="O35" i="1"/>
  <c r="O30" i="1"/>
  <c r="O27" i="1"/>
  <c r="O25" i="1"/>
  <c r="O22" i="1"/>
  <c r="O54" i="1"/>
  <c r="O53" i="1"/>
  <c r="O61" i="1"/>
  <c r="O60" i="1"/>
  <c r="O59" i="1"/>
  <c r="O58" i="1"/>
  <c r="O57" i="1"/>
  <c r="O76" i="1"/>
  <c r="O81" i="1"/>
  <c r="O85" i="1"/>
  <c r="O84" i="1"/>
  <c r="O92" i="1"/>
  <c r="O99" i="1"/>
  <c r="O116" i="1"/>
  <c r="O115" i="1"/>
  <c r="O128" i="1"/>
  <c r="B102" i="8" l="1"/>
  <c r="B103" i="8" s="1"/>
  <c r="L143" i="8"/>
  <c r="L128" i="8"/>
  <c r="L81" i="8"/>
  <c r="L83" i="8"/>
  <c r="L85" i="8"/>
  <c r="L121" i="8"/>
  <c r="L79" i="8"/>
  <c r="F79" i="8"/>
  <c r="F81" i="8"/>
  <c r="J81" i="8" s="1"/>
  <c r="F83" i="8"/>
  <c r="J83" i="8" s="1"/>
  <c r="F85" i="8"/>
  <c r="J85" i="8" s="1"/>
  <c r="H121" i="1" s="1"/>
  <c r="J121" i="8"/>
  <c r="J125" i="8"/>
  <c r="J126" i="8"/>
  <c r="J127" i="8"/>
  <c r="J124" i="8"/>
  <c r="J123" i="8"/>
  <c r="Q265" i="1"/>
  <c r="Q266" i="1"/>
  <c r="Q279" i="1"/>
  <c r="Q263" i="1"/>
  <c r="Q237" i="1"/>
  <c r="Q215" i="1"/>
  <c r="Q213" i="1"/>
  <c r="Q209" i="1"/>
  <c r="Q210" i="1"/>
  <c r="Q184" i="1"/>
  <c r="Q171" i="1"/>
  <c r="Q141" i="1"/>
  <c r="Q146" i="1"/>
  <c r="Q116" i="1"/>
  <c r="Q42" i="1"/>
  <c r="Q43" i="1"/>
  <c r="Q22" i="1"/>
  <c r="Q115" i="1"/>
  <c r="J141" i="8"/>
  <c r="J142" i="8"/>
  <c r="J131" i="8"/>
  <c r="J132" i="8"/>
  <c r="J130" i="8"/>
  <c r="B140" i="8"/>
  <c r="J140" i="8" s="1"/>
  <c r="B139" i="8"/>
  <c r="J139" i="8" s="1"/>
  <c r="B138" i="8"/>
  <c r="J138" i="8" s="1"/>
  <c r="B137" i="8"/>
  <c r="J137" i="8" s="1"/>
  <c r="B136" i="8"/>
  <c r="J136" i="8" s="1"/>
  <c r="B135" i="8"/>
  <c r="J135" i="8" s="1"/>
  <c r="B134" i="8"/>
  <c r="J134" i="8" s="1"/>
  <c r="B133" i="8"/>
  <c r="J133" i="8" s="1"/>
  <c r="G1915" i="7"/>
  <c r="G1914" i="7"/>
  <c r="G1913" i="7"/>
  <c r="G1912" i="7"/>
  <c r="G1896" i="7"/>
  <c r="G1897" i="7"/>
  <c r="G1898" i="7"/>
  <c r="G1895" i="7"/>
  <c r="G1881" i="7"/>
  <c r="G1880" i="7"/>
  <c r="G887" i="2"/>
  <c r="G886" i="2"/>
  <c r="Q84" i="1"/>
  <c r="Q36" i="1"/>
  <c r="G1306" i="7"/>
  <c r="G1308" i="7" s="1"/>
  <c r="G1309" i="7" s="1"/>
  <c r="F1253" i="7" s="1"/>
  <c r="G1253" i="7" s="1"/>
  <c r="G1296" i="7"/>
  <c r="G1298" i="7" s="1"/>
  <c r="G1299" i="7" s="1"/>
  <c r="F1252" i="7" s="1"/>
  <c r="G1286" i="7"/>
  <c r="G1288" i="7" s="1"/>
  <c r="G1289" i="7" s="1"/>
  <c r="F1251" i="7" s="1"/>
  <c r="G1251" i="7" s="1"/>
  <c r="G1276" i="7"/>
  <c r="G1278" i="7" s="1"/>
  <c r="G1279" i="7" s="1"/>
  <c r="F1250" i="7" s="1"/>
  <c r="G1250" i="7" s="1"/>
  <c r="G887" i="7"/>
  <c r="G888" i="7" s="1"/>
  <c r="G890" i="7" s="1"/>
  <c r="F877" i="7" s="1"/>
  <c r="G877" i="7" s="1"/>
  <c r="G870" i="7"/>
  <c r="G874" i="7"/>
  <c r="G873" i="7"/>
  <c r="G872" i="7"/>
  <c r="G871" i="7"/>
  <c r="G1232" i="7"/>
  <c r="G589" i="7"/>
  <c r="G590" i="7" s="1"/>
  <c r="G592" i="7" s="1"/>
  <c r="F439" i="7" s="1"/>
  <c r="G439" i="7" s="1"/>
  <c r="G432" i="7"/>
  <c r="G436" i="7"/>
  <c r="G435" i="7"/>
  <c r="G434" i="7"/>
  <c r="G433" i="7"/>
  <c r="G565" i="2"/>
  <c r="Q117" i="1" l="1"/>
  <c r="H123" i="1"/>
  <c r="J128" i="8"/>
  <c r="K127" i="1" s="1"/>
  <c r="O127" i="1" s="1"/>
  <c r="J143" i="8"/>
  <c r="J79" i="8"/>
  <c r="E121" i="1" s="1"/>
  <c r="F1265" i="7"/>
  <c r="G1265" i="7" s="1"/>
  <c r="F1266" i="7"/>
  <c r="G1266" i="7" s="1"/>
  <c r="G878" i="7"/>
  <c r="F1169" i="2" s="1"/>
  <c r="G1169" i="2" s="1"/>
  <c r="G440" i="7"/>
  <c r="F1476" i="2"/>
  <c r="F1475" i="2"/>
  <c r="O125" i="1" l="1"/>
  <c r="Q125" i="1" s="1"/>
  <c r="E123" i="1"/>
  <c r="O123" i="1" s="1"/>
  <c r="Q123" i="1" s="1"/>
  <c r="F1194" i="2"/>
  <c r="G1194" i="2" s="1"/>
  <c r="F1167" i="2"/>
  <c r="G1167" i="2" s="1"/>
  <c r="O122" i="1"/>
  <c r="F563" i="2"/>
  <c r="F681" i="2"/>
  <c r="G681" i="2" s="1"/>
  <c r="F663" i="2"/>
  <c r="G663" i="2" s="1"/>
  <c r="O121" i="1"/>
  <c r="F1248" i="7"/>
  <c r="F1263" i="7"/>
  <c r="G1263" i="7" s="1"/>
  <c r="G1267" i="7" s="1"/>
  <c r="F1237" i="7"/>
  <c r="G1237" i="7" s="1"/>
  <c r="G1866" i="7"/>
  <c r="G1865" i="7"/>
  <c r="G1864" i="7"/>
  <c r="G1863" i="7"/>
  <c r="G1849" i="7"/>
  <c r="G1848" i="7"/>
  <c r="G1847" i="7"/>
  <c r="G1846" i="7"/>
  <c r="G1830" i="7"/>
  <c r="G1831" i="7"/>
  <c r="G1832" i="7"/>
  <c r="G1829" i="7"/>
  <c r="G1815" i="7"/>
  <c r="G1814" i="7"/>
  <c r="G1800" i="7"/>
  <c r="G1391" i="2"/>
  <c r="G1409" i="2"/>
  <c r="G1691" i="7"/>
  <c r="G1760" i="7"/>
  <c r="G1732" i="7"/>
  <c r="G1649" i="7"/>
  <c r="G1635" i="7"/>
  <c r="G1621" i="7"/>
  <c r="G1620" i="7"/>
  <c r="G1606" i="7"/>
  <c r="G1605" i="7"/>
  <c r="G1591" i="7"/>
  <c r="F1235" i="7" l="1"/>
  <c r="G1235" i="7" s="1"/>
  <c r="F1173" i="2"/>
  <c r="G1173" i="2" s="1"/>
  <c r="G1577" i="7"/>
  <c r="G1576" i="7"/>
  <c r="G1536" i="7" l="1"/>
  <c r="G1537" i="7"/>
  <c r="G1222" i="7" l="1"/>
  <c r="G1224" i="7" s="1"/>
  <c r="G1225" i="7" s="1"/>
  <c r="F1182" i="7" s="1"/>
  <c r="G1182" i="7" s="1"/>
  <c r="G1212" i="7"/>
  <c r="G1214" i="7" s="1"/>
  <c r="G1215" i="7" s="1"/>
  <c r="F1181" i="7" s="1"/>
  <c r="G1181" i="7" s="1"/>
  <c r="G1202" i="7"/>
  <c r="G1204" i="7" s="1"/>
  <c r="G1205" i="7" s="1"/>
  <c r="G1192" i="7"/>
  <c r="G1194" i="7" s="1"/>
  <c r="G1195" i="7" s="1"/>
  <c r="F1179" i="7" s="1"/>
  <c r="G1179" i="7" s="1"/>
  <c r="F1180" i="7" l="1"/>
  <c r="G1180" i="7" s="1"/>
  <c r="G1184" i="7" s="1"/>
  <c r="G1185" i="7" s="1"/>
  <c r="F547" i="2" s="1"/>
  <c r="G547" i="2" s="1"/>
  <c r="G529" i="2" l="1"/>
  <c r="G528" i="2"/>
  <c r="G527" i="2"/>
  <c r="G1101" i="7" l="1"/>
  <c r="G479" i="2" l="1"/>
  <c r="G478" i="2"/>
  <c r="G458" i="2"/>
  <c r="G457" i="2"/>
  <c r="G313" i="2"/>
  <c r="G201" i="2"/>
  <c r="G200" i="2"/>
  <c r="G2187" i="2" l="1"/>
  <c r="G2186" i="2"/>
  <c r="G2185" i="2"/>
  <c r="G2184" i="2"/>
  <c r="G2183" i="2"/>
  <c r="G2169" i="2"/>
  <c r="G2168" i="2"/>
  <c r="G2167" i="2"/>
  <c r="G2166" i="2"/>
  <c r="G2165" i="2"/>
  <c r="G2164" i="2"/>
  <c r="G2163" i="2"/>
  <c r="G2162" i="2"/>
  <c r="G2161" i="2"/>
  <c r="G2160" i="2"/>
  <c r="G2159" i="2"/>
  <c r="G2158" i="2"/>
  <c r="B2191" i="2"/>
  <c r="B2193" i="2" s="1"/>
  <c r="G2144" i="2"/>
  <c r="G2143" i="2"/>
  <c r="G2142" i="2"/>
  <c r="G2141" i="2"/>
  <c r="G2140" i="2"/>
  <c r="G2139" i="2"/>
  <c r="G2138" i="2"/>
  <c r="G2137" i="2"/>
  <c r="G2136" i="2"/>
  <c r="G2135" i="2"/>
  <c r="G2134" i="2"/>
  <c r="G2133" i="2"/>
  <c r="G2132" i="2"/>
  <c r="B2148" i="2"/>
  <c r="B2150" i="2" s="1"/>
  <c r="G2118" i="2"/>
  <c r="G2117" i="2"/>
  <c r="G2116" i="2"/>
  <c r="G2115" i="2"/>
  <c r="G2114" i="2"/>
  <c r="G2113" i="2"/>
  <c r="B2122" i="2"/>
  <c r="B2124" i="2" s="1"/>
  <c r="G2039" i="2"/>
  <c r="G2038" i="2"/>
  <c r="G2037" i="2"/>
  <c r="G2036" i="2"/>
  <c r="G2014" i="2"/>
  <c r="G2013" i="2"/>
  <c r="B2194" i="2" l="1"/>
  <c r="B2151" i="2"/>
  <c r="B2125" i="2"/>
  <c r="G1999" i="2"/>
  <c r="B2003" i="2"/>
  <c r="G1985" i="2"/>
  <c r="G1984" i="2"/>
  <c r="G1983" i="2"/>
  <c r="G1982" i="2"/>
  <c r="B1989" i="2"/>
  <c r="B1991" i="2" s="1"/>
  <c r="B2006" i="2" l="1"/>
  <c r="B1992" i="2"/>
  <c r="G1894" i="2"/>
  <c r="G1893" i="2"/>
  <c r="G1879" i="2"/>
  <c r="G1878" i="2"/>
  <c r="G1877" i="2"/>
  <c r="G1876" i="2"/>
  <c r="G1875" i="2"/>
  <c r="B1883" i="2"/>
  <c r="B1885" i="2" s="1"/>
  <c r="G1815" i="2"/>
  <c r="G1814" i="2"/>
  <c r="G1813" i="2"/>
  <c r="G1812" i="2"/>
  <c r="G1811" i="2"/>
  <c r="G1525" i="2"/>
  <c r="G1524" i="2"/>
  <c r="G1523" i="2"/>
  <c r="G1522" i="2"/>
  <c r="G1521" i="2"/>
  <c r="G1520" i="2"/>
  <c r="G1519" i="2"/>
  <c r="G1518" i="2"/>
  <c r="G1517" i="2"/>
  <c r="G1516" i="2"/>
  <c r="G1515" i="2"/>
  <c r="G1514" i="2"/>
  <c r="G1513" i="2"/>
  <c r="G1512" i="2"/>
  <c r="G1511" i="2"/>
  <c r="G1510" i="2"/>
  <c r="G1509" i="2"/>
  <c r="G1508" i="2"/>
  <c r="G1507" i="2"/>
  <c r="G1506" i="2"/>
  <c r="G1484" i="2"/>
  <c r="G1483" i="2"/>
  <c r="G1482" i="2"/>
  <c r="G1481" i="2"/>
  <c r="G1480" i="2"/>
  <c r="G1479" i="2"/>
  <c r="G1478" i="2"/>
  <c r="G1477" i="2"/>
  <c r="G1476" i="2"/>
  <c r="G1475" i="2"/>
  <c r="G1474" i="2"/>
  <c r="G1473" i="2"/>
  <c r="G1472" i="2"/>
  <c r="G1471" i="2"/>
  <c r="G1470" i="2"/>
  <c r="B1886" i="2" l="1"/>
  <c r="G579" i="7"/>
  <c r="G580" i="7" s="1"/>
  <c r="G582" i="7" s="1"/>
  <c r="F371" i="7" s="1"/>
  <c r="G364" i="7"/>
  <c r="G368" i="7"/>
  <c r="G367" i="7"/>
  <c r="G366" i="7"/>
  <c r="G365" i="7"/>
  <c r="G559" i="7" l="1"/>
  <c r="G560" i="7" s="1"/>
  <c r="G562" i="7" s="1"/>
  <c r="F354" i="7" s="1"/>
  <c r="G354" i="7" s="1"/>
  <c r="G347" i="7"/>
  <c r="G351" i="7"/>
  <c r="G350" i="7"/>
  <c r="G349" i="7"/>
  <c r="G348" i="7"/>
  <c r="G797" i="7"/>
  <c r="G796" i="7"/>
  <c r="G795" i="7"/>
  <c r="G51" i="2"/>
  <c r="G53" i="2" s="1"/>
  <c r="G54" i="2" s="1"/>
  <c r="B55" i="2" s="1"/>
  <c r="B57" i="2" s="1"/>
  <c r="B58" i="2" l="1"/>
  <c r="G355" i="7"/>
  <c r="F1130" i="2" l="1"/>
  <c r="G1130" i="2" s="1"/>
  <c r="P18" i="1"/>
  <c r="Q18" i="1" s="1"/>
  <c r="P17" i="1"/>
  <c r="Q17" i="1" s="1"/>
  <c r="P16" i="1"/>
  <c r="Q16" i="1" s="1"/>
  <c r="F1915" i="2"/>
  <c r="G1915" i="2" s="1"/>
  <c r="F1502" i="2"/>
  <c r="G1502" i="2" s="1"/>
  <c r="P19" i="1"/>
  <c r="Q19" i="1" s="1"/>
  <c r="P15" i="1"/>
  <c r="Q15" i="1" s="1"/>
  <c r="Q20" i="1" l="1"/>
  <c r="G31" i="2"/>
  <c r="G30" i="2"/>
  <c r="G29" i="2"/>
  <c r="G28" i="2"/>
  <c r="G11" i="2" l="1"/>
  <c r="G12" i="2"/>
  <c r="G13" i="2"/>
  <c r="G14" i="2"/>
  <c r="G334" i="7" l="1"/>
  <c r="G333" i="7"/>
  <c r="G332" i="7"/>
  <c r="G331" i="7"/>
  <c r="G330" i="7"/>
  <c r="G317" i="7"/>
  <c r="G316" i="7"/>
  <c r="G315" i="7"/>
  <c r="G314" i="7"/>
  <c r="G313" i="7"/>
  <c r="G283" i="7"/>
  <c r="G282" i="7"/>
  <c r="G281" i="7"/>
  <c r="G280" i="7"/>
  <c r="G279" i="7"/>
  <c r="G249" i="7"/>
  <c r="G248" i="7"/>
  <c r="G247" i="7"/>
  <c r="G246" i="7"/>
  <c r="G245" i="7"/>
  <c r="G232" i="7"/>
  <c r="G231" i="7"/>
  <c r="G230" i="7"/>
  <c r="G229" i="7"/>
  <c r="G228" i="7"/>
  <c r="G215" i="7"/>
  <c r="G214" i="7"/>
  <c r="G213" i="7"/>
  <c r="G212" i="7"/>
  <c r="G211" i="7"/>
  <c r="G198" i="7"/>
  <c r="G197" i="7"/>
  <c r="G196" i="7"/>
  <c r="G195" i="7"/>
  <c r="G194" i="7"/>
  <c r="G181" i="7"/>
  <c r="G180" i="7"/>
  <c r="G179" i="7"/>
  <c r="G178" i="7"/>
  <c r="G177" i="7"/>
  <c r="G164" i="7"/>
  <c r="G163" i="7"/>
  <c r="G162" i="7"/>
  <c r="G161" i="7"/>
  <c r="G160" i="7"/>
  <c r="G147" i="7"/>
  <c r="G146" i="7"/>
  <c r="G145" i="7"/>
  <c r="G144" i="7"/>
  <c r="G143" i="7"/>
  <c r="G132" i="7"/>
  <c r="G131" i="7"/>
  <c r="G130" i="7"/>
  <c r="G129" i="7"/>
  <c r="G128" i="7"/>
  <c r="G117" i="7"/>
  <c r="G116" i="7"/>
  <c r="G115" i="7"/>
  <c r="G114" i="7"/>
  <c r="G113" i="7"/>
  <c r="G100" i="7"/>
  <c r="G99" i="7"/>
  <c r="G98" i="7"/>
  <c r="G97" i="7"/>
  <c r="G96" i="7"/>
  <c r="G83" i="7"/>
  <c r="G82" i="7"/>
  <c r="G81" i="7"/>
  <c r="G80" i="7"/>
  <c r="G79" i="7"/>
  <c r="G49" i="7"/>
  <c r="G48" i="7"/>
  <c r="G47" i="7"/>
  <c r="G46" i="7"/>
  <c r="G45" i="7"/>
  <c r="G1750" i="7"/>
  <c r="G1718" i="7"/>
  <c r="G1679" i="7"/>
  <c r="G1678" i="7"/>
  <c r="G1470" i="7"/>
  <c r="G1460" i="7"/>
  <c r="G1450" i="7"/>
  <c r="G1451" i="7" s="1"/>
  <c r="G1453" i="7" s="1"/>
  <c r="F252" i="7" s="1"/>
  <c r="G252" i="7" s="1"/>
  <c r="G1440" i="7"/>
  <c r="G1441" i="7" s="1"/>
  <c r="G1443" i="7" s="1"/>
  <c r="F286" i="7" s="1"/>
  <c r="G286" i="7" s="1"/>
  <c r="G1430" i="7"/>
  <c r="G1431" i="7" s="1"/>
  <c r="G1433" i="7" s="1"/>
  <c r="F235" i="7" s="1"/>
  <c r="G235" i="7" s="1"/>
  <c r="G1420" i="7"/>
  <c r="G1421" i="7" s="1"/>
  <c r="G1423" i="7" s="1"/>
  <c r="F201" i="7" s="1"/>
  <c r="G201" i="7" s="1"/>
  <c r="F1410" i="7"/>
  <c r="G1410" i="7" s="1"/>
  <c r="G1411" i="7" s="1"/>
  <c r="G1413" i="7" s="1"/>
  <c r="F218" i="7" s="1"/>
  <c r="G218" i="7" s="1"/>
  <c r="G1387" i="7"/>
  <c r="G1389" i="7" s="1"/>
  <c r="G1390" i="7" s="1"/>
  <c r="F1321" i="7" s="1"/>
  <c r="G1321" i="7" s="1"/>
  <c r="G1377" i="7"/>
  <c r="G1379" i="7" s="1"/>
  <c r="G1380" i="7" s="1"/>
  <c r="F1320" i="7" s="1"/>
  <c r="G1320" i="7" s="1"/>
  <c r="G1367" i="7"/>
  <c r="G1369" i="7" s="1"/>
  <c r="G1370" i="7" s="1"/>
  <c r="G1357" i="7"/>
  <c r="G1359" i="7" s="1"/>
  <c r="G1360" i="7" s="1"/>
  <c r="G1347" i="7"/>
  <c r="G1348" i="7" s="1"/>
  <c r="G1350" i="7" s="1"/>
  <c r="F1337" i="7" s="1"/>
  <c r="G1337" i="7" s="1"/>
  <c r="G1335" i="7"/>
  <c r="G1334" i="7"/>
  <c r="G1333" i="7"/>
  <c r="G1332" i="7"/>
  <c r="G1331" i="7"/>
  <c r="G1158" i="7"/>
  <c r="G1160" i="7" s="1"/>
  <c r="G1161" i="7" s="1"/>
  <c r="F1118" i="7" s="1"/>
  <c r="G1118" i="7" s="1"/>
  <c r="G1148" i="7"/>
  <c r="G1150" i="7" s="1"/>
  <c r="G1151" i="7" s="1"/>
  <c r="F1117" i="7" s="1"/>
  <c r="G1117" i="7" s="1"/>
  <c r="G1138" i="7"/>
  <c r="G1140" i="7" s="1"/>
  <c r="G1141" i="7" s="1"/>
  <c r="G1128" i="7"/>
  <c r="G1073" i="7"/>
  <c r="G1059" i="7"/>
  <c r="G1049" i="7"/>
  <c r="G1050" i="7" s="1"/>
  <c r="G1052" i="7" s="1"/>
  <c r="F167" i="7" s="1"/>
  <c r="G167" i="7" s="1"/>
  <c r="G1039" i="7"/>
  <c r="G1040" i="7" s="1"/>
  <c r="G1042" i="7" s="1"/>
  <c r="F184" i="7" s="1"/>
  <c r="G184" i="7" s="1"/>
  <c r="G1016" i="7"/>
  <c r="G1018" i="7" s="1"/>
  <c r="G1019" i="7" s="1"/>
  <c r="F976" i="7" s="1"/>
  <c r="G976" i="7" s="1"/>
  <c r="G1006" i="7"/>
  <c r="G1008" i="7" s="1"/>
  <c r="G1009" i="7" s="1"/>
  <c r="F975" i="7" s="1"/>
  <c r="G975" i="7" s="1"/>
  <c r="G996" i="7"/>
  <c r="G998" i="7" s="1"/>
  <c r="G999" i="7" s="1"/>
  <c r="F1029" i="7" s="1"/>
  <c r="G1029" i="7" s="1"/>
  <c r="G986" i="7"/>
  <c r="G988" i="7" s="1"/>
  <c r="G989" i="7" s="1"/>
  <c r="G950" i="7"/>
  <c r="G952" i="7" s="1"/>
  <c r="G953" i="7" s="1"/>
  <c r="F910" i="7" s="1"/>
  <c r="G910" i="7" s="1"/>
  <c r="G940" i="7"/>
  <c r="G942" i="7" s="1"/>
  <c r="G943" i="7" s="1"/>
  <c r="F909" i="7" s="1"/>
  <c r="G909" i="7" s="1"/>
  <c r="G930" i="7"/>
  <c r="G932" i="7" s="1"/>
  <c r="G933" i="7" s="1"/>
  <c r="G920" i="7"/>
  <c r="G922" i="7" s="1"/>
  <c r="G923" i="7" s="1"/>
  <c r="G897" i="7"/>
  <c r="G898" i="7" s="1"/>
  <c r="G900" i="7" s="1"/>
  <c r="F860" i="7" s="1"/>
  <c r="G860" i="7" s="1"/>
  <c r="G858" i="7"/>
  <c r="G857" i="7"/>
  <c r="G856" i="7"/>
  <c r="G855" i="7"/>
  <c r="G854" i="7"/>
  <c r="G838" i="7"/>
  <c r="G837" i="7"/>
  <c r="G836" i="7"/>
  <c r="G772" i="7"/>
  <c r="G774" i="7" s="1"/>
  <c r="G775" i="7" s="1"/>
  <c r="F652" i="7" s="1"/>
  <c r="G652" i="7" s="1"/>
  <c r="G762" i="7"/>
  <c r="G764" i="7" s="1"/>
  <c r="G765" i="7" s="1"/>
  <c r="F651" i="7" s="1"/>
  <c r="G651" i="7" s="1"/>
  <c r="G752" i="7"/>
  <c r="G754" i="7" s="1"/>
  <c r="G755" i="7" s="1"/>
  <c r="G742" i="7"/>
  <c r="G732" i="7"/>
  <c r="G733" i="7" s="1"/>
  <c r="G735" i="7" s="1"/>
  <c r="F668" i="7" s="1"/>
  <c r="G668" i="7" s="1"/>
  <c r="G666" i="7"/>
  <c r="G665" i="7"/>
  <c r="G664" i="7"/>
  <c r="G663" i="7"/>
  <c r="G662" i="7"/>
  <c r="G637" i="7"/>
  <c r="G636" i="7"/>
  <c r="G626" i="7"/>
  <c r="G625" i="7"/>
  <c r="G615" i="7"/>
  <c r="G614" i="7"/>
  <c r="G569" i="7"/>
  <c r="G570" i="7" s="1"/>
  <c r="G572" i="7" s="1"/>
  <c r="F150" i="7" s="1"/>
  <c r="G150" i="7" s="1"/>
  <c r="G549" i="7"/>
  <c r="G550" i="7" s="1"/>
  <c r="G552" i="7" s="1"/>
  <c r="F86" i="7" s="1"/>
  <c r="G86" i="7" s="1"/>
  <c r="G539" i="7"/>
  <c r="G540" i="7" s="1"/>
  <c r="G542" i="7" s="1"/>
  <c r="F133" i="7" s="1"/>
  <c r="G133" i="7" s="1"/>
  <c r="G529" i="7"/>
  <c r="G519" i="7"/>
  <c r="G489" i="7"/>
  <c r="G490" i="7" s="1"/>
  <c r="G492" i="7" s="1"/>
  <c r="F52" i="7" s="1"/>
  <c r="G52" i="7" s="1"/>
  <c r="G35" i="7"/>
  <c r="G34" i="7"/>
  <c r="G33" i="7"/>
  <c r="G32" i="7"/>
  <c r="G31" i="7"/>
  <c r="G30" i="7"/>
  <c r="G29" i="7"/>
  <c r="G19" i="7"/>
  <c r="F421" i="7" s="1"/>
  <c r="G421" i="7" s="1"/>
  <c r="G424" i="7" s="1"/>
  <c r="G425" i="7" s="1"/>
  <c r="G18" i="7"/>
  <c r="G17" i="7"/>
  <c r="G16" i="7"/>
  <c r="G15" i="7"/>
  <c r="G14" i="7"/>
  <c r="G13" i="7"/>
  <c r="G12" i="7"/>
  <c r="G11" i="7"/>
  <c r="G10" i="7"/>
  <c r="G9" i="7"/>
  <c r="G8" i="7"/>
  <c r="G7" i="7"/>
  <c r="G520" i="7" l="1"/>
  <c r="G522" i="7" s="1"/>
  <c r="F103" i="7" s="1"/>
  <c r="G103" i="7" s="1"/>
  <c r="G69" i="7"/>
  <c r="G70" i="7" s="1"/>
  <c r="F1733" i="2" s="1"/>
  <c r="G1733" i="2" s="1"/>
  <c r="G744" i="7"/>
  <c r="G745" i="7" s="1"/>
  <c r="F784" i="7" s="1"/>
  <c r="G784" i="7" s="1"/>
  <c r="G702" i="7"/>
  <c r="G703" i="7" s="1"/>
  <c r="F1541" i="2" s="1"/>
  <c r="G1471" i="7"/>
  <c r="G269" i="7"/>
  <c r="G270" i="7" s="1"/>
  <c r="F208" i="2" s="1"/>
  <c r="G208" i="2" s="1"/>
  <c r="G1461" i="7"/>
  <c r="G1463" i="7" s="1"/>
  <c r="F320" i="7" s="1"/>
  <c r="G320" i="7" s="1"/>
  <c r="G321" i="7" s="1"/>
  <c r="G303" i="7"/>
  <c r="G304" i="7" s="1"/>
  <c r="F206" i="2" s="1"/>
  <c r="G206" i="2" s="1"/>
  <c r="G530" i="7"/>
  <c r="G532" i="7" s="1"/>
  <c r="F118" i="7" s="1"/>
  <c r="G118" i="7" s="1"/>
  <c r="G405" i="7"/>
  <c r="G406" i="7" s="1"/>
  <c r="G1130" i="7"/>
  <c r="G1131" i="7" s="1"/>
  <c r="F1115" i="7" s="1"/>
  <c r="G1115" i="7" s="1"/>
  <c r="G371" i="7"/>
  <c r="G617" i="7"/>
  <c r="G618" i="7" s="1"/>
  <c r="F601" i="7" s="1"/>
  <c r="G601" i="7" s="1"/>
  <c r="G639" i="7"/>
  <c r="G640" i="7" s="1"/>
  <c r="F603" i="7" s="1"/>
  <c r="G603" i="7" s="1"/>
  <c r="G1338" i="7"/>
  <c r="F1397" i="7" s="1"/>
  <c r="G1397" i="7" s="1"/>
  <c r="G1401" i="7" s="1"/>
  <c r="G219" i="7"/>
  <c r="G119" i="7"/>
  <c r="F974" i="7"/>
  <c r="G974" i="7" s="1"/>
  <c r="G120" i="7"/>
  <c r="G135" i="7"/>
  <c r="F600" i="7" s="1"/>
  <c r="G600" i="7" s="1"/>
  <c r="F973" i="7"/>
  <c r="G973" i="7" s="1"/>
  <c r="F1028" i="7"/>
  <c r="G1028" i="7" s="1"/>
  <c r="G21" i="7"/>
  <c r="G22" i="7" s="1"/>
  <c r="F67" i="7" s="1"/>
  <c r="G67" i="7" s="1"/>
  <c r="G743" i="2" s="1"/>
  <c r="G37" i="7"/>
  <c r="G38" i="7" s="1"/>
  <c r="G861" i="7"/>
  <c r="G134" i="7"/>
  <c r="G287" i="7"/>
  <c r="F1801" i="7" s="1"/>
  <c r="G1801" i="7" s="1"/>
  <c r="G53" i="7"/>
  <c r="F1841" i="2" s="1"/>
  <c r="G104" i="7"/>
  <c r="G87" i="7"/>
  <c r="G151" i="7"/>
  <c r="G202" i="7"/>
  <c r="F501" i="2" s="1"/>
  <c r="G501" i="2" s="1"/>
  <c r="G253" i="7"/>
  <c r="F1776" i="2" s="1"/>
  <c r="G1776" i="2" s="1"/>
  <c r="G236" i="7"/>
  <c r="G185" i="7"/>
  <c r="G168" i="7"/>
  <c r="F440" i="2" s="1"/>
  <c r="G440" i="2" s="1"/>
  <c r="F1400" i="7"/>
  <c r="G1400" i="7" s="1"/>
  <c r="F1319" i="7"/>
  <c r="G1319" i="7" s="1"/>
  <c r="F907" i="7"/>
  <c r="G907" i="7" s="1"/>
  <c r="F960" i="7"/>
  <c r="G960" i="7" s="1"/>
  <c r="G669" i="7"/>
  <c r="F1116" i="7"/>
  <c r="G1116" i="7" s="1"/>
  <c r="F1169" i="7"/>
  <c r="G1169" i="7" s="1"/>
  <c r="G1171" i="7" s="1"/>
  <c r="G1172" i="7" s="1"/>
  <c r="F785" i="7"/>
  <c r="G785" i="7" s="1"/>
  <c r="F650" i="7"/>
  <c r="G650" i="7" s="1"/>
  <c r="F961" i="7"/>
  <c r="G961" i="7" s="1"/>
  <c r="F908" i="7"/>
  <c r="G908" i="7" s="1"/>
  <c r="F1318" i="7"/>
  <c r="G1318" i="7" s="1"/>
  <c r="G1252" i="7" s="1"/>
  <c r="F1399" i="7"/>
  <c r="G1399" i="7" s="1"/>
  <c r="G628" i="7"/>
  <c r="G629" i="7" s="1"/>
  <c r="F602" i="7" s="1"/>
  <c r="G602" i="7" s="1"/>
  <c r="F1839" i="2" l="1"/>
  <c r="F766" i="2"/>
  <c r="G766" i="2" s="1"/>
  <c r="F701" i="7"/>
  <c r="F68" i="7"/>
  <c r="F801" i="2"/>
  <c r="G801" i="2" s="1"/>
  <c r="G807" i="2" s="1"/>
  <c r="F764" i="2"/>
  <c r="G764" i="2" s="1"/>
  <c r="F1778" i="2"/>
  <c r="G1778" i="2" s="1"/>
  <c r="G1780" i="2" s="1"/>
  <c r="F1963" i="7"/>
  <c r="G1963" i="7" s="1"/>
  <c r="F1978" i="7"/>
  <c r="G1978" i="7" s="1"/>
  <c r="F1948" i="7"/>
  <c r="F649" i="7"/>
  <c r="G649" i="7" s="1"/>
  <c r="F882" i="2"/>
  <c r="G882" i="2" s="1"/>
  <c r="F104" i="2"/>
  <c r="G104" i="2" s="1"/>
  <c r="F1613" i="2"/>
  <c r="G1613" i="2" s="1"/>
  <c r="F1559" i="2"/>
  <c r="G1559" i="2" s="1"/>
  <c r="G1562" i="2" s="1"/>
  <c r="F1631" i="2"/>
  <c r="G1631" i="2" s="1"/>
  <c r="F1595" i="2"/>
  <c r="G1595" i="2" s="1"/>
  <c r="F1577" i="2"/>
  <c r="G1577" i="2" s="1"/>
  <c r="G1841" i="2"/>
  <c r="F34" i="2"/>
  <c r="G34" i="2" s="1"/>
  <c r="F1958" i="2"/>
  <c r="G1958" i="2" s="1"/>
  <c r="F1629" i="2"/>
  <c r="G1629" i="2" s="1"/>
  <c r="F1593" i="2"/>
  <c r="G1593" i="2" s="1"/>
  <c r="F1611" i="2"/>
  <c r="G1611" i="2" s="1"/>
  <c r="F2017" i="2"/>
  <c r="G2017" i="2" s="1"/>
  <c r="F1575" i="2"/>
  <c r="G1575" i="2" s="1"/>
  <c r="G1580" i="2" s="1"/>
  <c r="F1543" i="2"/>
  <c r="G1543" i="2" s="1"/>
  <c r="F1820" i="2"/>
  <c r="G1820" i="2" s="1"/>
  <c r="G1839" i="2"/>
  <c r="F499" i="2"/>
  <c r="G499" i="2" s="1"/>
  <c r="G508" i="2" s="1"/>
  <c r="F102" i="2"/>
  <c r="G102" i="2" s="1"/>
  <c r="F267" i="7"/>
  <c r="G267" i="7" s="1"/>
  <c r="F700" i="7"/>
  <c r="G700" i="7" s="1"/>
  <c r="F2034" i="2"/>
  <c r="G2034" i="2" s="1"/>
  <c r="F2055" i="2"/>
  <c r="G2055" i="2" s="1"/>
  <c r="F1430" i="2"/>
  <c r="G1430" i="2" s="1"/>
  <c r="F1803" i="7"/>
  <c r="G1803" i="7" s="1"/>
  <c r="G1805" i="7" s="1"/>
  <c r="F1480" i="7"/>
  <c r="G1480" i="7" s="1"/>
  <c r="F2096" i="2"/>
  <c r="G2096" i="2" s="1"/>
  <c r="F2078" i="2"/>
  <c r="G2078" i="2" s="1"/>
  <c r="F1919" i="2"/>
  <c r="G1919" i="2" s="1"/>
  <c r="F1428" i="2"/>
  <c r="G1428" i="2" s="1"/>
  <c r="F1053" i="2"/>
  <c r="G1053" i="2" s="1"/>
  <c r="F1035" i="2"/>
  <c r="G1035" i="2" s="1"/>
  <c r="F1071" i="2"/>
  <c r="G1071" i="2" s="1"/>
  <c r="F1091" i="2"/>
  <c r="G1091" i="2" s="1"/>
  <c r="F1017" i="2"/>
  <c r="G1017" i="2" s="1"/>
  <c r="F998" i="2"/>
  <c r="G998" i="2" s="1"/>
  <c r="F979" i="2"/>
  <c r="G979" i="2" s="1"/>
  <c r="F958" i="2"/>
  <c r="G958" i="2" s="1"/>
  <c r="F1015" i="2"/>
  <c r="G1015" i="2" s="1"/>
  <c r="F1089" i="2"/>
  <c r="G1089" i="2" s="1"/>
  <c r="F1941" i="2"/>
  <c r="G1941" i="2" s="1"/>
  <c r="F1165" i="2"/>
  <c r="G1165" i="2" s="1"/>
  <c r="F1128" i="2"/>
  <c r="G1128" i="2" s="1"/>
  <c r="G1134" i="2" s="1"/>
  <c r="F1565" i="7"/>
  <c r="G1565" i="7" s="1"/>
  <c r="G1567" i="7" s="1"/>
  <c r="F1213" i="2"/>
  <c r="G1213" i="2" s="1"/>
  <c r="G1216" i="2" s="1"/>
  <c r="F1051" i="2"/>
  <c r="G1051" i="2" s="1"/>
  <c r="F1192" i="2"/>
  <c r="G1192" i="2" s="1"/>
  <c r="G1200" i="2" s="1"/>
  <c r="F1069" i="2"/>
  <c r="G1069" i="2" s="1"/>
  <c r="F1033" i="2"/>
  <c r="G1033" i="2" s="1"/>
  <c r="F977" i="2"/>
  <c r="G977" i="2" s="1"/>
  <c r="F996" i="2"/>
  <c r="G996" i="2" s="1"/>
  <c r="G1473" i="7"/>
  <c r="F337" i="7" s="1"/>
  <c r="G337" i="7" s="1"/>
  <c r="G338" i="7" s="1"/>
  <c r="F938" i="2"/>
  <c r="G938" i="2" s="1"/>
  <c r="F960" i="2"/>
  <c r="G960" i="2" s="1"/>
  <c r="F818" i="7"/>
  <c r="G818" i="7" s="1"/>
  <c r="F1547" i="7"/>
  <c r="G1547" i="7" s="1"/>
  <c r="G1554" i="7" s="1"/>
  <c r="F821" i="7"/>
  <c r="G821" i="7" s="1"/>
  <c r="F1553" i="7"/>
  <c r="G1553" i="7" s="1"/>
  <c r="F903" i="2"/>
  <c r="G903" i="2" s="1"/>
  <c r="F442" i="2"/>
  <c r="G442" i="2" s="1"/>
  <c r="G444" i="2" s="1"/>
  <c r="F936" i="2"/>
  <c r="G936" i="2" s="1"/>
  <c r="F302" i="7"/>
  <c r="F268" i="7"/>
  <c r="G268" i="7" s="1"/>
  <c r="G271" i="7" s="1"/>
  <c r="F403" i="7"/>
  <c r="G403" i="7" s="1"/>
  <c r="F301" i="7"/>
  <c r="G301" i="7" s="1"/>
  <c r="F292" i="2"/>
  <c r="G292" i="2" s="1"/>
  <c r="F153" i="2"/>
  <c r="G153" i="2" s="1"/>
  <c r="F136" i="2"/>
  <c r="G136" i="2" s="1"/>
  <c r="F1921" i="2"/>
  <c r="G1921" i="2" s="1"/>
  <c r="F82" i="2"/>
  <c r="G82" i="2" s="1"/>
  <c r="F645" i="2"/>
  <c r="G645" i="2" s="1"/>
  <c r="F724" i="2"/>
  <c r="G724" i="2" s="1"/>
  <c r="F84" i="2"/>
  <c r="G84" i="2" s="1"/>
  <c r="F170" i="2"/>
  <c r="G170" i="2" s="1"/>
  <c r="G172" i="2" s="1"/>
  <c r="F155" i="2"/>
  <c r="G155" i="2" s="1"/>
  <c r="F138" i="2"/>
  <c r="G138" i="2" s="1"/>
  <c r="F185" i="2"/>
  <c r="G185" i="2" s="1"/>
  <c r="G187" i="2" s="1"/>
  <c r="F423" i="2"/>
  <c r="G423" i="2" s="1"/>
  <c r="G425" i="2" s="1"/>
  <c r="F407" i="2"/>
  <c r="G407" i="2" s="1"/>
  <c r="F438" i="7"/>
  <c r="F404" i="7"/>
  <c r="F684" i="7"/>
  <c r="F387" i="7"/>
  <c r="F876" i="7"/>
  <c r="F370" i="7"/>
  <c r="F386" i="7"/>
  <c r="G386" i="7" s="1"/>
  <c r="F683" i="7"/>
  <c r="G683" i="7" s="1"/>
  <c r="F389" i="2"/>
  <c r="G389" i="2" s="1"/>
  <c r="F371" i="2"/>
  <c r="G371" i="2" s="1"/>
  <c r="G373" i="2" s="1"/>
  <c r="F227" i="2"/>
  <c r="G227" i="2" s="1"/>
  <c r="G229" i="2" s="1"/>
  <c r="F294" i="2"/>
  <c r="G294" i="2" s="1"/>
  <c r="F1822" i="2"/>
  <c r="G1822" i="2" s="1"/>
  <c r="F1759" i="2"/>
  <c r="G1759" i="2" s="1"/>
  <c r="F1933" i="7"/>
  <c r="G1933" i="7" s="1"/>
  <c r="F581" i="2"/>
  <c r="G581" i="2" s="1"/>
  <c r="F661" i="2"/>
  <c r="G661" i="2" s="1"/>
  <c r="G666" i="2" s="1"/>
  <c r="F702" i="2"/>
  <c r="G702" i="2" s="1"/>
  <c r="F679" i="2"/>
  <c r="G679" i="2" s="1"/>
  <c r="G684" i="2" s="1"/>
  <c r="F1917" i="2"/>
  <c r="G1917" i="2" s="1"/>
  <c r="F1897" i="2"/>
  <c r="G1897" i="2" s="1"/>
  <c r="F708" i="2"/>
  <c r="G708" i="2" s="1"/>
  <c r="F589" i="2"/>
  <c r="G589" i="2" s="1"/>
  <c r="F816" i="7"/>
  <c r="G816" i="7" s="1"/>
  <c r="F1090" i="7"/>
  <c r="F1916" i="7"/>
  <c r="F858" i="2"/>
  <c r="G858" i="2" s="1"/>
  <c r="F1088" i="7"/>
  <c r="F545" i="2"/>
  <c r="G545" i="2" s="1"/>
  <c r="F862" i="2"/>
  <c r="G862" i="2" s="1"/>
  <c r="F884" i="2"/>
  <c r="G884" i="2" s="1"/>
  <c r="F860" i="2"/>
  <c r="G860" i="2" s="1"/>
  <c r="G372" i="7"/>
  <c r="F726" i="2" s="1"/>
  <c r="G726" i="2" s="1"/>
  <c r="F1882" i="7"/>
  <c r="G1882" i="7" s="1"/>
  <c r="G1541" i="2" s="1"/>
  <c r="F1899" i="7"/>
  <c r="G1899" i="7" s="1"/>
  <c r="F352" i="7"/>
  <c r="G352" i="7" s="1"/>
  <c r="F437" i="7"/>
  <c r="G437" i="7" s="1"/>
  <c r="F369" i="7"/>
  <c r="G369" i="7" s="1"/>
  <c r="F875" i="7"/>
  <c r="G875" i="7" s="1"/>
  <c r="F1534" i="7"/>
  <c r="G1534" i="7" s="1"/>
  <c r="G1538" i="7" s="1"/>
  <c r="F1654" i="7" s="1"/>
  <c r="G1654" i="7" s="1"/>
  <c r="F1487" i="2"/>
  <c r="G1487" i="2" s="1"/>
  <c r="F561" i="2"/>
  <c r="G561" i="2" s="1"/>
  <c r="F1833" i="7"/>
  <c r="F1850" i="7"/>
  <c r="G1850" i="7" s="1"/>
  <c r="F1519" i="7"/>
  <c r="G1519" i="7" s="1"/>
  <c r="F1816" i="7"/>
  <c r="G1816" i="7" s="1"/>
  <c r="F1694" i="7"/>
  <c r="G1694" i="7" s="1"/>
  <c r="F1412" i="2"/>
  <c r="G1412" i="2" s="1"/>
  <c r="F1394" i="2"/>
  <c r="G1394" i="2" s="1"/>
  <c r="F1692" i="7"/>
  <c r="G1692" i="7" s="1"/>
  <c r="F1392" i="2"/>
  <c r="G1392" i="2" s="1"/>
  <c r="F1410" i="2"/>
  <c r="G1410" i="2" s="1"/>
  <c r="F1168" i="7"/>
  <c r="G1168" i="7" s="1"/>
  <c r="F1761" i="7"/>
  <c r="F1719" i="7"/>
  <c r="G1719" i="7" s="1"/>
  <c r="F1763" i="7"/>
  <c r="F1721" i="7"/>
  <c r="G1721" i="7" s="1"/>
  <c r="F1735" i="7"/>
  <c r="G1735" i="7" s="1"/>
  <c r="F1748" i="7"/>
  <c r="G1748" i="7" s="1"/>
  <c r="F1733" i="7"/>
  <c r="G1733" i="7" s="1"/>
  <c r="F1746" i="7"/>
  <c r="G1746" i="7" s="1"/>
  <c r="F1622" i="7"/>
  <c r="G1622" i="7" s="1"/>
  <c r="F1650" i="7"/>
  <c r="G1650" i="7" s="1"/>
  <c r="F1636" i="7"/>
  <c r="G1636" i="7" s="1"/>
  <c r="F1624" i="7"/>
  <c r="G1624" i="7" s="1"/>
  <c r="F1638" i="7"/>
  <c r="G1638" i="7" s="1"/>
  <c r="F1652" i="7"/>
  <c r="G1652" i="7" s="1"/>
  <c r="F1316" i="7"/>
  <c r="G1316" i="7" s="1"/>
  <c r="G1322" i="7" s="1"/>
  <c r="F1580" i="7"/>
  <c r="G1580" i="7" s="1"/>
  <c r="F1609" i="7"/>
  <c r="G1609" i="7" s="1"/>
  <c r="F1594" i="7"/>
  <c r="G1594" i="7" s="1"/>
  <c r="F1578" i="7"/>
  <c r="G1578" i="7" s="1"/>
  <c r="F1607" i="7"/>
  <c r="G1607" i="7" s="1"/>
  <c r="F1592" i="7"/>
  <c r="G1592" i="7" s="1"/>
  <c r="F1506" i="7"/>
  <c r="G1506" i="7" s="1"/>
  <c r="F1493" i="7"/>
  <c r="G1493" i="7" s="1"/>
  <c r="F1680" i="7"/>
  <c r="G1680" i="7" s="1"/>
  <c r="G1682" i="7" s="1"/>
  <c r="F1705" i="7" s="1"/>
  <c r="G1705" i="7" s="1"/>
  <c r="F1495" i="7"/>
  <c r="G1495" i="7" s="1"/>
  <c r="F1508" i="7"/>
  <c r="G1508" i="7" s="1"/>
  <c r="F803" i="7"/>
  <c r="G803" i="7" s="1"/>
  <c r="F526" i="2"/>
  <c r="G526" i="2" s="1"/>
  <c r="F210" i="2"/>
  <c r="G210" i="2" s="1"/>
  <c r="F1076" i="7"/>
  <c r="G1076" i="7" s="1"/>
  <c r="F1104" i="7"/>
  <c r="G1104" i="7" s="1"/>
  <c r="F543" i="2"/>
  <c r="G543" i="2" s="1"/>
  <c r="F521" i="2"/>
  <c r="G521" i="2" s="1"/>
  <c r="F800" i="7"/>
  <c r="G800" i="7" s="1"/>
  <c r="F523" i="2"/>
  <c r="G523" i="2" s="1"/>
  <c r="F1074" i="7"/>
  <c r="G1074" i="7" s="1"/>
  <c r="F1102" i="7"/>
  <c r="G1102" i="7" s="1"/>
  <c r="F599" i="7"/>
  <c r="G599" i="7" s="1"/>
  <c r="F482" i="2"/>
  <c r="G482" i="2" s="1"/>
  <c r="F1062" i="7"/>
  <c r="G1062" i="7" s="1"/>
  <c r="F461" i="2"/>
  <c r="G461" i="2" s="1"/>
  <c r="F798" i="7"/>
  <c r="G798" i="7" s="1"/>
  <c r="F316" i="2"/>
  <c r="G316" i="2" s="1"/>
  <c r="F212" i="2"/>
  <c r="G212" i="2" s="1"/>
  <c r="F276" i="2"/>
  <c r="G276" i="2" s="1"/>
  <c r="F839" i="7"/>
  <c r="G839" i="7" s="1"/>
  <c r="F337" i="2"/>
  <c r="G337" i="2" s="1"/>
  <c r="F259" i="2"/>
  <c r="G259" i="2" s="1"/>
  <c r="G261" i="2" s="1"/>
  <c r="F244" i="2"/>
  <c r="G244" i="2" s="1"/>
  <c r="F480" i="2"/>
  <c r="G480" i="2" s="1"/>
  <c r="F459" i="2"/>
  <c r="G459" i="2" s="1"/>
  <c r="F1060" i="7"/>
  <c r="G1060" i="7" s="1"/>
  <c r="F335" i="2"/>
  <c r="G335" i="2" s="1"/>
  <c r="F242" i="2"/>
  <c r="G242" i="2" s="1"/>
  <c r="F314" i="2"/>
  <c r="G314" i="2" s="1"/>
  <c r="F1336" i="7"/>
  <c r="G1336" i="7" s="1"/>
  <c r="G1339" i="7" s="1"/>
  <c r="F1398" i="7" s="1"/>
  <c r="G1398" i="7" s="1"/>
  <c r="G1402" i="7" s="1"/>
  <c r="F353" i="7"/>
  <c r="F121" i="2"/>
  <c r="G121" i="2" s="1"/>
  <c r="F119" i="2"/>
  <c r="G119" i="2" s="1"/>
  <c r="G605" i="7"/>
  <c r="F667" i="7"/>
  <c r="G667" i="7" s="1"/>
  <c r="G670" i="7" s="1"/>
  <c r="F972" i="7" s="1"/>
  <c r="G972" i="7" s="1"/>
  <c r="G978" i="7" s="1"/>
  <c r="G136" i="7"/>
  <c r="F841" i="7"/>
  <c r="G841" i="7" s="1"/>
  <c r="F9" i="2"/>
  <c r="G9" i="2" s="1"/>
  <c r="G121" i="7"/>
  <c r="F32" i="2"/>
  <c r="G32" i="2" s="1"/>
  <c r="F7" i="2"/>
  <c r="G7" i="2" s="1"/>
  <c r="G963" i="7"/>
  <c r="G964" i="7" s="1"/>
  <c r="F844" i="7" s="1"/>
  <c r="G844" i="7" s="1"/>
  <c r="F335" i="7"/>
  <c r="G335" i="7" s="1"/>
  <c r="F284" i="7"/>
  <c r="G284" i="7" s="1"/>
  <c r="F199" i="7"/>
  <c r="G199" i="7" s="1"/>
  <c r="F165" i="7"/>
  <c r="G165" i="7" s="1"/>
  <c r="F101" i="7"/>
  <c r="G101" i="7" s="1"/>
  <c r="F318" i="7"/>
  <c r="G318" i="7" s="1"/>
  <c r="F250" i="7"/>
  <c r="G250" i="7" s="1"/>
  <c r="F216" i="7"/>
  <c r="G216" i="7" s="1"/>
  <c r="F182" i="7"/>
  <c r="G182" i="7" s="1"/>
  <c r="F148" i="7"/>
  <c r="G148" i="7" s="1"/>
  <c r="F84" i="7"/>
  <c r="G84" i="7" s="1"/>
  <c r="F233" i="7"/>
  <c r="G233" i="7" s="1"/>
  <c r="F50" i="7"/>
  <c r="G50" i="7" s="1"/>
  <c r="G912" i="7"/>
  <c r="G913" i="7" s="1"/>
  <c r="F843" i="7" s="1"/>
  <c r="G843" i="7" s="1"/>
  <c r="G1120" i="7"/>
  <c r="G1121" i="7" s="1"/>
  <c r="F336" i="7"/>
  <c r="G336" i="7" s="1"/>
  <c r="F285" i="7"/>
  <c r="G285" i="7" s="1"/>
  <c r="F234" i="7"/>
  <c r="G234" i="7" s="1"/>
  <c r="F200" i="7"/>
  <c r="G200" i="7" s="1"/>
  <c r="F166" i="7"/>
  <c r="G166" i="7" s="1"/>
  <c r="F102" i="7"/>
  <c r="G102" i="7" s="1"/>
  <c r="F51" i="7"/>
  <c r="G51" i="7" s="1"/>
  <c r="F319" i="7"/>
  <c r="G319" i="7" s="1"/>
  <c r="F217" i="7"/>
  <c r="G217" i="7" s="1"/>
  <c r="F149" i="7"/>
  <c r="G149" i="7" s="1"/>
  <c r="F85" i="7"/>
  <c r="G85" i="7" s="1"/>
  <c r="F859" i="7"/>
  <c r="G859" i="7" s="1"/>
  <c r="G862" i="7" s="1"/>
  <c r="F1548" i="7" s="1"/>
  <c r="G1548" i="7" s="1"/>
  <c r="F251" i="7"/>
  <c r="G251" i="7" s="1"/>
  <c r="F183" i="7"/>
  <c r="G183" i="7" s="1"/>
  <c r="F971" i="7"/>
  <c r="G971" i="7" s="1"/>
  <c r="G977" i="7" s="1"/>
  <c r="F1026" i="7"/>
  <c r="G1026" i="7" s="1"/>
  <c r="G1030" i="7" s="1"/>
  <c r="F647" i="7"/>
  <c r="G647" i="7" s="1"/>
  <c r="G653" i="7" s="1"/>
  <c r="F782" i="7"/>
  <c r="G782" i="7" s="1"/>
  <c r="G786" i="7" s="1"/>
  <c r="G1076" i="2" l="1"/>
  <c r="G770" i="2"/>
  <c r="G643" i="2"/>
  <c r="G741" i="2"/>
  <c r="G751" i="2" s="1"/>
  <c r="G644" i="2"/>
  <c r="G742" i="2"/>
  <c r="G246" i="2"/>
  <c r="G888" i="2"/>
  <c r="G1948" i="7"/>
  <c r="F1965" i="7"/>
  <c r="G1965" i="7" s="1"/>
  <c r="G1967" i="7" s="1"/>
  <c r="F1980" i="7"/>
  <c r="G1980" i="7" s="1"/>
  <c r="G1982" i="7" s="1"/>
  <c r="F1860" i="2" s="1"/>
  <c r="G1860" i="2" s="1"/>
  <c r="F1735" i="2"/>
  <c r="G1735" i="2" s="1"/>
  <c r="G1737" i="2" s="1"/>
  <c r="F1950" i="7"/>
  <c r="G1950" i="7" s="1"/>
  <c r="G1952" i="7" s="1"/>
  <c r="G1634" i="2"/>
  <c r="G1843" i="2"/>
  <c r="G106" i="2"/>
  <c r="F2032" i="2"/>
  <c r="G2032" i="2" s="1"/>
  <c r="G2040" i="2" s="1"/>
  <c r="F2053" i="2"/>
  <c r="G2053" i="2" s="1"/>
  <c r="G2061" i="2" s="1"/>
  <c r="F2015" i="2"/>
  <c r="G2015" i="2" s="1"/>
  <c r="G2019" i="2" s="1"/>
  <c r="F1956" i="2"/>
  <c r="G1956" i="2" s="1"/>
  <c r="G1964" i="2" s="1"/>
  <c r="G1598" i="2"/>
  <c r="G1616" i="2"/>
  <c r="G1432" i="2"/>
  <c r="F1539" i="2"/>
  <c r="G1539" i="2" s="1"/>
  <c r="G1546" i="2" s="1"/>
  <c r="G1038" i="2"/>
  <c r="G1090" i="7"/>
  <c r="F1918" i="7"/>
  <c r="F1794" i="2"/>
  <c r="G1794" i="2" s="1"/>
  <c r="F1818" i="7"/>
  <c r="G1818" i="7" s="1"/>
  <c r="G1820" i="7" s="1"/>
  <c r="F1445" i="2" s="1"/>
  <c r="G1445" i="2" s="1"/>
  <c r="F1504" i="2"/>
  <c r="G1504" i="2" s="1"/>
  <c r="G1526" i="2" s="1"/>
  <c r="F1485" i="2"/>
  <c r="G1485" i="2" s="1"/>
  <c r="G1489" i="2" s="1"/>
  <c r="F943" i="2"/>
  <c r="G943" i="2" s="1"/>
  <c r="G945" i="2" s="1"/>
  <c r="F1000" i="2"/>
  <c r="G1000" i="2" s="1"/>
  <c r="G1002" i="2" s="1"/>
  <c r="F981" i="2"/>
  <c r="G981" i="2" s="1"/>
  <c r="G983" i="2" s="1"/>
  <c r="F1867" i="7"/>
  <c r="G1867" i="7" s="1"/>
  <c r="F1884" i="7"/>
  <c r="G1884" i="7" s="1"/>
  <c r="G1886" i="7" s="1"/>
  <c r="F1649" i="2" s="1"/>
  <c r="G1649" i="2" s="1"/>
  <c r="F1796" i="2"/>
  <c r="G1796" i="2" s="1"/>
  <c r="F1757" i="2"/>
  <c r="G1757" i="2" s="1"/>
  <c r="G1761" i="2" s="1"/>
  <c r="F1521" i="7"/>
  <c r="G1521" i="7" s="1"/>
  <c r="F1835" i="7"/>
  <c r="F1869" i="7"/>
  <c r="G1869" i="7" s="1"/>
  <c r="F2080" i="2"/>
  <c r="G2080" i="2" s="1"/>
  <c r="G2082" i="2" s="1"/>
  <c r="F2098" i="2"/>
  <c r="G2098" i="2" s="1"/>
  <c r="G2100" i="2" s="1"/>
  <c r="F1939" i="2"/>
  <c r="G1939" i="2" s="1"/>
  <c r="G1943" i="2" s="1"/>
  <c r="F1852" i="7"/>
  <c r="G1852" i="7" s="1"/>
  <c r="G1854" i="7" s="1"/>
  <c r="F1482" i="7"/>
  <c r="G1482" i="7" s="1"/>
  <c r="G1484" i="7" s="1"/>
  <c r="F1453" i="2" s="1"/>
  <c r="G1453" i="2" s="1"/>
  <c r="F1901" i="7"/>
  <c r="F1935" i="7"/>
  <c r="G1935" i="7" s="1"/>
  <c r="G1937" i="7" s="1"/>
  <c r="F405" i="2"/>
  <c r="G405" i="2" s="1"/>
  <c r="G409" i="2" s="1"/>
  <c r="F1895" i="2"/>
  <c r="G1895" i="2" s="1"/>
  <c r="G1899" i="2" s="1"/>
  <c r="G1056" i="2"/>
  <c r="G1020" i="2"/>
  <c r="G1094" i="2"/>
  <c r="F962" i="2"/>
  <c r="G962" i="2" s="1"/>
  <c r="G964" i="2" s="1"/>
  <c r="G822" i="7"/>
  <c r="F867" i="2" s="1"/>
  <c r="G867" i="2" s="1"/>
  <c r="G869" i="2" s="1"/>
  <c r="F820" i="7"/>
  <c r="G820" i="7" s="1"/>
  <c r="F1552" i="7"/>
  <c r="G1552" i="7" s="1"/>
  <c r="G1555" i="7" s="1"/>
  <c r="G214" i="2"/>
  <c r="G272" i="7"/>
  <c r="F209" i="2"/>
  <c r="G209" i="2" s="1"/>
  <c r="G728" i="2"/>
  <c r="G157" i="2"/>
  <c r="G1923" i="2"/>
  <c r="G86" i="2"/>
  <c r="G140" i="2"/>
  <c r="G391" i="2"/>
  <c r="F320" i="2"/>
  <c r="G320" i="2" s="1"/>
  <c r="F298" i="2"/>
  <c r="G298" i="2" s="1"/>
  <c r="F318" i="2"/>
  <c r="G318" i="2" s="1"/>
  <c r="F296" i="2"/>
  <c r="G296" i="2" s="1"/>
  <c r="G1403" i="7"/>
  <c r="F709" i="2"/>
  <c r="G709" i="2" s="1"/>
  <c r="F590" i="2"/>
  <c r="G590" i="2" s="1"/>
  <c r="F587" i="2"/>
  <c r="G587" i="2" s="1"/>
  <c r="F706" i="2"/>
  <c r="G706" i="2" s="1"/>
  <c r="F704" i="2"/>
  <c r="G704" i="2" s="1"/>
  <c r="F583" i="2"/>
  <c r="G583" i="2" s="1"/>
  <c r="G1414" i="2"/>
  <c r="G804" i="7"/>
  <c r="F36" i="2" s="1"/>
  <c r="G36" i="2" s="1"/>
  <c r="G38" i="2" s="1"/>
  <c r="G604" i="7"/>
  <c r="F274" i="2" s="1"/>
  <c r="G274" i="2" s="1"/>
  <c r="G278" i="2" s="1"/>
  <c r="G388" i="7"/>
  <c r="G389" i="7" s="1"/>
  <c r="F524" i="2"/>
  <c r="G524" i="2" s="1"/>
  <c r="F819" i="7"/>
  <c r="G819" i="7" s="1"/>
  <c r="G1088" i="7"/>
  <c r="G1916" i="7"/>
  <c r="G548" i="2"/>
  <c r="G1833" i="7"/>
  <c r="F1523" i="7"/>
  <c r="G1523" i="7" s="1"/>
  <c r="G1696" i="7"/>
  <c r="F1707" i="7" s="1"/>
  <c r="G1707" i="7" s="1"/>
  <c r="G1709" i="7" s="1"/>
  <c r="F1314" i="2" s="1"/>
  <c r="G1314" i="2" s="1"/>
  <c r="G1723" i="7"/>
  <c r="G1396" i="2"/>
  <c r="G1761" i="7"/>
  <c r="F1787" i="7"/>
  <c r="G1787" i="7" s="1"/>
  <c r="G1751" i="7"/>
  <c r="F1776" i="7" s="1"/>
  <c r="G1776" i="7" s="1"/>
  <c r="G1737" i="7"/>
  <c r="F1667" i="7" s="1"/>
  <c r="G1667" i="7" s="1"/>
  <c r="F1665" i="7"/>
  <c r="G1665" i="7" s="1"/>
  <c r="F1774" i="7"/>
  <c r="G1774" i="7" s="1"/>
  <c r="G1626" i="7"/>
  <c r="F1370" i="2" s="1"/>
  <c r="G1640" i="7"/>
  <c r="G1656" i="7"/>
  <c r="G1582" i="7"/>
  <c r="G1596" i="7"/>
  <c r="G1611" i="7"/>
  <c r="G1497" i="7"/>
  <c r="G1510" i="7"/>
  <c r="F802" i="7"/>
  <c r="G802" i="7" s="1"/>
  <c r="F525" i="2"/>
  <c r="G525" i="2" s="1"/>
  <c r="G1106" i="7"/>
  <c r="G530" i="2"/>
  <c r="G1078" i="7"/>
  <c r="G1064" i="7"/>
  <c r="F463" i="2" s="1"/>
  <c r="G463" i="2" s="1"/>
  <c r="G465" i="2" s="1"/>
  <c r="F842" i="7"/>
  <c r="G842" i="7" s="1"/>
  <c r="F801" i="7"/>
  <c r="G801" i="7" s="1"/>
  <c r="G845" i="7"/>
  <c r="F339" i="2" s="1"/>
  <c r="G339" i="2" s="1"/>
  <c r="G341" i="2" s="1"/>
  <c r="F275" i="2"/>
  <c r="G275" i="2" s="1"/>
  <c r="G1340" i="7"/>
  <c r="F1317" i="7"/>
  <c r="G1317" i="7" s="1"/>
  <c r="G1323" i="7" s="1"/>
  <c r="F783" i="7"/>
  <c r="G783" i="7" s="1"/>
  <c r="G787" i="7" s="1"/>
  <c r="F299" i="2" s="1"/>
  <c r="G299" i="2" s="1"/>
  <c r="G123" i="2"/>
  <c r="F1027" i="7"/>
  <c r="G1027" i="7" s="1"/>
  <c r="G1031" i="7" s="1"/>
  <c r="G671" i="7"/>
  <c r="F648" i="7"/>
  <c r="G648" i="7" s="1"/>
  <c r="G654" i="7" s="1"/>
  <c r="F297" i="2" s="1"/>
  <c r="G297" i="2" s="1"/>
  <c r="G15" i="2"/>
  <c r="G254" i="7"/>
  <c r="F1777" i="2" s="1"/>
  <c r="G1777" i="2" s="1"/>
  <c r="G237" i="7"/>
  <c r="G220" i="7"/>
  <c r="G221" i="7" s="1"/>
  <c r="G169" i="7"/>
  <c r="F441" i="2" s="1"/>
  <c r="G441" i="2" s="1"/>
  <c r="G863" i="7"/>
  <c r="G88" i="7"/>
  <c r="G203" i="7"/>
  <c r="G152" i="7"/>
  <c r="G322" i="7"/>
  <c r="G288" i="7"/>
  <c r="F1802" i="7" s="1"/>
  <c r="G1802" i="7" s="1"/>
  <c r="G54" i="7"/>
  <c r="G186" i="7"/>
  <c r="G105" i="7"/>
  <c r="G339" i="7"/>
  <c r="G979" i="7"/>
  <c r="F802" i="2" l="1"/>
  <c r="G802" i="2" s="1"/>
  <c r="G808" i="2" s="1"/>
  <c r="G809" i="2" s="1"/>
  <c r="B810" i="2" s="1"/>
  <c r="B812" i="2" s="1"/>
  <c r="B813" i="2" s="1"/>
  <c r="P92" i="1" s="1"/>
  <c r="Q92" i="1" s="1"/>
  <c r="Q95" i="1" s="1"/>
  <c r="F765" i="2"/>
  <c r="G765" i="2" s="1"/>
  <c r="F1779" i="2"/>
  <c r="G1779" i="2" s="1"/>
  <c r="G1781" i="2" s="1"/>
  <c r="G1782" i="2" s="1"/>
  <c r="B1783" i="2" s="1"/>
  <c r="B1785" i="2" s="1"/>
  <c r="B1786" i="2" s="1"/>
  <c r="P246" i="1" s="1"/>
  <c r="Q246" i="1" s="1"/>
  <c r="F1840" i="2"/>
  <c r="F767" i="2"/>
  <c r="G767" i="2" s="1"/>
  <c r="G591" i="2"/>
  <c r="F1818" i="2"/>
  <c r="G1818" i="2" s="1"/>
  <c r="F1858" i="2"/>
  <c r="G1858" i="2" s="1"/>
  <c r="F1816" i="2"/>
  <c r="G1816" i="2" s="1"/>
  <c r="F1856" i="2"/>
  <c r="G1856" i="2" s="1"/>
  <c r="F105" i="2"/>
  <c r="G105" i="2" s="1"/>
  <c r="F1842" i="2"/>
  <c r="G1842" i="2" s="1"/>
  <c r="F1736" i="2"/>
  <c r="G1736" i="2" s="1"/>
  <c r="F1981" i="7"/>
  <c r="G1981" i="7" s="1"/>
  <c r="F1966" i="7"/>
  <c r="G1966" i="7" s="1"/>
  <c r="F1951" i="7"/>
  <c r="F1979" i="7"/>
  <c r="G1979" i="7" s="1"/>
  <c r="F1964" i="7"/>
  <c r="G1964" i="7" s="1"/>
  <c r="F1949" i="7"/>
  <c r="G1949" i="7" s="1"/>
  <c r="F1540" i="2"/>
  <c r="G1540" i="2" s="1"/>
  <c r="F2016" i="2"/>
  <c r="G2016" i="2" s="1"/>
  <c r="F1957" i="2"/>
  <c r="G1957" i="2" s="1"/>
  <c r="F2054" i="2"/>
  <c r="G2054" i="2" s="1"/>
  <c r="F2033" i="2"/>
  <c r="G2033" i="2" s="1"/>
  <c r="F500" i="2"/>
  <c r="G500" i="2" s="1"/>
  <c r="F103" i="2"/>
  <c r="G103" i="2" s="1"/>
  <c r="F35" i="2"/>
  <c r="G35" i="2" s="1"/>
  <c r="F1576" i="2"/>
  <c r="G1576" i="2" s="1"/>
  <c r="F2018" i="2"/>
  <c r="G2018" i="2" s="1"/>
  <c r="F1959" i="2"/>
  <c r="G1959" i="2" s="1"/>
  <c r="F1612" i="2"/>
  <c r="G1612" i="2" s="1"/>
  <c r="F1544" i="2"/>
  <c r="G1544" i="2" s="1"/>
  <c r="F1630" i="2"/>
  <c r="G1630" i="2" s="1"/>
  <c r="F1594" i="2"/>
  <c r="G1594" i="2" s="1"/>
  <c r="F2056" i="2"/>
  <c r="G2056" i="2" s="1"/>
  <c r="F2035" i="2"/>
  <c r="G2035" i="2" s="1"/>
  <c r="G1092" i="7"/>
  <c r="F1614" i="2"/>
  <c r="G1614" i="2" s="1"/>
  <c r="F1632" i="2"/>
  <c r="G1632" i="2" s="1"/>
  <c r="F1596" i="2"/>
  <c r="G1596" i="2" s="1"/>
  <c r="F1578" i="2"/>
  <c r="G1578" i="2" s="1"/>
  <c r="F1560" i="2"/>
  <c r="G1560" i="2" s="1"/>
  <c r="G1563" i="2" s="1"/>
  <c r="G1564" i="2" s="1"/>
  <c r="B1565" i="2" s="1"/>
  <c r="F1431" i="2"/>
  <c r="G1431" i="2" s="1"/>
  <c r="F1804" i="7"/>
  <c r="G1804" i="7" s="1"/>
  <c r="G1806" i="7" s="1"/>
  <c r="G1807" i="7" s="1"/>
  <c r="G1871" i="7"/>
  <c r="F1451" i="2" s="1"/>
  <c r="G1451" i="2" s="1"/>
  <c r="G1798" i="2"/>
  <c r="F980" i="2"/>
  <c r="G980" i="2" s="1"/>
  <c r="F999" i="2"/>
  <c r="G999" i="2" s="1"/>
  <c r="F982" i="2"/>
  <c r="G982" i="2" s="1"/>
  <c r="F1001" i="2"/>
  <c r="G1001" i="2" s="1"/>
  <c r="F2099" i="2"/>
  <c r="G2099" i="2" s="1"/>
  <c r="F2081" i="2"/>
  <c r="G2081" i="2" s="1"/>
  <c r="F1940" i="2"/>
  <c r="G1940" i="2" s="1"/>
  <c r="F1920" i="2"/>
  <c r="G1920" i="2" s="1"/>
  <c r="F1429" i="2"/>
  <c r="G1429" i="2" s="1"/>
  <c r="G1433" i="2" s="1"/>
  <c r="G1434" i="2" s="1"/>
  <c r="B1435" i="2" s="1"/>
  <c r="G238" i="7"/>
  <c r="F1036" i="2"/>
  <c r="G1036" i="2" s="1"/>
  <c r="F1072" i="2"/>
  <c r="G1072" i="2" s="1"/>
  <c r="F1054" i="2"/>
  <c r="G1054" i="2" s="1"/>
  <c r="F1018" i="2"/>
  <c r="G1018" i="2" s="1"/>
  <c r="F1092" i="2"/>
  <c r="G1092" i="2" s="1"/>
  <c r="F959" i="2"/>
  <c r="G959" i="2" s="1"/>
  <c r="F1942" i="2"/>
  <c r="G1942" i="2" s="1"/>
  <c r="F997" i="2"/>
  <c r="G997" i="2" s="1"/>
  <c r="F1034" i="2"/>
  <c r="G1034" i="2" s="1"/>
  <c r="F1566" i="7"/>
  <c r="G1566" i="7" s="1"/>
  <c r="G1568" i="7" s="1"/>
  <c r="F1193" i="2"/>
  <c r="G1193" i="2" s="1"/>
  <c r="F1166" i="2"/>
  <c r="G1166" i="2" s="1"/>
  <c r="F1129" i="2"/>
  <c r="G1129" i="2" s="1"/>
  <c r="F1070" i="2"/>
  <c r="G1070" i="2" s="1"/>
  <c r="F1052" i="2"/>
  <c r="G1052" i="2" s="1"/>
  <c r="F1016" i="2"/>
  <c r="G1016" i="2" s="1"/>
  <c r="F978" i="2"/>
  <c r="G978" i="2" s="1"/>
  <c r="F1090" i="2"/>
  <c r="G1090" i="2" s="1"/>
  <c r="F1214" i="2"/>
  <c r="G1214" i="2" s="1"/>
  <c r="G1217" i="2" s="1"/>
  <c r="G1218" i="2" s="1"/>
  <c r="B1219" i="2" s="1"/>
  <c r="F1481" i="7"/>
  <c r="G1481" i="7" s="1"/>
  <c r="F2079" i="2"/>
  <c r="G2079" i="2" s="1"/>
  <c r="F2097" i="2"/>
  <c r="G2097" i="2" s="1"/>
  <c r="G1525" i="7"/>
  <c r="F1455" i="2" s="1"/>
  <c r="G1455" i="2" s="1"/>
  <c r="F944" i="2"/>
  <c r="G944" i="2" s="1"/>
  <c r="G1556" i="7"/>
  <c r="F939" i="2"/>
  <c r="G939" i="2" s="1"/>
  <c r="F961" i="2"/>
  <c r="G961" i="2" s="1"/>
  <c r="F920" i="2"/>
  <c r="F355" i="2"/>
  <c r="G355" i="2" s="1"/>
  <c r="G357" i="2" s="1"/>
  <c r="F901" i="2"/>
  <c r="G901" i="2" s="1"/>
  <c r="G907" i="2" s="1"/>
  <c r="F502" i="2"/>
  <c r="G502" i="2" s="1"/>
  <c r="F904" i="2"/>
  <c r="G904" i="2" s="1"/>
  <c r="F443" i="2"/>
  <c r="G443" i="2" s="1"/>
  <c r="G445" i="2" s="1"/>
  <c r="G446" i="2" s="1"/>
  <c r="B447" i="2" s="1"/>
  <c r="F937" i="2"/>
  <c r="G937" i="2" s="1"/>
  <c r="F1758" i="2"/>
  <c r="F1896" i="2"/>
  <c r="F406" i="2"/>
  <c r="G406" i="2" s="1"/>
  <c r="F1486" i="2"/>
  <c r="F1795" i="2"/>
  <c r="F646" i="2"/>
  <c r="G646" i="2" s="1"/>
  <c r="G649" i="2" s="1"/>
  <c r="F725" i="2"/>
  <c r="G725" i="2" s="1"/>
  <c r="F85" i="2"/>
  <c r="G85" i="2" s="1"/>
  <c r="F171" i="2"/>
  <c r="G171" i="2" s="1"/>
  <c r="G173" i="2" s="1"/>
  <c r="G174" i="2" s="1"/>
  <c r="B175" i="2" s="1"/>
  <c r="F156" i="2"/>
  <c r="G156" i="2" s="1"/>
  <c r="F139" i="2"/>
  <c r="G139" i="2" s="1"/>
  <c r="F186" i="2"/>
  <c r="G186" i="2" s="1"/>
  <c r="G188" i="2" s="1"/>
  <c r="G189" i="2" s="1"/>
  <c r="B190" i="2" s="1"/>
  <c r="F408" i="2"/>
  <c r="G408" i="2" s="1"/>
  <c r="F424" i="2"/>
  <c r="G424" i="2" s="1"/>
  <c r="G426" i="2" s="1"/>
  <c r="G427" i="2" s="1"/>
  <c r="B428" i="2" s="1"/>
  <c r="F1922" i="2"/>
  <c r="G1922" i="2" s="1"/>
  <c r="F83" i="2"/>
  <c r="G83" i="2" s="1"/>
  <c r="F293" i="2"/>
  <c r="G293" i="2" s="1"/>
  <c r="F154" i="2"/>
  <c r="G154" i="2" s="1"/>
  <c r="F137" i="2"/>
  <c r="G137" i="2" s="1"/>
  <c r="F883" i="2"/>
  <c r="G883" i="2" s="1"/>
  <c r="G684" i="7"/>
  <c r="G687" i="7" s="1"/>
  <c r="G300" i="2"/>
  <c r="G322" i="2"/>
  <c r="F390" i="2"/>
  <c r="G390" i="2" s="1"/>
  <c r="F372" i="2"/>
  <c r="G372" i="2" s="1"/>
  <c r="G374" i="2" s="1"/>
  <c r="G375" i="2" s="1"/>
  <c r="B376" i="2" s="1"/>
  <c r="F228" i="2"/>
  <c r="G228" i="2" s="1"/>
  <c r="G230" i="2" s="1"/>
  <c r="G231" i="2" s="1"/>
  <c r="B232" i="2" s="1"/>
  <c r="F295" i="2"/>
  <c r="G295" i="2" s="1"/>
  <c r="F1823" i="2"/>
  <c r="G1823" i="2" s="1"/>
  <c r="F1760" i="2"/>
  <c r="G1760" i="2" s="1"/>
  <c r="F1934" i="7"/>
  <c r="G1934" i="7" s="1"/>
  <c r="F703" i="2"/>
  <c r="G703" i="2" s="1"/>
  <c r="F680" i="2"/>
  <c r="G680" i="2" s="1"/>
  <c r="F582" i="2"/>
  <c r="G582" i="2" s="1"/>
  <c r="F662" i="2"/>
  <c r="G662" i="2" s="1"/>
  <c r="F1918" i="2"/>
  <c r="G1918" i="2" s="1"/>
  <c r="F1898" i="2"/>
  <c r="G1898" i="2" s="1"/>
  <c r="G1324" i="7"/>
  <c r="F707" i="2"/>
  <c r="G707" i="2" s="1"/>
  <c r="F588" i="2"/>
  <c r="G588" i="2" s="1"/>
  <c r="F1683" i="2"/>
  <c r="F1797" i="2"/>
  <c r="G1797" i="2" s="1"/>
  <c r="F1936" i="7"/>
  <c r="G1936" i="7" s="1"/>
  <c r="G710" i="2"/>
  <c r="G606" i="7"/>
  <c r="F817" i="7"/>
  <c r="G817" i="7" s="1"/>
  <c r="G823" i="7" s="1"/>
  <c r="F1089" i="7"/>
  <c r="G1089" i="7" s="1"/>
  <c r="G563" i="2"/>
  <c r="F1091" i="7"/>
  <c r="G1091" i="7" s="1"/>
  <c r="F1917" i="7"/>
  <c r="G1917" i="7" s="1"/>
  <c r="F859" i="2"/>
  <c r="G859" i="2" s="1"/>
  <c r="F546" i="2"/>
  <c r="G546" i="2" s="1"/>
  <c r="F863" i="2"/>
  <c r="G863" i="2" s="1"/>
  <c r="F885" i="2"/>
  <c r="G885" i="2" s="1"/>
  <c r="F861" i="2"/>
  <c r="G861" i="2" s="1"/>
  <c r="F1902" i="7"/>
  <c r="G1902" i="7" s="1"/>
  <c r="F1919" i="7"/>
  <c r="G1919" i="7" s="1"/>
  <c r="F1883" i="7"/>
  <c r="G1883" i="7" s="1"/>
  <c r="F1900" i="7"/>
  <c r="G1900" i="7" s="1"/>
  <c r="F1870" i="7"/>
  <c r="F1885" i="7"/>
  <c r="G1885" i="7" s="1"/>
  <c r="G55" i="7"/>
  <c r="G68" i="7" s="1"/>
  <c r="G876" i="7"/>
  <c r="G879" i="7" s="1"/>
  <c r="F1170" i="2" s="1"/>
  <c r="G1170" i="2" s="1"/>
  <c r="F1483" i="7"/>
  <c r="G1483" i="7" s="1"/>
  <c r="F1505" i="2"/>
  <c r="G1505" i="2" s="1"/>
  <c r="F1535" i="7"/>
  <c r="G1535" i="7" s="1"/>
  <c r="G1539" i="7" s="1"/>
  <c r="F1655" i="7" s="1"/>
  <c r="G1655" i="7" s="1"/>
  <c r="F1488" i="2"/>
  <c r="G1488" i="2" s="1"/>
  <c r="F562" i="2"/>
  <c r="G562" i="2" s="1"/>
  <c r="F1868" i="7"/>
  <c r="G1868" i="7" s="1"/>
  <c r="F1836" i="7"/>
  <c r="G1836" i="7" s="1"/>
  <c r="F1853" i="7"/>
  <c r="G1853" i="7" s="1"/>
  <c r="F1817" i="7"/>
  <c r="G1817" i="7" s="1"/>
  <c r="F1851" i="7"/>
  <c r="G1851" i="7" s="1"/>
  <c r="F1834" i="7"/>
  <c r="G1834" i="7" s="1"/>
  <c r="F1449" i="2"/>
  <c r="G1449" i="2" s="1"/>
  <c r="F1522" i="7"/>
  <c r="G1522" i="7" s="1"/>
  <c r="F1819" i="7"/>
  <c r="G1819" i="7" s="1"/>
  <c r="F1693" i="7"/>
  <c r="G1693" i="7" s="1"/>
  <c r="F1393" i="2"/>
  <c r="G1393" i="2" s="1"/>
  <c r="F1411" i="2"/>
  <c r="G1411" i="2" s="1"/>
  <c r="F1695" i="7"/>
  <c r="G1695" i="7" s="1"/>
  <c r="F1413" i="2"/>
  <c r="G1413" i="2" s="1"/>
  <c r="F1395" i="2"/>
  <c r="G1395" i="2" s="1"/>
  <c r="G1778" i="7"/>
  <c r="F1345" i="2" s="1"/>
  <c r="G1345" i="2" s="1"/>
  <c r="F1762" i="7"/>
  <c r="F1720" i="7"/>
  <c r="G1720" i="7" s="1"/>
  <c r="F1764" i="7"/>
  <c r="G1764" i="7" s="1"/>
  <c r="F1722" i="7"/>
  <c r="G1722" i="7" s="1"/>
  <c r="F1331" i="2"/>
  <c r="G1331" i="2" s="1"/>
  <c r="F1300" i="2"/>
  <c r="G1300" i="2" s="1"/>
  <c r="F1362" i="2"/>
  <c r="G1362" i="2" s="1"/>
  <c r="F1304" i="2"/>
  <c r="G1304" i="2" s="1"/>
  <c r="F1366" i="2"/>
  <c r="F1312" i="2"/>
  <c r="G1312" i="2" s="1"/>
  <c r="F1374" i="2"/>
  <c r="F1306" i="2"/>
  <c r="G1306" i="2" s="1"/>
  <c r="F1368" i="2"/>
  <c r="F1298" i="2"/>
  <c r="G1298" i="2" s="1"/>
  <c r="F1360" i="2"/>
  <c r="G1360" i="2" s="1"/>
  <c r="F1308" i="2"/>
  <c r="G1308" i="2" s="1"/>
  <c r="F1341" i="2"/>
  <c r="G1341" i="2" s="1"/>
  <c r="F1310" i="2"/>
  <c r="G1310" i="2" s="1"/>
  <c r="F1372" i="2"/>
  <c r="G1669" i="7"/>
  <c r="F1283" i="2" s="1"/>
  <c r="G1283" i="2" s="1"/>
  <c r="F1279" i="2"/>
  <c r="G1279" i="2" s="1"/>
  <c r="F1736" i="7"/>
  <c r="G1736" i="7" s="1"/>
  <c r="F1749" i="7"/>
  <c r="G1749" i="7" s="1"/>
  <c r="F1267" i="2"/>
  <c r="G1267" i="2" s="1"/>
  <c r="F1329" i="2"/>
  <c r="G1329" i="2" s="1"/>
  <c r="F1273" i="2"/>
  <c r="G1273" i="2" s="1"/>
  <c r="F1335" i="2"/>
  <c r="G1335" i="2" s="1"/>
  <c r="F1281" i="2"/>
  <c r="G1281" i="2" s="1"/>
  <c r="F1343" i="2"/>
  <c r="F1277" i="2"/>
  <c r="G1277" i="2" s="1"/>
  <c r="F1339" i="2"/>
  <c r="G1339" i="2" s="1"/>
  <c r="F1734" i="7"/>
  <c r="G1734" i="7" s="1"/>
  <c r="F1747" i="7"/>
  <c r="G1747" i="7" s="1"/>
  <c r="F1275" i="2"/>
  <c r="G1275" i="2" s="1"/>
  <c r="F1337" i="2"/>
  <c r="G1337" i="2" s="1"/>
  <c r="F1623" i="7"/>
  <c r="G1623" i="7" s="1"/>
  <c r="F1651" i="7"/>
  <c r="G1651" i="7" s="1"/>
  <c r="F1637" i="7"/>
  <c r="G1637" i="7" s="1"/>
  <c r="F1625" i="7"/>
  <c r="G1625" i="7" s="1"/>
  <c r="F1653" i="7"/>
  <c r="G1653" i="7" s="1"/>
  <c r="F1639" i="7"/>
  <c r="G1639" i="7" s="1"/>
  <c r="F1579" i="7"/>
  <c r="G1579" i="7" s="1"/>
  <c r="F1608" i="7"/>
  <c r="G1608" i="7" s="1"/>
  <c r="F1593" i="7"/>
  <c r="G1593" i="7" s="1"/>
  <c r="F1581" i="7"/>
  <c r="G1581" i="7" s="1"/>
  <c r="F1610" i="7"/>
  <c r="G1610" i="7" s="1"/>
  <c r="F1595" i="7"/>
  <c r="G1595" i="7" s="1"/>
  <c r="G323" i="7"/>
  <c r="F1520" i="7"/>
  <c r="G1520" i="7" s="1"/>
  <c r="G289" i="7"/>
  <c r="F1507" i="7"/>
  <c r="G1507" i="7" s="1"/>
  <c r="F1494" i="7"/>
  <c r="G1494" i="7" s="1"/>
  <c r="F1269" i="2"/>
  <c r="G1269" i="2" s="1"/>
  <c r="G255" i="7"/>
  <c r="F1681" i="7"/>
  <c r="G1681" i="7" s="1"/>
  <c r="F1496" i="7"/>
  <c r="G1496" i="7" s="1"/>
  <c r="F1509" i="7"/>
  <c r="G1509" i="7" s="1"/>
  <c r="F1103" i="7"/>
  <c r="G1103" i="7" s="1"/>
  <c r="F1075" i="7"/>
  <c r="G1075" i="7" s="1"/>
  <c r="F1105" i="7"/>
  <c r="G1105" i="7" s="1"/>
  <c r="F1077" i="7"/>
  <c r="G1077" i="7" s="1"/>
  <c r="F484" i="2"/>
  <c r="G484" i="2" s="1"/>
  <c r="G486" i="2" s="1"/>
  <c r="G204" i="7"/>
  <c r="G1032" i="7"/>
  <c r="F211" i="2"/>
  <c r="G211" i="2" s="1"/>
  <c r="F544" i="2"/>
  <c r="G544" i="2" s="1"/>
  <c r="F522" i="2"/>
  <c r="G522" i="2" s="1"/>
  <c r="G531" i="2" s="1"/>
  <c r="G532" i="2" s="1"/>
  <c r="F483" i="2"/>
  <c r="G483" i="2" s="1"/>
  <c r="F462" i="2"/>
  <c r="G462" i="2" s="1"/>
  <c r="F1063" i="7"/>
  <c r="G1063" i="7" s="1"/>
  <c r="F277" i="2"/>
  <c r="G277" i="2" s="1"/>
  <c r="G279" i="2" s="1"/>
  <c r="G280" i="2" s="1"/>
  <c r="B281" i="2" s="1"/>
  <c r="F840" i="7"/>
  <c r="G840" i="7" s="1"/>
  <c r="G846" i="7" s="1"/>
  <c r="F213" i="2"/>
  <c r="G213" i="2" s="1"/>
  <c r="F338" i="2"/>
  <c r="G338" i="2" s="1"/>
  <c r="F260" i="2"/>
  <c r="G260" i="2" s="1"/>
  <c r="G262" i="2" s="1"/>
  <c r="G263" i="2" s="1"/>
  <c r="B264" i="2" s="1"/>
  <c r="F245" i="2"/>
  <c r="G245" i="2" s="1"/>
  <c r="F799" i="7"/>
  <c r="G799" i="7" s="1"/>
  <c r="G805" i="7" s="1"/>
  <c r="F317" i="2"/>
  <c r="G317" i="2" s="1"/>
  <c r="G187" i="7"/>
  <c r="F481" i="2"/>
  <c r="G481" i="2" s="1"/>
  <c r="F1061" i="7"/>
  <c r="G1061" i="7" s="1"/>
  <c r="F460" i="2"/>
  <c r="G460" i="2" s="1"/>
  <c r="F243" i="2"/>
  <c r="G243" i="2" s="1"/>
  <c r="F336" i="2"/>
  <c r="G336" i="2" s="1"/>
  <c r="F315" i="2"/>
  <c r="G315" i="2" s="1"/>
  <c r="G655" i="7"/>
  <c r="F319" i="2"/>
  <c r="G319" i="2" s="1"/>
  <c r="G788" i="7"/>
  <c r="F321" i="2"/>
  <c r="G321" i="2" s="1"/>
  <c r="G353" i="7"/>
  <c r="G1901" i="7" s="1"/>
  <c r="G1903" i="7" s="1"/>
  <c r="G170" i="7"/>
  <c r="F122" i="2"/>
  <c r="G122" i="2" s="1"/>
  <c r="G153" i="7"/>
  <c r="F120" i="2"/>
  <c r="G120" i="2" s="1"/>
  <c r="G340" i="7"/>
  <c r="F8" i="2"/>
  <c r="G8" i="2" s="1"/>
  <c r="F33" i="2"/>
  <c r="G33" i="2" s="1"/>
  <c r="G89" i="7"/>
  <c r="G404" i="7" s="1"/>
  <c r="G407" i="7" s="1"/>
  <c r="F10" i="2"/>
  <c r="G10" i="2" s="1"/>
  <c r="G106" i="7"/>
  <c r="G2101" i="2" l="1"/>
  <c r="G2102" i="2" s="1"/>
  <c r="B2103" i="2" s="1"/>
  <c r="B2105" i="2" s="1"/>
  <c r="B2106" i="2" s="1"/>
  <c r="P342" i="1" s="1"/>
  <c r="Q342" i="1" s="1"/>
  <c r="G771" i="2"/>
  <c r="G772" i="2" s="1"/>
  <c r="B773" i="2" s="1"/>
  <c r="B775" i="2" s="1"/>
  <c r="B776" i="2" s="1"/>
  <c r="P121" i="1" s="1"/>
  <c r="Q121" i="1" s="1"/>
  <c r="G1840" i="2"/>
  <c r="G1844" i="2" s="1"/>
  <c r="G1845" i="2" s="1"/>
  <c r="B1846" i="2" s="1"/>
  <c r="B1848" i="2" s="1"/>
  <c r="B1849" i="2" s="1"/>
  <c r="P232" i="1" s="1"/>
  <c r="Q232" i="1" s="1"/>
  <c r="G71" i="7"/>
  <c r="G72" i="7" s="1"/>
  <c r="G744" i="2"/>
  <c r="F1333" i="2"/>
  <c r="G1333" i="2" s="1"/>
  <c r="G1485" i="7"/>
  <c r="F1454" i="2" s="1"/>
  <c r="G1454" i="2" s="1"/>
  <c r="G1968" i="7"/>
  <c r="F1859" i="2" s="1"/>
  <c r="G1859" i="2" s="1"/>
  <c r="G107" i="2"/>
  <c r="G108" i="2" s="1"/>
  <c r="B109" i="2" s="1"/>
  <c r="B111" i="2" s="1"/>
  <c r="B112" i="2" s="1"/>
  <c r="P89" i="1" s="1"/>
  <c r="Q89" i="1" s="1"/>
  <c r="G1862" i="2"/>
  <c r="G1824" i="2"/>
  <c r="G1983" i="7"/>
  <c r="G1599" i="2"/>
  <c r="G1600" i="2" s="1"/>
  <c r="B1601" i="2" s="1"/>
  <c r="B1603" i="2" s="1"/>
  <c r="B1604" i="2" s="1"/>
  <c r="P255" i="1" s="1"/>
  <c r="Q255" i="1" s="1"/>
  <c r="G2062" i="2"/>
  <c r="G2063" i="2" s="1"/>
  <c r="B2064" i="2" s="1"/>
  <c r="B2066" i="2" s="1"/>
  <c r="B2067" i="2" s="1"/>
  <c r="G509" i="2"/>
  <c r="G510" i="2" s="1"/>
  <c r="B511" i="2" s="1"/>
  <c r="B513" i="2" s="1"/>
  <c r="B514" i="2" s="1"/>
  <c r="P329" i="1" s="1"/>
  <c r="Q329" i="1" s="1"/>
  <c r="G1635" i="2"/>
  <c r="G1636" i="2" s="1"/>
  <c r="B1637" i="2" s="1"/>
  <c r="B1639" i="2" s="1"/>
  <c r="B1640" i="2" s="1"/>
  <c r="P257" i="1" s="1"/>
  <c r="Q257" i="1" s="1"/>
  <c r="G1965" i="2"/>
  <c r="G1966" i="2" s="1"/>
  <c r="B1967" i="2" s="1"/>
  <c r="B1969" i="2" s="1"/>
  <c r="B1970" i="2" s="1"/>
  <c r="P231" i="1" s="1"/>
  <c r="Q231" i="1" s="1"/>
  <c r="B1567" i="2"/>
  <c r="B1568" i="2" s="1"/>
  <c r="P251" i="1" s="1"/>
  <c r="G1581" i="2"/>
  <c r="G1582" i="2" s="1"/>
  <c r="B1583" i="2" s="1"/>
  <c r="B1585" i="2" s="1"/>
  <c r="B1586" i="2" s="1"/>
  <c r="P254" i="1" s="1"/>
  <c r="Q254" i="1" s="1"/>
  <c r="G2020" i="2"/>
  <c r="G2021" i="2" s="1"/>
  <c r="B2022" i="2" s="1"/>
  <c r="B2025" i="2" s="1"/>
  <c r="G1617" i="2"/>
  <c r="G1618" i="2" s="1"/>
  <c r="B1619" i="2" s="1"/>
  <c r="B1621" i="2" s="1"/>
  <c r="B1622" i="2" s="1"/>
  <c r="P256" i="1" s="1"/>
  <c r="Q256" i="1" s="1"/>
  <c r="G2041" i="2"/>
  <c r="G2042" i="2" s="1"/>
  <c r="B2043" i="2" s="1"/>
  <c r="B2045" i="2" s="1"/>
  <c r="B2046" i="2" s="1"/>
  <c r="P187" i="1" s="1"/>
  <c r="B266" i="2"/>
  <c r="B267" i="2" s="1"/>
  <c r="P275" i="1" s="1"/>
  <c r="Q275" i="1" s="1"/>
  <c r="B234" i="2"/>
  <c r="B235" i="2" s="1"/>
  <c r="B378" i="2"/>
  <c r="B379" i="2" s="1"/>
  <c r="P66" i="1" s="1"/>
  <c r="Q66" i="1" s="1"/>
  <c r="B430" i="2"/>
  <c r="B431" i="2" s="1"/>
  <c r="P69" i="1" s="1"/>
  <c r="Q69" i="1" s="1"/>
  <c r="B1221" i="2"/>
  <c r="B1222" i="2" s="1"/>
  <c r="P359" i="1" s="1"/>
  <c r="Q359" i="1" s="1"/>
  <c r="Q360" i="1" s="1"/>
  <c r="B283" i="2"/>
  <c r="B284" i="2" s="1"/>
  <c r="P346" i="1" s="1"/>
  <c r="Q346" i="1" s="1"/>
  <c r="B192" i="2"/>
  <c r="B193" i="2" s="1"/>
  <c r="P34" i="1" s="1"/>
  <c r="Q34" i="1" s="1"/>
  <c r="B177" i="2"/>
  <c r="B178" i="2" s="1"/>
  <c r="P31" i="1" s="1"/>
  <c r="Q31" i="1" s="1"/>
  <c r="B449" i="2"/>
  <c r="B450" i="2" s="1"/>
  <c r="B1437" i="2"/>
  <c r="B1438" i="2" s="1"/>
  <c r="G87" i="2"/>
  <c r="G88" i="2" s="1"/>
  <c r="B89" i="2" s="1"/>
  <c r="F1364" i="2"/>
  <c r="G1364" i="2" s="1"/>
  <c r="G302" i="7"/>
  <c r="G305" i="7" s="1"/>
  <c r="G306" i="7" s="1"/>
  <c r="G701" i="7"/>
  <c r="G704" i="7" s="1"/>
  <c r="G1752" i="7"/>
  <c r="G1753" i="7" s="1"/>
  <c r="F1271" i="2"/>
  <c r="G1271" i="2" s="1"/>
  <c r="G1285" i="2" s="1"/>
  <c r="G1021" i="2"/>
  <c r="G1022" i="2" s="1"/>
  <c r="B1023" i="2" s="1"/>
  <c r="F1302" i="2"/>
  <c r="G1302" i="2" s="1"/>
  <c r="G1316" i="2" s="1"/>
  <c r="G2083" i="2"/>
  <c r="G2084" i="2" s="1"/>
  <c r="B2085" i="2" s="1"/>
  <c r="G984" i="2"/>
  <c r="G985" i="2" s="1"/>
  <c r="B986" i="2" s="1"/>
  <c r="G1039" i="2"/>
  <c r="G1040" i="2" s="1"/>
  <c r="B1041" i="2" s="1"/>
  <c r="G1095" i="2"/>
  <c r="G1096" i="2" s="1"/>
  <c r="B1097" i="2" s="1"/>
  <c r="B533" i="2"/>
  <c r="G1077" i="2"/>
  <c r="G1078" i="2" s="1"/>
  <c r="B1079" i="2" s="1"/>
  <c r="G1057" i="2"/>
  <c r="G1058" i="2" s="1"/>
  <c r="B1059" i="2" s="1"/>
  <c r="G1003" i="2"/>
  <c r="G1004" i="2" s="1"/>
  <c r="B1005" i="2" s="1"/>
  <c r="F963" i="2"/>
  <c r="G963" i="2" s="1"/>
  <c r="G965" i="2" s="1"/>
  <c r="G966" i="2" s="1"/>
  <c r="B967" i="2" s="1"/>
  <c r="G1569" i="7"/>
  <c r="G1944" i="2"/>
  <c r="G1945" i="2" s="1"/>
  <c r="B1946" i="2" s="1"/>
  <c r="G946" i="2"/>
  <c r="G947" i="2" s="1"/>
  <c r="B948" i="2" s="1"/>
  <c r="G920" i="2"/>
  <c r="G923" i="2" s="1"/>
  <c r="G141" i="2"/>
  <c r="G142" i="2" s="1"/>
  <c r="B143" i="2" s="1"/>
  <c r="G158" i="2"/>
  <c r="G159" i="2" s="1"/>
  <c r="B160" i="2" s="1"/>
  <c r="B162" i="2" s="1"/>
  <c r="G648" i="2"/>
  <c r="G688" i="7"/>
  <c r="F388" i="2"/>
  <c r="G388" i="2" s="1"/>
  <c r="G392" i="2" s="1"/>
  <c r="G393" i="2" s="1"/>
  <c r="B394" i="2" s="1"/>
  <c r="G410" i="2"/>
  <c r="G411" i="2" s="1"/>
  <c r="B412" i="2" s="1"/>
  <c r="G301" i="2"/>
  <c r="G302" i="2" s="1"/>
  <c r="B303" i="2" s="1"/>
  <c r="G889" i="2"/>
  <c r="G890" i="2" s="1"/>
  <c r="B891" i="2" s="1"/>
  <c r="G1738" i="7"/>
  <c r="F1668" i="7" s="1"/>
  <c r="G1668" i="7" s="1"/>
  <c r="G408" i="7"/>
  <c r="F1821" i="2"/>
  <c r="G1821" i="2" s="1"/>
  <c r="G1683" i="2"/>
  <c r="G1685" i="2" s="1"/>
  <c r="G1938" i="7"/>
  <c r="G370" i="7"/>
  <c r="G373" i="7" s="1"/>
  <c r="F727" i="2" s="1"/>
  <c r="G727" i="2" s="1"/>
  <c r="G729" i="2" s="1"/>
  <c r="G730" i="2" s="1"/>
  <c r="B731" i="2" s="1"/>
  <c r="B733" i="2" s="1"/>
  <c r="G387" i="7"/>
  <c r="G390" i="7" s="1"/>
  <c r="G438" i="7"/>
  <c r="G441" i="7" s="1"/>
  <c r="G1921" i="7"/>
  <c r="F1668" i="2" s="1"/>
  <c r="G1668" i="2" s="1"/>
  <c r="F868" i="2"/>
  <c r="G868" i="2" s="1"/>
  <c r="G870" i="2" s="1"/>
  <c r="G871" i="2" s="1"/>
  <c r="B872" i="2" s="1"/>
  <c r="G824" i="7"/>
  <c r="G549" i="2"/>
  <c r="G550" i="2" s="1"/>
  <c r="B551" i="2" s="1"/>
  <c r="G1093" i="7"/>
  <c r="G1904" i="7"/>
  <c r="G1905" i="7" s="1"/>
  <c r="G1887" i="7"/>
  <c r="G1888" i="7" s="1"/>
  <c r="G1918" i="7"/>
  <c r="G1920" i="7" s="1"/>
  <c r="F1651" i="2"/>
  <c r="G1651" i="2" s="1"/>
  <c r="G1653" i="2" s="1"/>
  <c r="G1666" i="2"/>
  <c r="G880" i="7"/>
  <c r="F1264" i="7"/>
  <c r="G1264" i="7" s="1"/>
  <c r="G1268" i="7" s="1"/>
  <c r="F1238" i="7"/>
  <c r="G1238" i="7" s="1"/>
  <c r="F1249" i="7"/>
  <c r="G1838" i="7"/>
  <c r="F1448" i="2" s="1"/>
  <c r="G1448" i="2" s="1"/>
  <c r="G1821" i="7"/>
  <c r="F1446" i="2" s="1"/>
  <c r="G1446" i="2" s="1"/>
  <c r="G1540" i="7"/>
  <c r="F1524" i="7"/>
  <c r="G1524" i="7" s="1"/>
  <c r="G1526" i="7" s="1"/>
  <c r="F1456" i="2" s="1"/>
  <c r="G1456" i="2" s="1"/>
  <c r="G1855" i="7"/>
  <c r="G356" i="7"/>
  <c r="G1951" i="7" s="1"/>
  <c r="G1835" i="7"/>
  <c r="G1837" i="7" s="1"/>
  <c r="G1415" i="2"/>
  <c r="G1397" i="2"/>
  <c r="G1398" i="2" s="1"/>
  <c r="B1399" i="2" s="1"/>
  <c r="G1697" i="7"/>
  <c r="G1724" i="7"/>
  <c r="G1725" i="7" s="1"/>
  <c r="G1763" i="7"/>
  <c r="G1765" i="7" s="1"/>
  <c r="F1789" i="7" s="1"/>
  <c r="G1789" i="7" s="1"/>
  <c r="G1791" i="7" s="1"/>
  <c r="F1376" i="2" s="1"/>
  <c r="G1376" i="2" s="1"/>
  <c r="G1683" i="7"/>
  <c r="G1374" i="2"/>
  <c r="G1657" i="7"/>
  <c r="G1627" i="7"/>
  <c r="F1371" i="2" s="1"/>
  <c r="G1641" i="7"/>
  <c r="G1612" i="7"/>
  <c r="G1583" i="7"/>
  <c r="G1597" i="7"/>
  <c r="G1511" i="7"/>
  <c r="G1498" i="7"/>
  <c r="G1065" i="7"/>
  <c r="G1066" i="7" s="1"/>
  <c r="G1079" i="7"/>
  <c r="G1107" i="7"/>
  <c r="G247" i="2"/>
  <c r="G248" i="2" s="1"/>
  <c r="B249" i="2" s="1"/>
  <c r="G323" i="2"/>
  <c r="G324" i="2" s="1"/>
  <c r="B325" i="2" s="1"/>
  <c r="G847" i="7"/>
  <c r="F340" i="2"/>
  <c r="G340" i="2" s="1"/>
  <c r="G342" i="2" s="1"/>
  <c r="G343" i="2" s="1"/>
  <c r="B344" i="2" s="1"/>
  <c r="F37" i="2"/>
  <c r="G37" i="2" s="1"/>
  <c r="G39" i="2" s="1"/>
  <c r="G40" i="2" s="1"/>
  <c r="B41" i="2" s="1"/>
  <c r="B43" i="2" s="1"/>
  <c r="G806" i="7"/>
  <c r="G124" i="2"/>
  <c r="G125" i="2" s="1"/>
  <c r="B126" i="2" s="1"/>
  <c r="G16" i="2"/>
  <c r="G17" i="2" s="1"/>
  <c r="B18" i="2" s="1"/>
  <c r="B20" i="2" s="1"/>
  <c r="P345" i="1" l="1"/>
  <c r="Q345" i="1" s="1"/>
  <c r="P274" i="1"/>
  <c r="Q274" i="1" s="1"/>
  <c r="G752" i="2"/>
  <c r="G753" i="2" s="1"/>
  <c r="B754" i="2" s="1"/>
  <c r="B756" i="2" s="1"/>
  <c r="B757" i="2" s="1"/>
  <c r="P81" i="1" s="1"/>
  <c r="Q81" i="1" s="1"/>
  <c r="Q82" i="1" s="1"/>
  <c r="G1969" i="7"/>
  <c r="F1819" i="2"/>
  <c r="G1819" i="2" s="1"/>
  <c r="F1734" i="2"/>
  <c r="G1734" i="2" s="1"/>
  <c r="G1738" i="2" s="1"/>
  <c r="G1739" i="2" s="1"/>
  <c r="B1740" i="2" s="1"/>
  <c r="B1742" i="2" s="1"/>
  <c r="B1743" i="2" s="1"/>
  <c r="P238" i="1" s="1"/>
  <c r="Q238" i="1" s="1"/>
  <c r="G1486" i="7"/>
  <c r="F207" i="2"/>
  <c r="G207" i="2" s="1"/>
  <c r="G215" i="2" s="1"/>
  <c r="G216" i="2" s="1"/>
  <c r="B217" i="2" s="1"/>
  <c r="B219" i="2" s="1"/>
  <c r="B220" i="2" s="1"/>
  <c r="P49" i="1" s="1"/>
  <c r="Q49" i="1" s="1"/>
  <c r="Q50" i="1" s="1"/>
  <c r="F1861" i="2"/>
  <c r="G1861" i="2" s="1"/>
  <c r="G1984" i="7"/>
  <c r="G1953" i="7"/>
  <c r="G705" i="7"/>
  <c r="F1542" i="2"/>
  <c r="G1542" i="2" s="1"/>
  <c r="G1547" i="2" s="1"/>
  <c r="G1548" i="2" s="1"/>
  <c r="B1549" i="2" s="1"/>
  <c r="B1551" i="2" s="1"/>
  <c r="B1552" i="2" s="1"/>
  <c r="P183" i="1" s="1"/>
  <c r="Q183" i="1" s="1"/>
  <c r="Q185" i="1" s="1"/>
  <c r="P300" i="1"/>
  <c r="Q300" i="1" s="1"/>
  <c r="P71" i="1"/>
  <c r="Q71" i="1" s="1"/>
  <c r="P326" i="1"/>
  <c r="Q326" i="1" s="1"/>
  <c r="P54" i="1"/>
  <c r="Q54" i="1" s="1"/>
  <c r="P219" i="1"/>
  <c r="Q219" i="1" s="1"/>
  <c r="P70" i="1"/>
  <c r="Q70" i="1" s="1"/>
  <c r="P303" i="1"/>
  <c r="Q303" i="1" s="1"/>
  <c r="P304" i="1"/>
  <c r="Q304" i="1" s="1"/>
  <c r="P330" i="1"/>
  <c r="Q330" i="1" s="1"/>
  <c r="P299" i="1"/>
  <c r="Q299" i="1" s="1"/>
  <c r="P64" i="1"/>
  <c r="Q64" i="1" s="1"/>
  <c r="P325" i="1"/>
  <c r="Q325" i="1" s="1"/>
  <c r="P216" i="1"/>
  <c r="Q216" i="1" s="1"/>
  <c r="B1061" i="2"/>
  <c r="B1062" i="2" s="1"/>
  <c r="P355" i="1" s="1"/>
  <c r="Q355" i="1" s="1"/>
  <c r="B1025" i="2"/>
  <c r="B1026" i="2" s="1"/>
  <c r="B1401" i="2"/>
  <c r="B1402" i="2" s="1"/>
  <c r="P145" i="1" s="1"/>
  <c r="Q145" i="1" s="1"/>
  <c r="B553" i="2"/>
  <c r="B554" i="2" s="1"/>
  <c r="P350" i="1" s="1"/>
  <c r="Q350" i="1" s="1"/>
  <c r="B1081" i="2"/>
  <c r="B1082" i="2" s="1"/>
  <c r="P356" i="1" s="1"/>
  <c r="Q356" i="1" s="1"/>
  <c r="B988" i="2"/>
  <c r="B989" i="2" s="1"/>
  <c r="P310" i="1" s="1"/>
  <c r="Q310" i="1" s="1"/>
  <c r="P39" i="1"/>
  <c r="Q39" i="1" s="1"/>
  <c r="B305" i="2"/>
  <c r="B306" i="2" s="1"/>
  <c r="P65" i="1" s="1"/>
  <c r="Q65" i="1" s="1"/>
  <c r="P220" i="1"/>
  <c r="Q220" i="1" s="1"/>
  <c r="B969" i="2"/>
  <c r="B970" i="2" s="1"/>
  <c r="B535" i="2"/>
  <c r="B536" i="2" s="1"/>
  <c r="P349" i="1" s="1"/>
  <c r="Q349" i="1" s="1"/>
  <c r="B2087" i="2"/>
  <c r="B2088" i="2" s="1"/>
  <c r="P320" i="1" s="1"/>
  <c r="Q320" i="1" s="1"/>
  <c r="B396" i="2"/>
  <c r="B397" i="2" s="1"/>
  <c r="P67" i="1" s="1"/>
  <c r="Q67" i="1" s="1"/>
  <c r="B145" i="2"/>
  <c r="B146" i="2" s="1"/>
  <c r="P32" i="1" s="1"/>
  <c r="Q32" i="1" s="1"/>
  <c r="B1948" i="2"/>
  <c r="B1949" i="2" s="1"/>
  <c r="P322" i="1" s="1"/>
  <c r="Q322" i="1" s="1"/>
  <c r="B1043" i="2"/>
  <c r="B1044" i="2" s="1"/>
  <c r="B327" i="2"/>
  <c r="B328" i="2" s="1"/>
  <c r="B893" i="2"/>
  <c r="B894" i="2" s="1"/>
  <c r="P127" i="1" s="1"/>
  <c r="Q127" i="1" s="1"/>
  <c r="B128" i="2"/>
  <c r="B129" i="2" s="1"/>
  <c r="P30" i="1" s="1"/>
  <c r="Q30" i="1" s="1"/>
  <c r="B346" i="2"/>
  <c r="B347" i="2" s="1"/>
  <c r="P347" i="1" s="1"/>
  <c r="Q347" i="1" s="1"/>
  <c r="B251" i="2"/>
  <c r="B252" i="2" s="1"/>
  <c r="P53" i="1" s="1"/>
  <c r="Q53" i="1" s="1"/>
  <c r="B874" i="2"/>
  <c r="B875" i="2" s="1"/>
  <c r="P128" i="1" s="1"/>
  <c r="Q128" i="1" s="1"/>
  <c r="B414" i="2"/>
  <c r="B415" i="2" s="1"/>
  <c r="P68" i="1" s="1"/>
  <c r="Q68" i="1" s="1"/>
  <c r="B950" i="2"/>
  <c r="B951" i="2" s="1"/>
  <c r="B1007" i="2"/>
  <c r="B1008" i="2" s="1"/>
  <c r="B1099" i="2"/>
  <c r="B1100" i="2" s="1"/>
  <c r="P270" i="1" s="1"/>
  <c r="Q270" i="1" s="1"/>
  <c r="B91" i="2"/>
  <c r="B92" i="2" s="1"/>
  <c r="P10" i="1" s="1"/>
  <c r="Q10" i="1" s="1"/>
  <c r="F1777" i="7"/>
  <c r="G1777" i="7" s="1"/>
  <c r="F1131" i="2"/>
  <c r="G1131" i="2" s="1"/>
  <c r="F1236" i="7"/>
  <c r="G1236" i="7" s="1"/>
  <c r="F1174" i="2"/>
  <c r="G1174" i="2" s="1"/>
  <c r="F1195" i="2"/>
  <c r="G1195" i="2" s="1"/>
  <c r="G1201" i="2" s="1"/>
  <c r="G1202" i="2" s="1"/>
  <c r="B1203" i="2" s="1"/>
  <c r="F1168" i="2"/>
  <c r="G1168" i="2" s="1"/>
  <c r="F356" i="2"/>
  <c r="G356" i="2" s="1"/>
  <c r="G358" i="2" s="1"/>
  <c r="G359" i="2" s="1"/>
  <c r="B360" i="2" s="1"/>
  <c r="F902" i="2"/>
  <c r="G902" i="2" s="1"/>
  <c r="G908" i="2" s="1"/>
  <c r="G909" i="2" s="1"/>
  <c r="B910" i="2" s="1"/>
  <c r="G650" i="2"/>
  <c r="B651" i="2" s="1"/>
  <c r="B163" i="2"/>
  <c r="P33" i="1" s="1"/>
  <c r="Q33" i="1" s="1"/>
  <c r="B734" i="2"/>
  <c r="P100" i="1" s="1"/>
  <c r="Q100" i="1" s="1"/>
  <c r="G442" i="7"/>
  <c r="F682" i="2"/>
  <c r="G682" i="2" s="1"/>
  <c r="G685" i="2" s="1"/>
  <c r="F664" i="2"/>
  <c r="G664" i="2" s="1"/>
  <c r="G667" i="2" s="1"/>
  <c r="G1795" i="2"/>
  <c r="G1799" i="2" s="1"/>
  <c r="G1800" i="2" s="1"/>
  <c r="B1801" i="2" s="1"/>
  <c r="G1758" i="2"/>
  <c r="G1762" i="2" s="1"/>
  <c r="G1763" i="2" s="1"/>
  <c r="B1764" i="2" s="1"/>
  <c r="F1916" i="2"/>
  <c r="G1916" i="2" s="1"/>
  <c r="G1924" i="2" s="1"/>
  <c r="G1925" i="2" s="1"/>
  <c r="B1926" i="2" s="1"/>
  <c r="G1896" i="2"/>
  <c r="G1900" i="2" s="1"/>
  <c r="G1901" i="2" s="1"/>
  <c r="B1902" i="2" s="1"/>
  <c r="G374" i="7"/>
  <c r="F705" i="2"/>
  <c r="G705" i="2" s="1"/>
  <c r="G711" i="2" s="1"/>
  <c r="G712" i="2" s="1"/>
  <c r="B713" i="2" s="1"/>
  <c r="F584" i="2"/>
  <c r="G584" i="2" s="1"/>
  <c r="G592" i="2" s="1"/>
  <c r="G593" i="2" s="1"/>
  <c r="B594" i="2" s="1"/>
  <c r="F1684" i="2"/>
  <c r="G1684" i="2" s="1"/>
  <c r="G1686" i="2" s="1"/>
  <c r="G1687" i="2" s="1"/>
  <c r="B1688" i="2" s="1"/>
  <c r="G1939" i="7"/>
  <c r="F1652" i="2"/>
  <c r="G1652" i="2" s="1"/>
  <c r="G391" i="7"/>
  <c r="F921" i="2"/>
  <c r="G921" i="2" s="1"/>
  <c r="F564" i="2"/>
  <c r="G564" i="2" s="1"/>
  <c r="G1670" i="2"/>
  <c r="F1650" i="2"/>
  <c r="G1650" i="2" s="1"/>
  <c r="G1094" i="7"/>
  <c r="F464" i="2"/>
  <c r="G464" i="2" s="1"/>
  <c r="G466" i="2" s="1"/>
  <c r="G467" i="2" s="1"/>
  <c r="B468" i="2" s="1"/>
  <c r="G1922" i="7"/>
  <c r="F1667" i="2"/>
  <c r="G1667" i="2" s="1"/>
  <c r="G1669" i="2" s="1"/>
  <c r="G1248" i="7"/>
  <c r="G1254" i="7" s="1"/>
  <c r="G1269" i="7"/>
  <c r="G1249" i="7" s="1"/>
  <c r="G1255" i="7" s="1"/>
  <c r="F1172" i="2" s="1"/>
  <c r="G1172" i="2" s="1"/>
  <c r="G1822" i="7"/>
  <c r="G1486" i="2"/>
  <c r="G1490" i="2" s="1"/>
  <c r="G1491" i="2" s="1"/>
  <c r="B1492" i="2" s="1"/>
  <c r="F1503" i="2"/>
  <c r="G1503" i="2" s="1"/>
  <c r="G1527" i="2" s="1"/>
  <c r="G1528" i="2" s="1"/>
  <c r="B1529" i="2" s="1"/>
  <c r="G1839" i="7"/>
  <c r="F1447" i="2"/>
  <c r="G1447" i="2" s="1"/>
  <c r="G1457" i="2" s="1"/>
  <c r="G357" i="7"/>
  <c r="G1870" i="7"/>
  <c r="G1872" i="7" s="1"/>
  <c r="F1450" i="2"/>
  <c r="G1450" i="2" s="1"/>
  <c r="G1856" i="7"/>
  <c r="F1708" i="7"/>
  <c r="G1708" i="7" s="1"/>
  <c r="G1698" i="7"/>
  <c r="F1788" i="7"/>
  <c r="G1788" i="7" s="1"/>
  <c r="F1706" i="7"/>
  <c r="G1706" i="7" s="1"/>
  <c r="F1334" i="2"/>
  <c r="G1334" i="2" s="1"/>
  <c r="F1303" i="2"/>
  <c r="G1303" i="2" s="1"/>
  <c r="F1365" i="2"/>
  <c r="G1365" i="2" s="1"/>
  <c r="G1642" i="7"/>
  <c r="F1311" i="2"/>
  <c r="G1311" i="2" s="1"/>
  <c r="F1373" i="2"/>
  <c r="G1373" i="2" s="1"/>
  <c r="F1338" i="2"/>
  <c r="G1338" i="2" s="1"/>
  <c r="F1307" i="2"/>
  <c r="G1307" i="2" s="1"/>
  <c r="F1369" i="2"/>
  <c r="F1330" i="2"/>
  <c r="G1330" i="2" s="1"/>
  <c r="F1299" i="2"/>
  <c r="G1299" i="2" s="1"/>
  <c r="F1361" i="2"/>
  <c r="G1361" i="2" s="1"/>
  <c r="F1305" i="2"/>
  <c r="G1305" i="2" s="1"/>
  <c r="F1367" i="2"/>
  <c r="G1367" i="2" s="1"/>
  <c r="F1332" i="2"/>
  <c r="G1332" i="2" s="1"/>
  <c r="F1301" i="2"/>
  <c r="G1301" i="2" s="1"/>
  <c r="F1363" i="2"/>
  <c r="G1363" i="2" s="1"/>
  <c r="G1613" i="7"/>
  <c r="G1366" i="2" s="1"/>
  <c r="F1309" i="2"/>
  <c r="G1309" i="2" s="1"/>
  <c r="F1313" i="2"/>
  <c r="G1313" i="2" s="1"/>
  <c r="F1375" i="2"/>
  <c r="G1375" i="2" s="1"/>
  <c r="G1739" i="7"/>
  <c r="F1666" i="7"/>
  <c r="G1666" i="7" s="1"/>
  <c r="G1670" i="7" s="1"/>
  <c r="F1284" i="2" s="1"/>
  <c r="G1284" i="2" s="1"/>
  <c r="G1762" i="7"/>
  <c r="F1274" i="2"/>
  <c r="G1274" i="2" s="1"/>
  <c r="F1336" i="2"/>
  <c r="G1336" i="2" s="1"/>
  <c r="F1278" i="2"/>
  <c r="G1278" i="2" s="1"/>
  <c r="F1340" i="2"/>
  <c r="G1340" i="2" s="1"/>
  <c r="G1368" i="2"/>
  <c r="G1343" i="2"/>
  <c r="G1347" i="2" s="1"/>
  <c r="F1775" i="7"/>
  <c r="G1775" i="7" s="1"/>
  <c r="G1684" i="7"/>
  <c r="G1658" i="7"/>
  <c r="G1371" i="2" s="1"/>
  <c r="G1370" i="2"/>
  <c r="F1344" i="2"/>
  <c r="F1282" i="2"/>
  <c r="G1282" i="2" s="1"/>
  <c r="F1280" i="2"/>
  <c r="G1280" i="2" s="1"/>
  <c r="F1342" i="2"/>
  <c r="G1342" i="2" s="1"/>
  <c r="G1628" i="7"/>
  <c r="G1584" i="7"/>
  <c r="G1598" i="7"/>
  <c r="F1276" i="2"/>
  <c r="G1276" i="2" s="1"/>
  <c r="F1272" i="2"/>
  <c r="G1272" i="2" s="1"/>
  <c r="G1527" i="7"/>
  <c r="F1270" i="2"/>
  <c r="G1270" i="2" s="1"/>
  <c r="G1512" i="7"/>
  <c r="G1499" i="7"/>
  <c r="F1268" i="2"/>
  <c r="G1268" i="2" s="1"/>
  <c r="G1108" i="7"/>
  <c r="F485" i="2"/>
  <c r="G485" i="2" s="1"/>
  <c r="G487" i="2" s="1"/>
  <c r="G488" i="2" s="1"/>
  <c r="B489" i="2" s="1"/>
  <c r="G1080" i="7"/>
  <c r="B21" i="2"/>
  <c r="B44" i="2"/>
  <c r="G1135" i="2" l="1"/>
  <c r="G1136" i="2" s="1"/>
  <c r="B1137" i="2" s="1"/>
  <c r="B1139" i="2" s="1"/>
  <c r="B1140" i="2" s="1"/>
  <c r="Q280" i="1"/>
  <c r="Q55" i="1"/>
  <c r="Q44" i="1"/>
  <c r="Q72" i="1"/>
  <c r="Q221" i="1"/>
  <c r="F1817" i="2"/>
  <c r="G1817" i="2" s="1"/>
  <c r="G1825" i="2" s="1"/>
  <c r="G1826" i="2" s="1"/>
  <c r="B1827" i="2" s="1"/>
  <c r="B1829" i="2" s="1"/>
  <c r="B1830" i="2" s="1"/>
  <c r="P230" i="1" s="1"/>
  <c r="Q230" i="1" s="1"/>
  <c r="F1857" i="2"/>
  <c r="G1857" i="2" s="1"/>
  <c r="G1863" i="2" s="1"/>
  <c r="G1864" i="2" s="1"/>
  <c r="B1865" i="2" s="1"/>
  <c r="G1954" i="7"/>
  <c r="P332" i="1"/>
  <c r="Q332" i="1" s="1"/>
  <c r="P61" i="1"/>
  <c r="Q61" i="1" s="1"/>
  <c r="P319" i="1"/>
  <c r="Q319" i="1" s="1"/>
  <c r="P312" i="1"/>
  <c r="Q312" i="1" s="1"/>
  <c r="P337" i="1"/>
  <c r="Q337" i="1" s="1"/>
  <c r="P318" i="1"/>
  <c r="Q318" i="1" s="1"/>
  <c r="P336" i="1"/>
  <c r="Q336" i="1" s="1"/>
  <c r="P311" i="1"/>
  <c r="Q311" i="1" s="1"/>
  <c r="P331" i="1"/>
  <c r="Q331" i="1" s="1"/>
  <c r="P60" i="1"/>
  <c r="Q60" i="1" s="1"/>
  <c r="P305" i="1"/>
  <c r="Q305" i="1" s="1"/>
  <c r="P334" i="1"/>
  <c r="Q334" i="1" s="1"/>
  <c r="P308" i="1"/>
  <c r="Q308" i="1" s="1"/>
  <c r="P301" i="1"/>
  <c r="Q301" i="1" s="1"/>
  <c r="P327" i="1"/>
  <c r="Q327" i="1" s="1"/>
  <c r="P309" i="1"/>
  <c r="Q309" i="1" s="1"/>
  <c r="P335" i="1"/>
  <c r="Q335" i="1" s="1"/>
  <c r="P57" i="1"/>
  <c r="Q57" i="1" s="1"/>
  <c r="P338" i="1"/>
  <c r="Q338" i="1" s="1"/>
  <c r="P313" i="1"/>
  <c r="Q313" i="1" s="1"/>
  <c r="B1690" i="2"/>
  <c r="B1691" i="2" s="1"/>
  <c r="P224" i="1" s="1"/>
  <c r="Q224" i="1" s="1"/>
  <c r="B1904" i="2"/>
  <c r="B1905" i="2" s="1"/>
  <c r="B1803" i="2"/>
  <c r="B1804" i="2" s="1"/>
  <c r="P247" i="1" s="1"/>
  <c r="Q247" i="1" s="1"/>
  <c r="B1494" i="2"/>
  <c r="B1495" i="2" s="1"/>
  <c r="P167" i="1" s="1"/>
  <c r="Q167" i="1" s="1"/>
  <c r="P40" i="1"/>
  <c r="Q40" i="1" s="1"/>
  <c r="B596" i="2"/>
  <c r="B597" i="2" s="1"/>
  <c r="P99" i="1" s="1"/>
  <c r="Q99" i="1" s="1"/>
  <c r="B1928" i="2"/>
  <c r="B1929" i="2" s="1"/>
  <c r="P240" i="1" s="1"/>
  <c r="P306" i="1"/>
  <c r="Q306" i="1" s="1"/>
  <c r="B912" i="2"/>
  <c r="B913" i="2" s="1"/>
  <c r="P340" i="1"/>
  <c r="Q340" i="1" s="1"/>
  <c r="B1531" i="2"/>
  <c r="B1532" i="2" s="1"/>
  <c r="P41" i="1"/>
  <c r="Q41" i="1" s="1"/>
  <c r="P38" i="1"/>
  <c r="Q38" i="1" s="1"/>
  <c r="B470" i="2"/>
  <c r="B471" i="2" s="1"/>
  <c r="P348" i="1" s="1"/>
  <c r="Q348" i="1" s="1"/>
  <c r="B715" i="2"/>
  <c r="B716" i="2" s="1"/>
  <c r="P106" i="1" s="1"/>
  <c r="Q106" i="1" s="1"/>
  <c r="B653" i="2"/>
  <c r="B654" i="2" s="1"/>
  <c r="P101" i="1" s="1"/>
  <c r="Q101" i="1" s="1"/>
  <c r="B362" i="2"/>
  <c r="B363" i="2" s="1"/>
  <c r="B491" i="2"/>
  <c r="B492" i="2" s="1"/>
  <c r="P59" i="1" s="1"/>
  <c r="Q59" i="1" s="1"/>
  <c r="B1766" i="2"/>
  <c r="B1767" i="2" s="1"/>
  <c r="P225" i="1" s="1"/>
  <c r="Q225" i="1" s="1"/>
  <c r="B1205" i="2"/>
  <c r="B1206" i="2" s="1"/>
  <c r="P351" i="1" s="1"/>
  <c r="Q351" i="1" s="1"/>
  <c r="Q315" i="1"/>
  <c r="P341" i="1"/>
  <c r="Q341" i="1" s="1"/>
  <c r="G1779" i="7"/>
  <c r="G1780" i="7" s="1"/>
  <c r="G1180" i="2"/>
  <c r="F1233" i="7"/>
  <c r="G1233" i="7" s="1"/>
  <c r="G1239" i="7" s="1"/>
  <c r="F566" i="2" s="1"/>
  <c r="G566" i="2" s="1"/>
  <c r="G568" i="2" s="1"/>
  <c r="F1171" i="2"/>
  <c r="G1171" i="2" s="1"/>
  <c r="G1179" i="2" s="1"/>
  <c r="G924" i="2"/>
  <c r="G925" i="2" s="1"/>
  <c r="B926" i="2" s="1"/>
  <c r="G1286" i="2"/>
  <c r="G1287" i="2" s="1"/>
  <c r="B1288" i="2" s="1"/>
  <c r="G1654" i="2"/>
  <c r="G1655" i="2" s="1"/>
  <c r="B1656" i="2" s="1"/>
  <c r="G1671" i="2"/>
  <c r="B1672" i="2" s="1"/>
  <c r="G1256" i="7"/>
  <c r="F1234" i="7"/>
  <c r="G1234" i="7" s="1"/>
  <c r="G1240" i="7" s="1"/>
  <c r="G1873" i="7"/>
  <c r="F1452" i="2"/>
  <c r="G1452" i="2" s="1"/>
  <c r="G1458" i="2" s="1"/>
  <c r="G1459" i="2" s="1"/>
  <c r="B1460" i="2" s="1"/>
  <c r="G1710" i="7"/>
  <c r="G1369" i="2"/>
  <c r="G1766" i="7"/>
  <c r="F1790" i="7" s="1"/>
  <c r="G1790" i="7" s="1"/>
  <c r="G1792" i="7" s="1"/>
  <c r="G1671" i="7"/>
  <c r="G1372" i="2" s="1"/>
  <c r="G1378" i="2" s="1"/>
  <c r="G1344" i="2"/>
  <c r="P12" i="1"/>
  <c r="Q12" i="1" s="1"/>
  <c r="Q314" i="1" l="1"/>
  <c r="P111" i="1"/>
  <c r="Q111" i="1" s="1"/>
  <c r="B1867" i="2"/>
  <c r="B1868" i="2" s="1"/>
  <c r="P233" i="1" s="1"/>
  <c r="Q233" i="1" s="1"/>
  <c r="F1346" i="2"/>
  <c r="G1346" i="2" s="1"/>
  <c r="G1348" i="2" s="1"/>
  <c r="G1349" i="2" s="1"/>
  <c r="B1350" i="2" s="1"/>
  <c r="P333" i="1"/>
  <c r="Q333" i="1" s="1"/>
  <c r="P307" i="1"/>
  <c r="Q307" i="1" s="1"/>
  <c r="P302" i="1"/>
  <c r="Q302" i="1" s="1"/>
  <c r="P328" i="1"/>
  <c r="Q328" i="1" s="1"/>
  <c r="P58" i="1"/>
  <c r="Q58" i="1" s="1"/>
  <c r="Q62" i="1" s="1"/>
  <c r="Q73" i="1" s="1"/>
  <c r="B1658" i="2"/>
  <c r="B1659" i="2" s="1"/>
  <c r="P226" i="1" s="1"/>
  <c r="Q226" i="1" s="1"/>
  <c r="B1290" i="2"/>
  <c r="B1291" i="2" s="1"/>
  <c r="B928" i="2"/>
  <c r="B929" i="2" s="1"/>
  <c r="P122" i="1" s="1"/>
  <c r="Q122" i="1" s="1"/>
  <c r="Q129" i="1" s="1"/>
  <c r="B1462" i="2"/>
  <c r="B1463" i="2" s="1"/>
  <c r="P321" i="1" s="1"/>
  <c r="Q321" i="1" s="1"/>
  <c r="B1674" i="2"/>
  <c r="B1675" i="2" s="1"/>
  <c r="P223" i="1" s="1"/>
  <c r="Q223" i="1" s="1"/>
  <c r="G1181" i="2"/>
  <c r="B1182" i="2" s="1"/>
  <c r="B1184" i="2" s="1"/>
  <c r="G686" i="2"/>
  <c r="B687" i="2" s="1"/>
  <c r="B689" i="2" s="1"/>
  <c r="G668" i="2"/>
  <c r="B669" i="2" s="1"/>
  <c r="B671" i="2" s="1"/>
  <c r="F567" i="2"/>
  <c r="G567" i="2" s="1"/>
  <c r="G569" i="2" s="1"/>
  <c r="G570" i="2" s="1"/>
  <c r="B571" i="2" s="1"/>
  <c r="G1241" i="7"/>
  <c r="G1711" i="7"/>
  <c r="F1315" i="2"/>
  <c r="G1315" i="2" s="1"/>
  <c r="G1317" i="2" s="1"/>
  <c r="G1318" i="2" s="1"/>
  <c r="B1319" i="2" s="1"/>
  <c r="G1793" i="7"/>
  <c r="F1377" i="2"/>
  <c r="G1377" i="2" s="1"/>
  <c r="G1379" i="2" s="1"/>
  <c r="G1380" i="2" s="1"/>
  <c r="B1381" i="2" s="1"/>
  <c r="G1767" i="7"/>
  <c r="G3064" i="2"/>
  <c r="G3063" i="2"/>
  <c r="G3062" i="2"/>
  <c r="G3061" i="2"/>
  <c r="G3060" i="2"/>
  <c r="G3059" i="2"/>
  <c r="G3058" i="2"/>
  <c r="G3057" i="2"/>
  <c r="G3056" i="2"/>
  <c r="P260" i="1"/>
  <c r="Q260" i="1" s="1"/>
  <c r="Q261" i="1" s="1"/>
  <c r="Q113" i="1" l="1"/>
  <c r="Q118" i="1" s="1"/>
  <c r="C16" i="5" s="1"/>
  <c r="C9" i="6"/>
  <c r="C18" i="5"/>
  <c r="C14" i="6"/>
  <c r="B1383" i="2"/>
  <c r="B1384" i="2" s="1"/>
  <c r="P135" i="1" s="1"/>
  <c r="Q135" i="1" s="1"/>
  <c r="B573" i="2"/>
  <c r="B574" i="2" s="1"/>
  <c r="P76" i="1" s="1"/>
  <c r="Q76" i="1" s="1"/>
  <c r="Q77" i="1" s="1"/>
  <c r="B1352" i="2"/>
  <c r="B1353" i="2" s="1"/>
  <c r="P134" i="1" s="1"/>
  <c r="Q134" i="1" s="1"/>
  <c r="B1321" i="2"/>
  <c r="B1322" i="2" s="1"/>
  <c r="P136" i="1" s="1"/>
  <c r="Q136" i="1" s="1"/>
  <c r="B1185" i="2"/>
  <c r="B672" i="2"/>
  <c r="P102" i="1" s="1"/>
  <c r="Q102" i="1" s="1"/>
  <c r="B690" i="2"/>
  <c r="P103" i="1" s="1"/>
  <c r="Q103" i="1" s="1"/>
  <c r="G3065" i="2"/>
  <c r="B3071" i="2" s="1"/>
  <c r="G3066" i="2"/>
  <c r="C13" i="6" l="1"/>
  <c r="C10" i="5"/>
  <c r="C10" i="6"/>
  <c r="P142" i="1"/>
  <c r="Q142" i="1" s="1"/>
  <c r="P316" i="1"/>
  <c r="Q316" i="1" s="1"/>
  <c r="P352" i="1"/>
  <c r="Q352" i="1" s="1"/>
  <c r="Q357" i="1" s="1"/>
  <c r="P339" i="1"/>
  <c r="Q339" i="1" s="1"/>
  <c r="Q343" i="1" s="1"/>
  <c r="P317" i="1"/>
  <c r="Q317" i="1" s="1"/>
  <c r="G3067" i="2"/>
  <c r="B3070" i="2" s="1"/>
  <c r="B3072" i="2" s="1"/>
  <c r="B3073" i="2" s="1"/>
  <c r="Q323" i="1" l="1"/>
  <c r="Q361" i="1" s="1"/>
  <c r="G1416" i="2"/>
  <c r="B1417" i="2" s="1"/>
  <c r="B14" i="6"/>
  <c r="P248" i="1"/>
  <c r="Q248" i="1" s="1"/>
  <c r="Q253" i="1"/>
  <c r="H21" i="4"/>
  <c r="G21" i="4"/>
  <c r="H38" i="4"/>
  <c r="I38" i="4" s="1"/>
  <c r="H39" i="4"/>
  <c r="I39" i="4" s="1"/>
  <c r="C22" i="5" l="1"/>
  <c r="C16" i="6"/>
  <c r="I40" i="4"/>
  <c r="B1419" i="2"/>
  <c r="B1420" i="2" s="1"/>
  <c r="P144" i="1" s="1"/>
  <c r="Q144" i="1" s="1"/>
  <c r="Q107" i="1"/>
  <c r="G2739" i="2"/>
  <c r="G2740" i="2"/>
  <c r="G2741" i="2"/>
  <c r="G2738" i="2"/>
  <c r="G2693" i="2"/>
  <c r="G2694" i="2" s="1"/>
  <c r="G2692" i="2"/>
  <c r="G2695" i="2" s="1"/>
  <c r="G2669" i="2"/>
  <c r="G2670" i="2"/>
  <c r="G2671" i="2"/>
  <c r="G2672" i="2"/>
  <c r="G2668" i="2"/>
  <c r="G2596" i="2"/>
  <c r="G2597" i="2"/>
  <c r="G2598" i="2"/>
  <c r="G2599" i="2"/>
  <c r="G2600" i="2"/>
  <c r="G2601" i="2"/>
  <c r="G2602" i="2"/>
  <c r="G2603" i="2"/>
  <c r="G2595" i="2"/>
  <c r="G2623" i="2"/>
  <c r="G2624" i="2"/>
  <c r="G2625" i="2"/>
  <c r="G2622" i="2"/>
  <c r="G2566" i="2"/>
  <c r="G2567" i="2"/>
  <c r="G2568" i="2"/>
  <c r="G2569" i="2"/>
  <c r="G2570" i="2"/>
  <c r="G2571" i="2"/>
  <c r="G2572" i="2"/>
  <c r="G2573" i="2"/>
  <c r="G2565" i="2"/>
  <c r="L83" i="1"/>
  <c r="G16" i="6" l="1"/>
  <c r="E16" i="6"/>
  <c r="C14" i="5"/>
  <c r="C12" i="6"/>
  <c r="Q85" i="1"/>
  <c r="G2743" i="2"/>
  <c r="B2749" i="2" s="1"/>
  <c r="G2744" i="2"/>
  <c r="G2696" i="2"/>
  <c r="B2699" i="2" s="1"/>
  <c r="B2700" i="2"/>
  <c r="G2627" i="2"/>
  <c r="G2675" i="2"/>
  <c r="G2674" i="2"/>
  <c r="B2680" i="2" s="1"/>
  <c r="G2604" i="2"/>
  <c r="B2610" i="2" s="1"/>
  <c r="G2626" i="2"/>
  <c r="B2632" i="2" s="1"/>
  <c r="G2575" i="2"/>
  <c r="B2581" i="2" s="1"/>
  <c r="G2605" i="2"/>
  <c r="G2576" i="2"/>
  <c r="G2249" i="2"/>
  <c r="G2246" i="2"/>
  <c r="G2247" i="2"/>
  <c r="G2248" i="2"/>
  <c r="G2245" i="2"/>
  <c r="G2234" i="2"/>
  <c r="G2235" i="2"/>
  <c r="G2236" i="2"/>
  <c r="G2237" i="2"/>
  <c r="G2233" i="2"/>
  <c r="G2215" i="2"/>
  <c r="G2216" i="2"/>
  <c r="G2217" i="2"/>
  <c r="G2218" i="2"/>
  <c r="G2219" i="2"/>
  <c r="G2220" i="2"/>
  <c r="G2221" i="2"/>
  <c r="G2222" i="2"/>
  <c r="G2223" i="2"/>
  <c r="G2224" i="2"/>
  <c r="G2225" i="2"/>
  <c r="G2214" i="2"/>
  <c r="G2201" i="2"/>
  <c r="G2202" i="2"/>
  <c r="G2203" i="2"/>
  <c r="G2204" i="2"/>
  <c r="G2205" i="2"/>
  <c r="G2206" i="2"/>
  <c r="G2200" i="2"/>
  <c r="Q191" i="1"/>
  <c r="Q189" i="1"/>
  <c r="P188" i="1"/>
  <c r="Q188" i="1" s="1"/>
  <c r="Q187" i="1"/>
  <c r="P239" i="1"/>
  <c r="Q239" i="1" s="1"/>
  <c r="Q235" i="1"/>
  <c r="Q168" i="1"/>
  <c r="Q211" i="1" l="1"/>
  <c r="Q87" i="1"/>
  <c r="Q86" i="1"/>
  <c r="Q88" i="1"/>
  <c r="G2745" i="2"/>
  <c r="B2748" i="2" s="1"/>
  <c r="B2750" i="2" s="1"/>
  <c r="B2751" i="2" s="1"/>
  <c r="B2701" i="2"/>
  <c r="B2702" i="2" s="1"/>
  <c r="Q251" i="1"/>
  <c r="G2606" i="2"/>
  <c r="B2609" i="2" s="1"/>
  <c r="B2611" i="2" s="1"/>
  <c r="B2612" i="2" s="1"/>
  <c r="G2577" i="2"/>
  <c r="B2580" i="2" s="1"/>
  <c r="B2582" i="2" s="1"/>
  <c r="G2676" i="2"/>
  <c r="B2679" i="2" s="1"/>
  <c r="B2681" i="2" s="1"/>
  <c r="B2682" i="2" s="1"/>
  <c r="G2628" i="2"/>
  <c r="B2631" i="2" s="1"/>
  <c r="B2633" i="2" s="1"/>
  <c r="B2634" i="2" s="1"/>
  <c r="Q240" i="1" s="1"/>
  <c r="Q258" i="1" s="1"/>
  <c r="H2240" i="2"/>
  <c r="H2252" i="2"/>
  <c r="H2228" i="2"/>
  <c r="H2251" i="2"/>
  <c r="H2208" i="2"/>
  <c r="H2239" i="2"/>
  <c r="H2227" i="2"/>
  <c r="H2207" i="2"/>
  <c r="G2172" i="2"/>
  <c r="B2173" i="2" s="1"/>
  <c r="P166" i="1"/>
  <c r="Q166" i="1" s="1"/>
  <c r="Q181" i="1" s="1"/>
  <c r="P133" i="1"/>
  <c r="Q133" i="1" s="1"/>
  <c r="Q164" i="1" s="1"/>
  <c r="Q90" i="1" l="1"/>
  <c r="Q96" i="1" s="1"/>
  <c r="C11" i="6" s="1"/>
  <c r="Q281" i="1"/>
  <c r="C15" i="6" s="1"/>
  <c r="B2175" i="2"/>
  <c r="B2176" i="2" s="1"/>
  <c r="B2583" i="2"/>
  <c r="H2229" i="2"/>
  <c r="H2230" i="2" s="1"/>
  <c r="H2253" i="2"/>
  <c r="H2254" i="2" s="1"/>
  <c r="H2241" i="2"/>
  <c r="H2242" i="2" s="1"/>
  <c r="H2209" i="2"/>
  <c r="H2210" i="2" s="1"/>
  <c r="N41" i="4"/>
  <c r="O42" i="4" l="1"/>
  <c r="O41" i="4"/>
  <c r="P37" i="1" l="1"/>
  <c r="Q37" i="1" s="1"/>
  <c r="O43" i="4"/>
  <c r="O44" i="4" s="1"/>
  <c r="P27" i="1" s="1"/>
  <c r="Q27" i="1" s="1"/>
  <c r="P35" i="1" l="1"/>
  <c r="Q35" i="1" s="1"/>
  <c r="P11" i="1"/>
  <c r="Q11" i="1" s="1"/>
  <c r="Q13" i="1" s="1"/>
  <c r="B13" i="6" l="1"/>
  <c r="B12" i="6"/>
  <c r="B11" i="6"/>
  <c r="B10" i="6"/>
  <c r="B8" i="5"/>
  <c r="B9" i="6" s="1"/>
  <c r="B6" i="5"/>
  <c r="B8" i="6" s="1"/>
  <c r="C12" i="5" l="1"/>
  <c r="A8" i="5" l="1"/>
  <c r="A6" i="5"/>
  <c r="B17" i="6"/>
  <c r="G4" i="6"/>
  <c r="D21" i="4" l="1"/>
  <c r="L17" i="4"/>
  <c r="M17" i="4" s="1"/>
  <c r="N17" i="4" s="1"/>
  <c r="O17" i="4" s="1"/>
  <c r="L16" i="4"/>
  <c r="M16" i="4" s="1"/>
  <c r="N16" i="4" s="1"/>
  <c r="O16" i="4" s="1"/>
  <c r="L15" i="4"/>
  <c r="M15" i="4" s="1"/>
  <c r="N15" i="4" s="1"/>
  <c r="O15" i="4" s="1"/>
  <c r="L14" i="4"/>
  <c r="L13" i="4"/>
  <c r="M13" i="4" s="1"/>
  <c r="N13" i="4" s="1"/>
  <c r="O13" i="4" s="1"/>
  <c r="L12" i="4"/>
  <c r="M12" i="4" s="1"/>
  <c r="N12" i="4" s="1"/>
  <c r="O12" i="4" s="1"/>
  <c r="L11" i="4"/>
  <c r="M14" i="4" l="1"/>
  <c r="N14" i="4" s="1"/>
  <c r="O14" i="4" s="1"/>
  <c r="L21" i="4"/>
  <c r="M11" i="4"/>
  <c r="M21" i="4" l="1"/>
  <c r="N11" i="4"/>
  <c r="O11" i="4" s="1"/>
  <c r="O22" i="4" l="1"/>
  <c r="O23" i="4" l="1"/>
  <c r="O24" i="4" s="1"/>
  <c r="O25" i="4" s="1"/>
  <c r="P25" i="1" l="1"/>
  <c r="Q25" i="1" s="1"/>
  <c r="Q28" i="1" l="1"/>
  <c r="Q45" i="1" s="1"/>
  <c r="Q363" i="1" s="1"/>
  <c r="C20" i="5"/>
  <c r="G14" i="6"/>
  <c r="E14" i="6"/>
  <c r="E12" i="6"/>
  <c r="G12" i="6"/>
  <c r="C8" i="5"/>
  <c r="C8" i="6" l="1"/>
  <c r="G8" i="6" s="1"/>
  <c r="C6" i="5"/>
  <c r="C26" i="5" s="1"/>
  <c r="E15" i="6"/>
  <c r="G15" i="6"/>
  <c r="G13" i="6"/>
  <c r="G10" i="6"/>
  <c r="E10" i="6"/>
  <c r="E11" i="6"/>
  <c r="G11" i="6"/>
  <c r="E9" i="6"/>
  <c r="G9" i="6"/>
  <c r="C17" i="6" l="1"/>
  <c r="D9" i="6" s="1"/>
  <c r="E8" i="6"/>
  <c r="G18" i="6"/>
  <c r="D18" i="5"/>
  <c r="D22" i="5"/>
  <c r="D20" i="5"/>
  <c r="E13" i="6"/>
  <c r="D16" i="5"/>
  <c r="D26" i="5"/>
  <c r="D12" i="5"/>
  <c r="D14" i="5"/>
  <c r="D6" i="5"/>
  <c r="D10" i="5"/>
  <c r="D8" i="5"/>
  <c r="D10" i="6" l="1"/>
  <c r="D11" i="6"/>
  <c r="H18" i="6"/>
  <c r="D15" i="6"/>
  <c r="D14" i="6"/>
  <c r="D13" i="6"/>
  <c r="D12" i="6"/>
  <c r="D16" i="6"/>
  <c r="D8" i="6"/>
  <c r="E18" i="6"/>
  <c r="F18" i="6" s="1"/>
  <c r="F19" i="6" s="1"/>
  <c r="D17" i="6" l="1"/>
  <c r="H19" i="6"/>
  <c r="E19" i="6"/>
  <c r="G19" i="6" s="1"/>
</calcChain>
</file>

<file path=xl/comments1.xml><?xml version="1.0" encoding="utf-8"?>
<comments xmlns="http://schemas.openxmlformats.org/spreadsheetml/2006/main">
  <authors>
    <author>JacobsGuimar</author>
  </authors>
  <commentList>
    <comment ref="P9" authorId="0" shapeId="0">
      <text>
        <r>
          <rPr>
            <sz val="9"/>
            <color indexed="81"/>
            <rFont val="Segoe UI"/>
            <family val="2"/>
          </rPr>
          <t>PREÇO EMOP 01/2018 (SEM TAXAS+LS)XBDI</t>
        </r>
      </text>
    </comment>
    <comment ref="C295" authorId="0" shapeId="0">
      <text>
        <r>
          <rPr>
            <sz val="9"/>
            <color indexed="81"/>
            <rFont val="Segoe UI"/>
            <family val="2"/>
          </rPr>
          <t>9,42KG/M2</t>
        </r>
      </text>
    </comment>
  </commentList>
</comments>
</file>

<file path=xl/comments2.xml><?xml version="1.0" encoding="utf-8"?>
<comments xmlns="http://schemas.openxmlformats.org/spreadsheetml/2006/main">
  <authors>
    <author>JacobsGuimar</author>
  </authors>
  <commentList>
    <comment ref="J23" authorId="0" shapeId="0">
      <text>
        <r>
          <rPr>
            <sz val="9"/>
            <color indexed="81"/>
            <rFont val="Segoe UI"/>
            <family val="2"/>
          </rPr>
          <t xml:space="preserve">comprimento do semi-arco retirado do Cad
</t>
        </r>
      </text>
    </comment>
    <comment ref="F226" authorId="0" shapeId="0">
      <text>
        <r>
          <rPr>
            <sz val="9"/>
            <color indexed="81"/>
            <rFont val="Segoe UI"/>
            <family val="2"/>
          </rPr>
          <t>kg/m2</t>
        </r>
      </text>
    </comment>
    <comment ref="F229" authorId="0" shapeId="0">
      <text>
        <r>
          <rPr>
            <sz val="9"/>
            <color indexed="81"/>
            <rFont val="Segoe UI"/>
            <family val="2"/>
          </rPr>
          <t xml:space="preserve">empolamento 30%
</t>
        </r>
      </text>
    </comment>
    <comment ref="F251" authorId="0" shapeId="0">
      <text>
        <r>
          <rPr>
            <sz val="9"/>
            <color indexed="81"/>
            <rFont val="Segoe UI"/>
            <family val="2"/>
          </rPr>
          <t>kg/m2</t>
        </r>
      </text>
    </comment>
    <comment ref="F254" authorId="0" shapeId="0">
      <text>
        <r>
          <rPr>
            <sz val="9"/>
            <color indexed="81"/>
            <rFont val="Segoe UI"/>
            <family val="2"/>
          </rPr>
          <t xml:space="preserve">empolamento 30%
</t>
        </r>
      </text>
    </comment>
    <comment ref="F294" authorId="0" shapeId="0">
      <text>
        <r>
          <rPr>
            <sz val="9"/>
            <color indexed="81"/>
            <rFont val="Segoe UI"/>
            <family val="2"/>
          </rPr>
          <t>volume do tubo</t>
        </r>
      </text>
    </comment>
  </commentList>
</comments>
</file>

<file path=xl/sharedStrings.xml><?xml version="1.0" encoding="utf-8"?>
<sst xmlns="http://schemas.openxmlformats.org/spreadsheetml/2006/main" count="13722" uniqueCount="3207">
  <si>
    <t xml:space="preserve"> </t>
  </si>
  <si>
    <t>cj</t>
  </si>
  <si>
    <t/>
  </si>
  <si>
    <t>m³</t>
  </si>
  <si>
    <t>m</t>
  </si>
  <si>
    <t>un</t>
  </si>
  <si>
    <t>1.1</t>
  </si>
  <si>
    <t>1.2</t>
  </si>
  <si>
    <t>1.3</t>
  </si>
  <si>
    <t>3.1</t>
  </si>
  <si>
    <t>4.1</t>
  </si>
  <si>
    <t xml:space="preserve">Total item:   1   </t>
  </si>
  <si>
    <t>m²</t>
  </si>
  <si>
    <t xml:space="preserve">Total item:   2 </t>
  </si>
  <si>
    <t>2.1</t>
  </si>
  <si>
    <t>2.2</t>
  </si>
  <si>
    <t>5.1</t>
  </si>
  <si>
    <t>mês</t>
  </si>
  <si>
    <t>Item</t>
  </si>
  <si>
    <t>Descrição</t>
  </si>
  <si>
    <t>1.1.1</t>
  </si>
  <si>
    <t>1.2.1</t>
  </si>
  <si>
    <t>1.3.1</t>
  </si>
  <si>
    <t>1.1.2</t>
  </si>
  <si>
    <t>1.</t>
  </si>
  <si>
    <t>2.</t>
  </si>
  <si>
    <t>3.</t>
  </si>
  <si>
    <t>4.</t>
  </si>
  <si>
    <t>5.</t>
  </si>
  <si>
    <t>6.</t>
  </si>
  <si>
    <t>Código</t>
  </si>
  <si>
    <t>Administração local da obra - Despesas diversas</t>
  </si>
  <si>
    <t>ITEM</t>
  </si>
  <si>
    <t>CÓDIGO</t>
  </si>
  <si>
    <t>DISCRIMINAÇÃO</t>
  </si>
  <si>
    <t xml:space="preserve">B.D.I. - BONIFICAÇÃO E DESPESAS INDIRETAS </t>
  </si>
  <si>
    <t>CUSTO UNITÁRIO DA REFEIÇÃO</t>
  </si>
  <si>
    <t>CAFÉ DA MANHÃ</t>
  </si>
  <si>
    <t>ALMOÇO / JANTAR</t>
  </si>
  <si>
    <t>FUNCIONÁRIOS</t>
  </si>
  <si>
    <t>CUSTO TOTAL ALIMENTAÇÃO (R$)</t>
  </si>
  <si>
    <t>QUANT.</t>
  </si>
  <si>
    <t>Permanência Obra (mêses)</t>
  </si>
  <si>
    <t>Consumo por Mês</t>
  </si>
  <si>
    <t>Valor Custo (R$)</t>
  </si>
  <si>
    <t>Refeições por Dia</t>
  </si>
  <si>
    <t>Dias</t>
  </si>
  <si>
    <t>Refeições</t>
  </si>
  <si>
    <t>Mensal</t>
  </si>
  <si>
    <t>Esta Obra</t>
  </si>
  <si>
    <t>ALIMENTAÇÃO DO PESSOAL</t>
  </si>
  <si>
    <t>ADMINISTRAÇÃO DIRETA</t>
  </si>
  <si>
    <t>1.3.2</t>
  </si>
  <si>
    <t>T205</t>
  </si>
  <si>
    <t>Apontador</t>
  </si>
  <si>
    <t>1.3.3</t>
  </si>
  <si>
    <t>1.3.4</t>
  </si>
  <si>
    <t>T240</t>
  </si>
  <si>
    <t xml:space="preserve">Laboratorista </t>
  </si>
  <si>
    <t>T500</t>
  </si>
  <si>
    <t>Encarregado Geral</t>
  </si>
  <si>
    <t>T702</t>
  </si>
  <si>
    <t>Ajudante</t>
  </si>
  <si>
    <t>T708</t>
  </si>
  <si>
    <t>T710</t>
  </si>
  <si>
    <t>T730</t>
  </si>
  <si>
    <t>SUB-TOTAIS PREVISTOS</t>
  </si>
  <si>
    <t>CUSTO DIRETO (MENSAL / TOTAL) PARA ESTA OBRA (R$)</t>
  </si>
  <si>
    <t xml:space="preserve">PRAZO TOTAL PREVISTO PARA A OBRA = </t>
  </si>
  <si>
    <t>MESES</t>
  </si>
  <si>
    <t>PREÇO TOTAL PARA ESTA OBRA (Custo Direto + B.D.I)</t>
  </si>
  <si>
    <t>VALOR MÉDIO MENSAL DA DESPESA COM ALIMENTAÇÃO DO PESSOAL DA ADMINISTRAÇÃO DIRETA (Custo Direto + B.D.I)</t>
  </si>
  <si>
    <t>Pedreiro</t>
  </si>
  <si>
    <t>Servente</t>
  </si>
  <si>
    <t>Quadro resumo do orçamento</t>
  </si>
  <si>
    <t xml:space="preserve">Descrição  </t>
  </si>
  <si>
    <t>Valor</t>
  </si>
  <si>
    <t>%</t>
  </si>
  <si>
    <t>TOTAL GERAL</t>
  </si>
  <si>
    <t>Cronograma físico e financeiro</t>
  </si>
  <si>
    <t>DESCRIÇÃO</t>
  </si>
  <si>
    <t>VALOR</t>
  </si>
  <si>
    <t>PESO</t>
  </si>
  <si>
    <t>DIAS</t>
  </si>
  <si>
    <t>VALOR R$</t>
  </si>
  <si>
    <t>PERC. (%)</t>
  </si>
  <si>
    <t>VALOR SIMPLES</t>
  </si>
  <si>
    <t>VALOR ACUMULADO</t>
  </si>
  <si>
    <t>Un</t>
  </si>
  <si>
    <t xml:space="preserve"> Alimentação do pessoal</t>
  </si>
  <si>
    <t>PRÓPRIA</t>
  </si>
  <si>
    <t>Região de preços:   SINAPI - São Paulo</t>
  </si>
  <si>
    <t>Class</t>
  </si>
  <si>
    <t>Coef</t>
  </si>
  <si>
    <t>Preço unitário (R$) sem taxas</t>
  </si>
  <si>
    <t>Total (R$) sem taxas</t>
  </si>
  <si>
    <t>Consumo</t>
  </si>
  <si>
    <t>12892</t>
  </si>
  <si>
    <t>LUVA RASPA DE COURO, CANO CURTO (PUNHO *7* CM)</t>
  </si>
  <si>
    <t>MAT</t>
  </si>
  <si>
    <t>12893</t>
  </si>
  <si>
    <t>BOTA DE SEGURANCA COM BIQUEIRA DE ACO E COLARINHO ACOLCHOADO</t>
  </si>
  <si>
    <t>1,53</t>
  </si>
  <si>
    <t>Total mão-de-obra, sem taxas (R$):</t>
  </si>
  <si>
    <t>0,00</t>
  </si>
  <si>
    <t>Total outros itens, sem taxas (R$):</t>
  </si>
  <si>
    <t>Total geral, sem taxas (R$):</t>
  </si>
  <si>
    <t>Valores Totais (R$)</t>
  </si>
  <si>
    <t xml:space="preserve">Sem taxas: </t>
  </si>
  <si>
    <t xml:space="preserve">LS: </t>
  </si>
  <si>
    <t xml:space="preserve">BDI: </t>
  </si>
  <si>
    <t xml:space="preserve">Com taxas: </t>
  </si>
  <si>
    <t>Quantidade: 1m2        LS(%): 72,37        BDI(%): 24,57</t>
  </si>
  <si>
    <t>m2</t>
  </si>
  <si>
    <t>1</t>
  </si>
  <si>
    <t>kg</t>
  </si>
  <si>
    <t>SERVENTE</t>
  </si>
  <si>
    <t>MOD</t>
  </si>
  <si>
    <t>h</t>
  </si>
  <si>
    <t>2</t>
  </si>
  <si>
    <t>Região de preços:   EMOP - Rio de Janeiro</t>
  </si>
  <si>
    <t>SER</t>
  </si>
  <si>
    <t>88316U</t>
  </si>
  <si>
    <t>SERVENTE COM ENCARGOS COMPLEMENTARES</t>
  </si>
  <si>
    <t>0,14</t>
  </si>
  <si>
    <t>m3</t>
  </si>
  <si>
    <t>Administração da Obra</t>
  </si>
  <si>
    <t>7.</t>
  </si>
  <si>
    <t>Região de preços:   EDIF - São Paulo</t>
  </si>
  <si>
    <t>0,25</t>
  </si>
  <si>
    <t>88309U</t>
  </si>
  <si>
    <t>PEDREIRO COM ENCARGOS COMPLEMENTARES</t>
  </si>
  <si>
    <t>Região de preços:   Cuiabá</t>
  </si>
  <si>
    <t>Quantidade: 1un        LS(%): 72,37        BDI(%): 24,57</t>
  </si>
  <si>
    <t>uni</t>
  </si>
  <si>
    <t>6,46</t>
  </si>
  <si>
    <t>2N 36 16 25 12 29</t>
  </si>
  <si>
    <t>2N 36 16 25 12 34</t>
  </si>
  <si>
    <t>4,80</t>
  </si>
  <si>
    <t>0,8</t>
  </si>
  <si>
    <t>0,08</t>
  </si>
  <si>
    <t>2,58</t>
  </si>
  <si>
    <t>0,01</t>
  </si>
  <si>
    <t>PEDREIRO</t>
  </si>
  <si>
    <t>5.2</t>
  </si>
  <si>
    <t>5.5</t>
  </si>
  <si>
    <t>4,30</t>
  </si>
  <si>
    <t>CARPINTEIRO DE FORMAS COM ENCARGOS COMPLEMENTARES</t>
  </si>
  <si>
    <t>PRÓPRIO</t>
  </si>
  <si>
    <t>SERVIÇOS PRELIMINARES</t>
  </si>
  <si>
    <t>Reforma do Escritório</t>
  </si>
  <si>
    <t>4813</t>
  </si>
  <si>
    <t>PREGO DE ACO POLIDO COM CABECA 18 X 30 (2 3/4 X 10)</t>
  </si>
  <si>
    <t>0,11</t>
  </si>
  <si>
    <t>88262U</t>
  </si>
  <si>
    <t>11,49</t>
  </si>
  <si>
    <t>SINAPI 74209</t>
  </si>
  <si>
    <t>Pedreiros</t>
  </si>
  <si>
    <t>Carpinteiros</t>
  </si>
  <si>
    <t>Eletricistas</t>
  </si>
  <si>
    <t>custo</t>
  </si>
  <si>
    <t>0,5</t>
  </si>
  <si>
    <t>12,91</t>
  </si>
  <si>
    <t>6,45</t>
  </si>
  <si>
    <t>5</t>
  </si>
  <si>
    <t>Transporte</t>
  </si>
  <si>
    <t>TRANSPORTE DA EQUIPE</t>
  </si>
  <si>
    <t>Alvarás entre outras - Ex.: CREA, INSS, Prefeitura Municipal, etc. fornecendo todos os comprovantes para o SESC</t>
  </si>
  <si>
    <t>PROPRIO</t>
  </si>
  <si>
    <t>Aluguel de Van com 14 lugares</t>
  </si>
  <si>
    <t>20039</t>
  </si>
  <si>
    <t>MAO-DE-OBRA DE BOMBEIRO HIDRAULICO DA CONSTRUCAO CIVIL, INCLUSIVE ENCARGOS SOCIAIS DESONERADOS</t>
  </si>
  <si>
    <t>16,35</t>
  </si>
  <si>
    <t>Combustivel</t>
  </si>
  <si>
    <t>28,73</t>
  </si>
  <si>
    <t>13,60</t>
  </si>
  <si>
    <t>Quantidade: 1m²        LS(%): 72,37        BDI(%): 24,57</t>
  </si>
  <si>
    <t>1,4</t>
  </si>
  <si>
    <t>5,19</t>
  </si>
  <si>
    <t>pt</t>
  </si>
  <si>
    <t>2,43</t>
  </si>
  <si>
    <t>79,76</t>
  </si>
  <si>
    <t>SINAPI  89957</t>
  </si>
  <si>
    <t>Código:   15.004.0010-A</t>
  </si>
  <si>
    <t>0,24</t>
  </si>
  <si>
    <t>1,17</t>
  </si>
  <si>
    <t>4,944</t>
  </si>
  <si>
    <t>20132</t>
  </si>
  <si>
    <t>MAO-DE-OBRA DE SERVENTE DA CONSTRUCAO CIVIL, INCLUSIVE ENCARGOS SOCIAIS DESONERADOS</t>
  </si>
  <si>
    <t>11,83</t>
  </si>
  <si>
    <t>Alça para barrilete de distribuição do tipo concentrado, sobalça para barrilete de distribuição do tipo concentrado, sobreservatorio duplo, inclusive ramais para extravasor e limpeza</t>
  </si>
  <si>
    <t>EMOP 15.004.0010-A</t>
  </si>
  <si>
    <t>Descrição:   Reservatório para água em fibra de vidro, 1.000 litros com tampa</t>
  </si>
  <si>
    <t>2C 03 08 04 13 11</t>
  </si>
  <si>
    <t>Adesivo para PVC</t>
  </si>
  <si>
    <t>0,05</t>
  </si>
  <si>
    <t>55,68</t>
  </si>
  <si>
    <t>2,78</t>
  </si>
  <si>
    <t>2C 03 08 06 15 06</t>
  </si>
  <si>
    <t>Massa para calafetação</t>
  </si>
  <si>
    <t>0,155</t>
  </si>
  <si>
    <t>26,06</t>
  </si>
  <si>
    <t>2C 03 10 02 11 06</t>
  </si>
  <si>
    <t>Solução limpadora para PVC</t>
  </si>
  <si>
    <t>l</t>
  </si>
  <si>
    <t>34,59</t>
  </si>
  <si>
    <t>2C 10 11 05 11 04</t>
  </si>
  <si>
    <t>Reservatório para água em fibra de vidro, 1.000 litros, com tampa</t>
  </si>
  <si>
    <t>327,00</t>
  </si>
  <si>
    <t>2C 10 12 04 00 10</t>
  </si>
  <si>
    <t>Registro PVC de esfera soldável Ø 25 mm</t>
  </si>
  <si>
    <t>18,08</t>
  </si>
  <si>
    <t>2C 10 12 04 00 11</t>
  </si>
  <si>
    <t>Registro PVC de esfera soldável Ø 32 mm</t>
  </si>
  <si>
    <t>25,12</t>
  </si>
  <si>
    <t>2C 10 12 04 00 13</t>
  </si>
  <si>
    <t>Registro PVC de esfera soldável Ø 50 mm</t>
  </si>
  <si>
    <t>40,89</t>
  </si>
  <si>
    <t>2C 10 18 00 50 46</t>
  </si>
  <si>
    <t>Fita de vedação para tubos e conexões roscáveis, rolo de 50 m x 18 mm</t>
  </si>
  <si>
    <t>0,35</t>
  </si>
  <si>
    <t>2C 10 20 00 00 12</t>
  </si>
  <si>
    <t>Adaptador PVC soldável com flanges e anel para caixa d' água Ø 25 mm x 3/4"</t>
  </si>
  <si>
    <t>11,76</t>
  </si>
  <si>
    <t>2C 10 20 00 00 13</t>
  </si>
  <si>
    <t>Adaptador PVC soldável com flanges e anel para caixa d' água Ø 32 mm x 1"</t>
  </si>
  <si>
    <t>21,00</t>
  </si>
  <si>
    <t>2C 10 20 00 00 15</t>
  </si>
  <si>
    <t>Adaptador PVC soldável com flanges e anel para caixa d' água Ø 50 mm x 1 1/2"</t>
  </si>
  <si>
    <t>28,45</t>
  </si>
  <si>
    <t>2C 10 22 03 00 68</t>
  </si>
  <si>
    <t>Joelho 90º PVC soldável Ø 25 mm</t>
  </si>
  <si>
    <t>0,54</t>
  </si>
  <si>
    <t>2C 10 22 03 00 69</t>
  </si>
  <si>
    <t>Joelho 90º PVC soldável Ø 32 mm</t>
  </si>
  <si>
    <t>2C 10 22 03 00 71</t>
  </si>
  <si>
    <t>Joelho 90º PVC soldável Ø 50 mm</t>
  </si>
  <si>
    <t>3,31</t>
  </si>
  <si>
    <t>2C 12 02 00 01 01</t>
  </si>
  <si>
    <t>Torneira de boia em PVC para caixa d'água Ø 3/4"</t>
  </si>
  <si>
    <t>48,48</t>
  </si>
  <si>
    <t>2C 12 14 00 60 73</t>
  </si>
  <si>
    <t>Tubo PVC soldável Ø 25 mm</t>
  </si>
  <si>
    <t>1,5</t>
  </si>
  <si>
    <t>3,26</t>
  </si>
  <si>
    <t>4,89</t>
  </si>
  <si>
    <t>2C 12 14 00 60 74</t>
  </si>
  <si>
    <t>Tubo PVC soldável Ø 32 mm</t>
  </si>
  <si>
    <t>8,49</t>
  </si>
  <si>
    <t>2C 12 14 00 60 76</t>
  </si>
  <si>
    <t>Tubo PVC soldável Ø 50 mm</t>
  </si>
  <si>
    <t>14,00</t>
  </si>
  <si>
    <t>2C 12 14 06 65 73</t>
  </si>
  <si>
    <t>Tê 90º PVC soldável Ø 32 mm</t>
  </si>
  <si>
    <t>3,25</t>
  </si>
  <si>
    <t>2C 12 14 06 65 75</t>
  </si>
  <si>
    <t>Tê 90º PVC soldável Ø 50 mm</t>
  </si>
  <si>
    <t>8,29</t>
  </si>
  <si>
    <t>11795</t>
  </si>
  <si>
    <t>37329</t>
  </si>
  <si>
    <t>REJUNTE EPOXI BRANCO</t>
  </si>
  <si>
    <t>0,0257</t>
  </si>
  <si>
    <t>37590</t>
  </si>
  <si>
    <t>SUPORTE MAO-FRANCESA EM ACO, ABAS IGUAIS 30 CM, CAPACIDADE MINIMA 60 KG, BRANCO</t>
  </si>
  <si>
    <t>4823</t>
  </si>
  <si>
    <t>MASSA PLASTICA PARA MARMORE/GRANITO</t>
  </si>
  <si>
    <t>0,3844</t>
  </si>
  <si>
    <t>7568</t>
  </si>
  <si>
    <t>BUCHA DE NYLON SEM ABA S10, COM PARAFUSO DE 6,10 X 65 MM EM ACO ZINCADO COM ROSCA SOBERBA, CABECA CHATA E FENDA PHILLIPS</t>
  </si>
  <si>
    <t>6</t>
  </si>
  <si>
    <t>0,43</t>
  </si>
  <si>
    <t>MARMORISTA/GRANITEIRO COM ENCARGOS COMPLEMENTARES</t>
  </si>
  <si>
    <t>1,92</t>
  </si>
  <si>
    <t>12,40</t>
  </si>
  <si>
    <t>0,98</t>
  </si>
  <si>
    <t>86879U</t>
  </si>
  <si>
    <t>VÁLVULA EM PLÁSTICO 1" PARA PIA, TANQUE OU LAVATÓRIO, COM OU SEM LADRÃO - FORNECIMENTO E INSTALAÇÃO. AF_12/2013</t>
  </si>
  <si>
    <t>5,35</t>
  </si>
  <si>
    <t>86883U</t>
  </si>
  <si>
    <t>SIFÃO DO TIPO FLEXÍVEL EM PVC 1? X 1.1/2? - FORNECIMENTO E INSTALAÇÃO. AF_12/2013</t>
  </si>
  <si>
    <t>10,25</t>
  </si>
  <si>
    <t>86884U</t>
  </si>
  <si>
    <t>ENGATE FLEXÍVEL EM PLÁSTICO BRANCO, 1/2" X 30CM - FORNECIMENTO E INSTALAÇÃO. AF_12/2013</t>
  </si>
  <si>
    <t>6,64</t>
  </si>
  <si>
    <t>86904U</t>
  </si>
  <si>
    <t>LAVATÓRIO LOUÇA BRANCA SUSPENSO, 29,5 X 39CM OU EQUIVALENTE, PADRÃO POPULAR - FORNECIMENTO E INSTALAÇÃO. AF_12/2013</t>
  </si>
  <si>
    <t>113,01</t>
  </si>
  <si>
    <t>TORNEIRA CROMADA DE MESA, 1/2" OU 3/4", PARA LAVATÓRIO, PADRÃO POPULAR - FORNECIMENTO E INSTALAÇÃO. AF_12/2013</t>
  </si>
  <si>
    <t>36,01</t>
  </si>
  <si>
    <t>9,92</t>
  </si>
  <si>
    <t>161,34</t>
  </si>
  <si>
    <t>171,26</t>
  </si>
  <si>
    <t>3146</t>
  </si>
  <si>
    <t>FITA VEDA ROSCA EM ROLOS DE 18 MM X 10 M (L X C)</t>
  </si>
  <si>
    <t>0,0304</t>
  </si>
  <si>
    <t>1,90</t>
  </si>
  <si>
    <t>0,06</t>
  </si>
  <si>
    <t>88267U</t>
  </si>
  <si>
    <t>ENCANADOR OU BOMBEIRO HIDRÁULICO COM ENCARGOS COMPLEMENTARES</t>
  </si>
  <si>
    <t>0,1</t>
  </si>
  <si>
    <t>14,12</t>
  </si>
  <si>
    <t>0,34</t>
  </si>
  <si>
    <t>1,11</t>
  </si>
  <si>
    <t>15,10</t>
  </si>
  <si>
    <t>SINAPI  86915</t>
  </si>
  <si>
    <t>0,07</t>
  </si>
  <si>
    <t>ELETRICISTA COM ENCARGOS COMPLEMENTARES</t>
  </si>
  <si>
    <t>0,45</t>
  </si>
  <si>
    <t>0,3</t>
  </si>
  <si>
    <t>Código:   3R 23 14 00 00 39 10 01 05</t>
  </si>
  <si>
    <t>Ponto de esgoto primário com tubo PVC e conexões Ø 100 mm</t>
  </si>
  <si>
    <t>TCPO  3R 23 14 00 00 39 10 01 05</t>
  </si>
  <si>
    <t>3</t>
  </si>
  <si>
    <t>15,63</t>
  </si>
  <si>
    <t>3,12</t>
  </si>
  <si>
    <t>Ponto de esgoto secundário com tubo PVC e conexões Ø 50 mm</t>
  </si>
  <si>
    <t>TCPO  3R 23 14 00 00 39 10 01 06</t>
  </si>
  <si>
    <t>11741</t>
  </si>
  <si>
    <t>RALO SIFONADO PVC CILINDRICO, 100 X 40 MM,  COM GRELHA REDONDA BRANCA</t>
  </si>
  <si>
    <t>5,05</t>
  </si>
  <si>
    <t>122</t>
  </si>
  <si>
    <t>ADESIVO PLASTICO PARA PVC, FRASCO COM 850 GR</t>
  </si>
  <si>
    <t>0,0049</t>
  </si>
  <si>
    <t>37,67</t>
  </si>
  <si>
    <t>0,18</t>
  </si>
  <si>
    <t>20083</t>
  </si>
  <si>
    <t>SOLUCAO LIMPADORA PARA PVC, FRASCO COM 1000 CM3</t>
  </si>
  <si>
    <t>0,0075</t>
  </si>
  <si>
    <t>32,71</t>
  </si>
  <si>
    <t>38383</t>
  </si>
  <si>
    <t>LIXA DAGUA EM FOLHA, GRAO 100</t>
  </si>
  <si>
    <t>0,017</t>
  </si>
  <si>
    <t>1,72</t>
  </si>
  <si>
    <t>88248U</t>
  </si>
  <si>
    <t>AUXILIAR DE ENCANADOR OU BOMBEIRO HIDRÁULICO COM ENCARGOS COMPLEMENTARES</t>
  </si>
  <si>
    <t>1,12</t>
  </si>
  <si>
    <t>6,21</t>
  </si>
  <si>
    <t>7,33</t>
  </si>
  <si>
    <t>2,00</t>
  </si>
  <si>
    <t>10,14</t>
  </si>
  <si>
    <t>0,6</t>
  </si>
  <si>
    <t>3,18</t>
  </si>
  <si>
    <t>790</t>
  </si>
  <si>
    <t>07.007.0010-B</t>
  </si>
  <si>
    <t>ARGAMASSA CIM.,SAIBRO,AREIA 1:2:2,PREPARO MECANICO</t>
  </si>
  <si>
    <t>255,14</t>
  </si>
  <si>
    <t>11.001.0001-B</t>
  </si>
  <si>
    <t>CONCRETO FCK 10MPA</t>
  </si>
  <si>
    <t>0,0336</t>
  </si>
  <si>
    <t>209,41</t>
  </si>
  <si>
    <t>11.001.0005-B</t>
  </si>
  <si>
    <t>CONCRETO FCK 15MPA</t>
  </si>
  <si>
    <t>0,0672</t>
  </si>
  <si>
    <t>225,07</t>
  </si>
  <si>
    <t>11.002.0013-B</t>
  </si>
  <si>
    <t>PREPARO CONCR. BETON. 320L; 2,0M3/H</t>
  </si>
  <si>
    <t>0,39</t>
  </si>
  <si>
    <t>58,50</t>
  </si>
  <si>
    <t>11.002.0035-B</t>
  </si>
  <si>
    <t>LANCAMENTO CONC.S/ARM.2,0M3/H, HORIZ.</t>
  </si>
  <si>
    <t>54,03</t>
  </si>
  <si>
    <t>11.013.0003-B</t>
  </si>
  <si>
    <t>VERGAS CONCR. ARMADO P/ ALVEN.</t>
  </si>
  <si>
    <t>0,02</t>
  </si>
  <si>
    <t>1297,42</t>
  </si>
  <si>
    <t>13.001.0025-B</t>
  </si>
  <si>
    <t>EMBOCO ARG. CIM. E AREIA TRACO 1:3</t>
  </si>
  <si>
    <t>2,88</t>
  </si>
  <si>
    <t>20,65</t>
  </si>
  <si>
    <t>20115</t>
  </si>
  <si>
    <t>MAO-DE-OBRA DE PEDREIRO, INCLUSIVE ENCARGOS SOCIAIS DESONERADOS</t>
  </si>
  <si>
    <t>8,5284</t>
  </si>
  <si>
    <t>355,79</t>
  </si>
  <si>
    <t>698,35</t>
  </si>
  <si>
    <t>1.054,14</t>
  </si>
  <si>
    <t>Descrição:   CAIXA DE GORDURA ESPECIAL EM ALVENARIA DE TIJOLOS MACICOS(7X10X20CM),EM PAREDES DE UMA VEZ(0,20M),MEDINDO 0,80X0,80X0,90M,INCLUSIVE REVESTIMENTO INTERNO EM ARGAMASSA DE CIMENTO E AREIA NO TRACO , CONSTRUÍDO CONFORME PROJETO</t>
  </si>
  <si>
    <t>Código:   401530</t>
  </si>
  <si>
    <t>Descrição:   CAIXA DE INSPECAO DE ESGOTO 80X80X120CM</t>
  </si>
  <si>
    <t>000040</t>
  </si>
  <si>
    <t>ESCAVACAO MANUAL EM VALA ATE 2M</t>
  </si>
  <si>
    <t>1,2</t>
  </si>
  <si>
    <t>000090</t>
  </si>
  <si>
    <t>APILOAMENTO MANUAL</t>
  </si>
  <si>
    <t>0,64</t>
  </si>
  <si>
    <t>000130</t>
  </si>
  <si>
    <t>CONCRETO CONSUMO 161KG CIMENTO/M3 1:4:8 BETONEIRA COM LANCAMENTO</t>
  </si>
  <si>
    <t>0,064</t>
  </si>
  <si>
    <t>000150</t>
  </si>
  <si>
    <t>REATERRO APILOADO DE VALA</t>
  </si>
  <si>
    <t>000270</t>
  </si>
  <si>
    <t>CONCRETO BETONEIRA 15MPa COM LANCAMENTO</t>
  </si>
  <si>
    <t>000510</t>
  </si>
  <si>
    <t>CHAPISCO 1:3 VERTICAL</t>
  </si>
  <si>
    <t>2,64</t>
  </si>
  <si>
    <t>000570</t>
  </si>
  <si>
    <t>EMBOCO 1:3 VERTICAL E=15MM COM IMPERMEABILIZANTE</t>
  </si>
  <si>
    <t>000700</t>
  </si>
  <si>
    <t>ALVENARIA DE TIJOLO DE BARRO E=10CM</t>
  </si>
  <si>
    <t>3,36</t>
  </si>
  <si>
    <t>001000</t>
  </si>
  <si>
    <t>FORMA DE TABUA FUNDACAO</t>
  </si>
  <si>
    <t>002381</t>
  </si>
  <si>
    <t>ACO CA 50 (MEDIA)</t>
  </si>
  <si>
    <t>1,28</t>
  </si>
  <si>
    <t>152030</t>
  </si>
  <si>
    <t>TUBO PVC 100MM JE - ESG</t>
  </si>
  <si>
    <t>152080</t>
  </si>
  <si>
    <t>COTOVELO 90o PVC 100MM JE - ESG</t>
  </si>
  <si>
    <t>UN</t>
  </si>
  <si>
    <t>ORSE</t>
  </si>
  <si>
    <t>H</t>
  </si>
  <si>
    <t>27,67</t>
  </si>
  <si>
    <t>AJUDANTE ESPECIALIZADO COM ENCARGOS COMPLEMENTARES</t>
  </si>
  <si>
    <t>24,93</t>
  </si>
  <si>
    <t>BUCHA DE NYLON S-06</t>
  </si>
  <si>
    <t>PARAFUSO AUTO-ATARRAXANTE EM AÇO INOX - 4,2 X 32MM</t>
  </si>
  <si>
    <t>0,33</t>
  </si>
  <si>
    <t>FORNECIMENTO E INSTALAÇÃO DE CABO DE COBRE Ø 35 MM² (MALHA DE CAPTAÇÃO)</t>
  </si>
  <si>
    <t>M</t>
  </si>
  <si>
    <t>CABO DE COBRE NU 35 MM2 MEIO-DURO</t>
  </si>
  <si>
    <t>CONECTOR SPLIT BOLT PARA CABO DE COBRE NU #35 MM2</t>
  </si>
  <si>
    <t>3,50</t>
  </si>
  <si>
    <t>FIXADOR TIPO ÔMEGA EM COBRE, L=15MM, C/FUROS D=5,5MM E TRAVA P/CABO DE 35MM², REF:TEL-833 OU SIMILAR (P/SPDA)</t>
  </si>
  <si>
    <t>1,23</t>
  </si>
  <si>
    <t xml:space="preserve">SINAPI  88264 </t>
  </si>
  <si>
    <t xml:space="preserve">SINAPI 88243 </t>
  </si>
  <si>
    <t>Código:   09-11-05</t>
  </si>
  <si>
    <t>Descrição:   PÁRA-RAIOS TIPO "FRANKLIN", EXCLUSIVE DESCIDA E ATERRAMENTO</t>
  </si>
  <si>
    <t>02041</t>
  </si>
  <si>
    <t>ELETRICISTA (SGSP)</t>
  </si>
  <si>
    <t>8,53</t>
  </si>
  <si>
    <t>02044</t>
  </si>
  <si>
    <t>AJUDANTE DE ELETRICISTA (SGSP)</t>
  </si>
  <si>
    <t>57210</t>
  </si>
  <si>
    <t>BASE E ESTAIS PARA MASTRO DE PÁRA-RAIOS</t>
  </si>
  <si>
    <t>112,47</t>
  </si>
  <si>
    <t>57220</t>
  </si>
  <si>
    <t>CAPTOR TIPO FRANKLIN PARA DUAS DESCIDAS</t>
  </si>
  <si>
    <t>47,48</t>
  </si>
  <si>
    <t>57630</t>
  </si>
  <si>
    <t>MASTRO DE AÇO GALVANIZADO - 2"X3,00M</t>
  </si>
  <si>
    <t>81,15</t>
  </si>
  <si>
    <t>74,90</t>
  </si>
  <si>
    <t>241,10</t>
  </si>
  <si>
    <t>316,00</t>
  </si>
  <si>
    <t>EXECUÇÃO DE PONTO DE  DESCIDA EM CABO DE COBRE NÚ Ø 35 MM² (SPDA)</t>
  </si>
  <si>
    <t>FORNECIMENTO DE MOLDE DE SOLDA EXOTÉRMICA TIPO "T" PARA CABO 35 MM²</t>
  </si>
  <si>
    <t>123,00</t>
  </si>
  <si>
    <t>ELETRODUTO DE PVC RIGIDO ROSCAVEL DE 1 ", SEM LUVA</t>
  </si>
  <si>
    <t>3,21</t>
  </si>
  <si>
    <t>CURVA 90 GRAUS, LONGA, DE PVC RIGIDO ROSCAVEL, DE 1", PARA ELETRODUTO</t>
  </si>
  <si>
    <t>2,62</t>
  </si>
  <si>
    <t>ABRACADEIRA EM ACO PARA AMARRACAO DE ELETRODUTOS, TIPO D, COM 1" E CUNHA DE FIXACAO</t>
  </si>
  <si>
    <t>1,02</t>
  </si>
  <si>
    <t>LUVA EM PVC RIGIDO ROSCAVEL, DE 1", PARA ELETRODUTO</t>
  </si>
  <si>
    <t>1,05</t>
  </si>
  <si>
    <t>CAIXA INSPECAO EM POLIETILENO PARA ATERRAMENTO E PARA RAIOS DIAMETRO = 300 MM</t>
  </si>
  <si>
    <t>10,46</t>
  </si>
  <si>
    <t>CONECTOR DE MEDIÇÃO EM BRONZE C/4 PARAFUSOS P/CABOS DE COBRE 16-70MM² REF.TEL-560 (PÁRA-RAIO)</t>
  </si>
  <si>
    <t>17,50</t>
  </si>
  <si>
    <t>CAIXA INSPEÇÃO EM POLIAMIDA 150X110X70MM, REF:TEL-541 OU SIMILAR (P/SPDA)</t>
  </si>
  <si>
    <t>78,33</t>
  </si>
  <si>
    <t>BUCHA DE NYLON SEM ABA S8, COM PARAFUSO DE 4,80 X 50 MM EM ACO ZINCADO COM ROSCA SOBERBA, CABECA CHATA E FENDA PHILLIPS</t>
  </si>
  <si>
    <t>0,41</t>
  </si>
  <si>
    <t>FORNECIMENTO E INSTALAÇÃO DE MALHA DE ATERRAMENTO EM CABO DE COBRE NÚ Ø 50 MM²</t>
  </si>
  <si>
    <t>M³</t>
  </si>
  <si>
    <t>REATERRO DE VALA COM COMPACTAÇÃO MANUAL</t>
  </si>
  <si>
    <t>70,26</t>
  </si>
  <si>
    <t>CABO DE COBRE NU 50 MM2 MEIO-DURO</t>
  </si>
  <si>
    <t>21,04</t>
  </si>
  <si>
    <t xml:space="preserve">SINAPI  73964/006 </t>
  </si>
  <si>
    <t xml:space="preserve">SINAPI  88243 </t>
  </si>
  <si>
    <t xml:space="preserve">SINAPI 0867 </t>
  </si>
  <si>
    <t>ESCAVACAO MANUAL CAMPO ABERTO EM SOLO EXCETO ROCHA ATE 2,00M PROFUNDIDADE</t>
  </si>
  <si>
    <t>SINAPI  93358</t>
  </si>
  <si>
    <t>SUBTOTAL</t>
  </si>
  <si>
    <t>ENC. SOCIAIS</t>
  </si>
  <si>
    <t>BDI</t>
  </si>
  <si>
    <t>TOTAL</t>
  </si>
  <si>
    <t>FIXAÇÃO E SOLDAGEM DE HASTE EM AÇO COBREADA Ø 5/8" X 2,40 M, INCLUSIVE FORNECIMENTO</t>
  </si>
  <si>
    <t>FORNECIMENTO DE MOLDE DE SOLDA EXOTÉRMICA TIPO "X" PARA CABO 50 MM²</t>
  </si>
  <si>
    <t>140,00</t>
  </si>
  <si>
    <t>FORNECIMENTO DE CARTUCHO PARA SOLDA EXOTÉRMICA PARA CABO 50 MM²</t>
  </si>
  <si>
    <t>11,00</t>
  </si>
  <si>
    <t>HASTE ALTA CAMADA TEL5814 254 MICRONS 5/8"X240CM OU EQUIVALENTE</t>
  </si>
  <si>
    <t>50,76</t>
  </si>
  <si>
    <t xml:space="preserve">ORSE  9902 </t>
  </si>
  <si>
    <t xml:space="preserve">ORSE  11131 </t>
  </si>
  <si>
    <t>SINAPI  88264</t>
  </si>
  <si>
    <t>SUDECAP  74.51.17</t>
  </si>
  <si>
    <t>ORSE 9901</t>
  </si>
  <si>
    <t xml:space="preserve">SINAPI 0863 </t>
  </si>
  <si>
    <t>SINAPI 02685</t>
  </si>
  <si>
    <t xml:space="preserve">SINAPI 01884 </t>
  </si>
  <si>
    <t xml:space="preserve">SINAPI 039129 </t>
  </si>
  <si>
    <t xml:space="preserve">SINAPI 01892 </t>
  </si>
  <si>
    <t xml:space="preserve">SINAPI 034643 </t>
  </si>
  <si>
    <t xml:space="preserve">ORSE  9329 </t>
  </si>
  <si>
    <t xml:space="preserve">ORSE 11513 </t>
  </si>
  <si>
    <t xml:space="preserve">SINAPI 07583 </t>
  </si>
  <si>
    <t xml:space="preserve">ORSE  3250 </t>
  </si>
  <si>
    <t xml:space="preserve">ORSE  9707 </t>
  </si>
  <si>
    <t>0,4</t>
  </si>
  <si>
    <t>0,2</t>
  </si>
  <si>
    <t>0,48</t>
  </si>
  <si>
    <t>Código:   3R 05 12 00 00 00 00 05 35</t>
  </si>
  <si>
    <t>Descrição:   Alvenaria de vedação com blocos cerâmicos canaleta, 9 x 19 x 39 cm, espessura da parede 9 cm, juntas de 10 mm com argamassa mista de cimento, cal e areia traço 1:2:8</t>
  </si>
  <si>
    <t>2C 03 02 02 11 05</t>
  </si>
  <si>
    <t>Areia média lavada</t>
  </si>
  <si>
    <t>2C 03 03 02 11 06</t>
  </si>
  <si>
    <t>Cimento CP-32</t>
  </si>
  <si>
    <t>2C 03 03 02 13 04</t>
  </si>
  <si>
    <t>Cal hidratada CH III</t>
  </si>
  <si>
    <t>2C 03 07 00 00 06</t>
  </si>
  <si>
    <t>Bloco cerâmico furado para alvenaria tipo canaleta 9 x 19 x 39 cm</t>
  </si>
  <si>
    <t>Código:   87905U</t>
  </si>
  <si>
    <t>Descrição:   CHAPISCO APLICADO EM ALVENARIA (COM PRESENÇA DE VÃOS) E ESTRUTURAS DE CONCRETO DE FACHADA, COM COLHER DE PEDREIRO.  ARGAMASSA TRAÇO 1:3 COM PREPARO EM BETONEIRA 400L. AF_06/2014</t>
  </si>
  <si>
    <t>87313U</t>
  </si>
  <si>
    <t>ARGAMASSA TRAÇO 1:3 (CIMENTO E AREIA GROSSA) PARA CHAPISCO CONVENCIONAL, PREPARO MECÂNICO COM BETONEIRA 400 L. AF_06/2014</t>
  </si>
  <si>
    <t>0,0042</t>
  </si>
  <si>
    <t>276,63</t>
  </si>
  <si>
    <t>1,16</t>
  </si>
  <si>
    <t>0,183</t>
  </si>
  <si>
    <t>2,36</t>
  </si>
  <si>
    <t>0,091</t>
  </si>
  <si>
    <t>2,19</t>
  </si>
  <si>
    <t>2,38</t>
  </si>
  <si>
    <t>4,57</t>
  </si>
  <si>
    <t>1,59</t>
  </si>
  <si>
    <t>1,51</t>
  </si>
  <si>
    <t>7,67</t>
  </si>
  <si>
    <t>Região de preços:   SEINFRA - Fortaleza</t>
  </si>
  <si>
    <t>I2391</t>
  </si>
  <si>
    <t>6,49</t>
  </si>
  <si>
    <t>I2543</t>
  </si>
  <si>
    <t>4,42</t>
  </si>
  <si>
    <t>3,01</t>
  </si>
  <si>
    <t>Código:   C2126</t>
  </si>
  <si>
    <t>Descrição:   REBOCO C/ARGAMASSA PRÉ-FABRICADA ESP=5 mm P/ PAREDE</t>
  </si>
  <si>
    <t>I0117</t>
  </si>
  <si>
    <t>ARGAMASSA PRE-FABRICADA PARA REBOCO</t>
  </si>
  <si>
    <t>7</t>
  </si>
  <si>
    <t>I0682</t>
  </si>
  <si>
    <t>BETONEIRA ELÉTRICA 580L (CHP)</t>
  </si>
  <si>
    <t>EQL</t>
  </si>
  <si>
    <t>0,0036</t>
  </si>
  <si>
    <t>14,40</t>
  </si>
  <si>
    <t>0,53</t>
  </si>
  <si>
    <t>2,34</t>
  </si>
  <si>
    <t>5,59</t>
  </si>
  <si>
    <t>3,06</t>
  </si>
  <si>
    <t>8,65</t>
  </si>
  <si>
    <t>4,05</t>
  </si>
  <si>
    <t>15,81</t>
  </si>
  <si>
    <t>Código:   12-01-43</t>
  </si>
  <si>
    <t>Descrição:   FORRO DE GESSO ACARTONADO TIPO FGE (FORNECIMENTO E INSTALAÇÃO)</t>
  </si>
  <si>
    <t>33532</t>
  </si>
  <si>
    <t>FORRO GYPSUM ESTRUTURADO TIPO FGE - ESP. 12,5MM FORNECIMENTO E INSTALAÇÃO</t>
  </si>
  <si>
    <t>62,47</t>
  </si>
  <si>
    <t>15,35</t>
  </si>
  <si>
    <t>77,82</t>
  </si>
  <si>
    <t>Código:   3R 09 52 14 00 00 00 10 71</t>
  </si>
  <si>
    <t>Descrição:   Janela de alumínio sob encomenda, colocação e acabamento, basculante, com contramarcos</t>
  </si>
  <si>
    <t>9,69</t>
  </si>
  <si>
    <t>131,43</t>
  </si>
  <si>
    <t>1,94</t>
  </si>
  <si>
    <t>0,93</t>
  </si>
  <si>
    <t>2C 05 03 03 11 03</t>
  </si>
  <si>
    <t>Janela basculante de alumínio com acabamento natural, sem vidros</t>
  </si>
  <si>
    <t>1024,58</t>
  </si>
  <si>
    <t>14,49</t>
  </si>
  <si>
    <t>1.026,15</t>
  </si>
  <si>
    <t>1.040,64</t>
  </si>
  <si>
    <t>10,49</t>
  </si>
  <si>
    <t>258,26</t>
  </si>
  <si>
    <t>1.309,39</t>
  </si>
  <si>
    <t>Código:   3R 09 52 14 00 00 00 10 74</t>
  </si>
  <si>
    <t>Descrição:   Janela de alumínio sob encomenda, colocação e acabamento, de correr, com contramarcos</t>
  </si>
  <si>
    <t>2C 05 03 03 13 03</t>
  </si>
  <si>
    <t>Janela de correr de alumínio com acabamento natural, 2 folhas, sem vidros</t>
  </si>
  <si>
    <t>789,99</t>
  </si>
  <si>
    <t>791,56</t>
  </si>
  <si>
    <t>806,05</t>
  </si>
  <si>
    <t>200,62</t>
  </si>
  <si>
    <t>1.017,16</t>
  </si>
  <si>
    <t>Descrição:   PORTA DE ALUMÍNIO DE ABRIR COM LAMBRI, COMM GUARNIÇÃO, FIXAÇÃO COM PARAFUSOS - FORNECIMENTO E INSTALAÇÃO. AF_08/2015</t>
  </si>
  <si>
    <t>142</t>
  </si>
  <si>
    <t>SELANTE ELASTICO MONOCOMPONENTE A BASE DE POLIURETANO PARA JUNTAS DIVERSAS</t>
  </si>
  <si>
    <t>310ml</t>
  </si>
  <si>
    <t>0,8829</t>
  </si>
  <si>
    <t>30,64</t>
  </si>
  <si>
    <t>27,05</t>
  </si>
  <si>
    <t>40555</t>
  </si>
  <si>
    <t>GUARNICAO/MOLDURA DE ACABAMENTO PARA ESQUADRIA DE ALUMINIO ANODIZADO NATURAL, PARA 1 FACE (COLETADO CAIXA)</t>
  </si>
  <si>
    <t>6,8504</t>
  </si>
  <si>
    <t>24,23</t>
  </si>
  <si>
    <t>165,99</t>
  </si>
  <si>
    <t>4914</t>
  </si>
  <si>
    <t>PORTA DE ABRIR EM ALUMINIO COM LAMBRI HORIZONTAL/LAMINADA, ACABAMENTO ANODIZADO NATURAL, SEM GUARNICAO/ALIZAR/VISTA</t>
  </si>
  <si>
    <t>791,94</t>
  </si>
  <si>
    <t>4,8166</t>
  </si>
  <si>
    <t>2,07</t>
  </si>
  <si>
    <t>0,3563</t>
  </si>
  <si>
    <t>14,08</t>
  </si>
  <si>
    <t>5,02</t>
  </si>
  <si>
    <t>0,1779</t>
  </si>
  <si>
    <t>12,66</t>
  </si>
  <si>
    <t>2,25</t>
  </si>
  <si>
    <t>4,00</t>
  </si>
  <si>
    <t>990,32</t>
  </si>
  <si>
    <t>994,32</t>
  </si>
  <si>
    <t>2,90</t>
  </si>
  <si>
    <t>245,02</t>
  </si>
  <si>
    <t>1.242,23</t>
  </si>
  <si>
    <t>Código:   91338U</t>
  </si>
  <si>
    <t xml:space="preserve">SINAPI 90843 </t>
  </si>
  <si>
    <t>Código:   90848U</t>
  </si>
  <si>
    <t>Descrição:   KIT DE PORTA DE MADEIRA PARA PINTURA, SEMI-OCA (LEVE OU MÉDIA), PADRÃO MÉDIO, 70X210CM, ESPESSURA DE 3,5CM, ITENS INCLUSOS: DOBRADIÇAS, MONTAGEM E INSTALAÇÃO DO BATENTE, SEM FECHADURA - FORNECIMENTO E INSTALAÇÃO. AF_08/2015</t>
  </si>
  <si>
    <t>90801U</t>
  </si>
  <si>
    <t>ADUELA / MARCO / BATENTE PARA PORTA DE 70X210CM, PADRÃO MÉDIO - FORNECIMENTO E MONTAGEM. AF_08/2015</t>
  </si>
  <si>
    <t>153,47</t>
  </si>
  <si>
    <t>90807U</t>
  </si>
  <si>
    <t>ADUELA / MARCO / BATENTE PARA PORTA DE 70X210CM, FIXAÇÃO COM ARGAMASSA - SOMENTE INSTALAÇÃO. AF_08/2015_P</t>
  </si>
  <si>
    <t>49,08</t>
  </si>
  <si>
    <t>90821U</t>
  </si>
  <si>
    <t>PORTA DE MADEIRA PARA PINTURA, SEMI-OCA (LEVE OU MÉDIA), 70X210CM, ESPESSURA DE 3,5CM, INCLUSO DOBRADIÇAS - FORNECIMENTO E INSTALAÇÃO. AF_08/2015</t>
  </si>
  <si>
    <t>314,32</t>
  </si>
  <si>
    <t>90827U</t>
  </si>
  <si>
    <t>ALIZAR / GUARNIÇÃO DE 5X1,5CM PARA PORTA DE 70X210CM FIXADO COM PREGOS, PADRÃO MÉDIO - FORNECIMENTO E INSTALAÇÃO. AF_08/2015</t>
  </si>
  <si>
    <t>23,90</t>
  </si>
  <si>
    <t>47,80</t>
  </si>
  <si>
    <t>75,71</t>
  </si>
  <si>
    <t>488,96</t>
  </si>
  <si>
    <t>564,67</t>
  </si>
  <si>
    <t>54,79</t>
  </si>
  <si>
    <t>152,20</t>
  </si>
  <si>
    <t>771,66</t>
  </si>
  <si>
    <t>13,91</t>
  </si>
  <si>
    <t>8,50</t>
  </si>
  <si>
    <t>Código:   87263U</t>
  </si>
  <si>
    <t>Descrição:   REVESTIMENTO CERÂMICO PARA PISO COM PLACAS TIPO PORCELANATO DE DIMENSÕES 60X60 CM APLICADA EM AMBIENTES DE ÁREA MAIOR QUE 10 M². AF_06/2014</t>
  </si>
  <si>
    <t>34357</t>
  </si>
  <si>
    <t>REJUNTE COLORIDO, CIMENTICIO</t>
  </si>
  <si>
    <t>3,04</t>
  </si>
  <si>
    <t>37595</t>
  </si>
  <si>
    <t>ARGAMASSA COLANTE TIPO ACIII</t>
  </si>
  <si>
    <t>8,62</t>
  </si>
  <si>
    <t>1,44</t>
  </si>
  <si>
    <t>12,41</t>
  </si>
  <si>
    <t>38195</t>
  </si>
  <si>
    <t>PISO PORCELANATO, BORDA RETA, EXTRA, FORMATO MAIOR QUE 2025 CM2</t>
  </si>
  <si>
    <t>1,07</t>
  </si>
  <si>
    <t>70,27</t>
  </si>
  <si>
    <t>75,19</t>
  </si>
  <si>
    <t>88256U</t>
  </si>
  <si>
    <t>AZULEJISTA OU LADRILHISTA COM ENCARGOS COMPLEMENTARES</t>
  </si>
  <si>
    <t>0,44</t>
  </si>
  <si>
    <t>13,31</t>
  </si>
  <si>
    <t>5,86</t>
  </si>
  <si>
    <t>2,53</t>
  </si>
  <si>
    <t>4,47</t>
  </si>
  <si>
    <t>91,95</t>
  </si>
  <si>
    <t>96,42</t>
  </si>
  <si>
    <t>3,24</t>
  </si>
  <si>
    <t>24,49</t>
  </si>
  <si>
    <t>124,14</t>
  </si>
  <si>
    <t>21108</t>
  </si>
  <si>
    <t>PISO EM PORCELANATO RETIFICADO EXTRA, FORMATO MENOR OU IGUAL A 2025 CM2</t>
  </si>
  <si>
    <t>59,50</t>
  </si>
  <si>
    <t>0,73</t>
  </si>
  <si>
    <t>Código:   87260U</t>
  </si>
  <si>
    <t>Descrição:   REVESTIMENTO CERÂMICO PARA PISO COM PLACAS TIPO PORCELANATO DE DIMENSÕES 45X45 CM APLICADA EM AMBIENTES DE ÁREA MAIOR QUE 10 M². AF_06/2014</t>
  </si>
  <si>
    <t>1,06</t>
  </si>
  <si>
    <t>63,07</t>
  </si>
  <si>
    <t>0,19</t>
  </si>
  <si>
    <t>2,41</t>
  </si>
  <si>
    <t>83,81</t>
  </si>
  <si>
    <t>2,93</t>
  </si>
  <si>
    <t>21,31</t>
  </si>
  <si>
    <t>108,05</t>
  </si>
  <si>
    <t>Código:   87559U</t>
  </si>
  <si>
    <t>Descrição:   EMBOÇO, PARA RECEBIMENTO DE CERÂMICA, EM ARGAMASSA INDUSTRIALIZADA, PREPARO MECÂNICO, APLICADO COM EQUIPAMENTO DE MISTURA E PROJEÇÃO DE 1,5 M3/H DE ARGAMASSA EM FACES INTERNAS DE PAREDES, PARA AMBIENTE COM ÁREA MAIOR QUE 10M2, ESPESSURA DE 10MM, COM EXECUÇÃO DE TALISCAS. AF_06/2014</t>
  </si>
  <si>
    <t>87407U</t>
  </si>
  <si>
    <t>ARGAMASSA INDUSTRIALIZADA PARA REVESTIMENTOS, MISTURA E PROJEÇÃO DE 1,5 M³/H DE ARGAMASSA. AF_06/2014</t>
  </si>
  <si>
    <t>0,0213</t>
  </si>
  <si>
    <t>874,42</t>
  </si>
  <si>
    <t>18,63</t>
  </si>
  <si>
    <t>0,16</t>
  </si>
  <si>
    <t>2,12</t>
  </si>
  <si>
    <t>19,01</t>
  </si>
  <si>
    <t>21,13</t>
  </si>
  <si>
    <t>5,57</t>
  </si>
  <si>
    <t>28,23</t>
  </si>
  <si>
    <t>Código:   C4443</t>
  </si>
  <si>
    <t>Descrição:   CERÂMICA ESMALTADA C/ ARG. PRÉ-FABRICADA ATÉ 30x30cm (900cm²) - PEI-5/PEI-4 - P/ PAREDE</t>
  </si>
  <si>
    <t>I1328</t>
  </si>
  <si>
    <t>LADRILHISTA</t>
  </si>
  <si>
    <t>0,72</t>
  </si>
  <si>
    <t>4,67</t>
  </si>
  <si>
    <t>I6498</t>
  </si>
  <si>
    <t>CERÂMICA ESMALTADA DIMENSÕES ATÉ 30x30cm (900 cm²) - PEI-5/PEI-4</t>
  </si>
  <si>
    <t>1,1</t>
  </si>
  <si>
    <t>22,00</t>
  </si>
  <si>
    <t>24,20</t>
  </si>
  <si>
    <t>I6508</t>
  </si>
  <si>
    <t>ARGAMASSA COLANTE PRÉ-FABRICADA P/ CERÂMICAS E PORCELANATOS</t>
  </si>
  <si>
    <t>1,78</t>
  </si>
  <si>
    <t>10,68</t>
  </si>
  <si>
    <t>7,85</t>
  </si>
  <si>
    <t>34,88</t>
  </si>
  <si>
    <t>42,73</t>
  </si>
  <si>
    <t>5,68</t>
  </si>
  <si>
    <t>11,89</t>
  </si>
  <si>
    <t>60,31</t>
  </si>
  <si>
    <t>Descrição:   BANCADA EM GRANITO P/ LAVATÓRIO, INCL. LOUÇA BRANCA E ACESSÓRIOS</t>
  </si>
  <si>
    <t>Quantidade: 1cj        LS(%): 72,37        BDI(%): 24,57</t>
  </si>
  <si>
    <t>C0170</t>
  </si>
  <si>
    <t>ARGAMASSA DE CIMENTO E AREIA S/PEN. TRAÇO 1:3</t>
  </si>
  <si>
    <t>0,0023</t>
  </si>
  <si>
    <t>343,14</t>
  </si>
  <si>
    <t>I0184</t>
  </si>
  <si>
    <t>1,32</t>
  </si>
  <si>
    <t>I0916</t>
  </si>
  <si>
    <t>CUBA DE LOUÇA BRANCA DE EMBUTIR</t>
  </si>
  <si>
    <t>56,93</t>
  </si>
  <si>
    <t>I1513</t>
  </si>
  <si>
    <t>MASSA CORRIDA A BASE DE PVA</t>
  </si>
  <si>
    <t>5,26</t>
  </si>
  <si>
    <t>I1861</t>
  </si>
  <si>
    <t>SIFÃO CROMADO 1 1/4"X1 1/2"</t>
  </si>
  <si>
    <t>53,00</t>
  </si>
  <si>
    <t>I2271</t>
  </si>
  <si>
    <t>VÁLVULA DE METAL 1 1/4"</t>
  </si>
  <si>
    <t>I2320</t>
  </si>
  <si>
    <t>ENCANADOR</t>
  </si>
  <si>
    <t>2,9</t>
  </si>
  <si>
    <t>Código:   C3996 PR</t>
  </si>
  <si>
    <t>Região de preços:   PRÓPRIO</t>
  </si>
  <si>
    <t>BANCADA DE GRANITO BRANCO ITAÚNAS</t>
  </si>
  <si>
    <t>Cotação</t>
  </si>
  <si>
    <t>I0043</t>
  </si>
  <si>
    <t>AJUDANTE DE ENCANADOR</t>
  </si>
  <si>
    <t>0,65</t>
  </si>
  <si>
    <t>4,77</t>
  </si>
  <si>
    <t>I1180</t>
  </si>
  <si>
    <t>FITA DE VEDAÇÃO</t>
  </si>
  <si>
    <t>0,28</t>
  </si>
  <si>
    <t>0,38</t>
  </si>
  <si>
    <t>Descrição:   TORNEIRA DE PRESSÃO CROMADA PARA LAVATÓRIO MODELO 1173 C</t>
  </si>
  <si>
    <t>Código:   C2504 PR</t>
  </si>
  <si>
    <t>TORNEIRA DE PRESSÃO CROMADA PARA LAVATÓRIO MODELO 1173 C</t>
  </si>
  <si>
    <t>Descrição:   BANCADA EM GRANITO P/ PIA DE COZINHA, INCL. CUBA DE AÇO INOX E ACESSÓRIOS</t>
  </si>
  <si>
    <t>I0915</t>
  </si>
  <si>
    <t>CUBA DE AÇO INOX</t>
  </si>
  <si>
    <t>141,00</t>
  </si>
  <si>
    <t>BANCADA DE GRANITO PRETO CONFORME PROJETO</t>
  </si>
  <si>
    <t>Código:   C3997 PR</t>
  </si>
  <si>
    <t>Região de preços:  PRÓPRIO</t>
  </si>
  <si>
    <t>Descrição:   TORNEIRA CROMADA TUBO MÓVEL, DE MESA, 1/2" OU 3/4", PARA PIA DE COZINHA, PADRÃO ALTO - FORNECIMENTO E INSTALAÇÃO. AF_12/2013</t>
  </si>
  <si>
    <t>11772</t>
  </si>
  <si>
    <t>TORNEIRA CROMADA DE MESA PARA COZINHA BICA MOVEL COM AREJADOR 1/2 " OU 3/4 " (REF 1167)</t>
  </si>
  <si>
    <t>69,26</t>
  </si>
  <si>
    <t>0,17</t>
  </si>
  <si>
    <t>15,29</t>
  </si>
  <si>
    <t>2,60</t>
  </si>
  <si>
    <t>0,63</t>
  </si>
  <si>
    <t>1,89</t>
  </si>
  <si>
    <t>70,66</t>
  </si>
  <si>
    <t>72,55</t>
  </si>
  <si>
    <t>1,37</t>
  </si>
  <si>
    <t>18,16</t>
  </si>
  <si>
    <t>92,08</t>
  </si>
  <si>
    <t>Código:   86909U</t>
  </si>
  <si>
    <t>Código:   C0357</t>
  </si>
  <si>
    <t>Descrição:   BANCADA DE GRANITO (OUTRAS CORES) E= 3cm (COLOCADO)</t>
  </si>
  <si>
    <t>I0108</t>
  </si>
  <si>
    <t>AREIA GROSSA</t>
  </si>
  <si>
    <t>0,008</t>
  </si>
  <si>
    <t>46,00</t>
  </si>
  <si>
    <t>I0805</t>
  </si>
  <si>
    <t>CIMENTO PORTLAND</t>
  </si>
  <si>
    <t>3,2</t>
  </si>
  <si>
    <t>0,50</t>
  </si>
  <si>
    <t>BANCADA DE GRANITO OUTRAS CORES, E=3cm</t>
  </si>
  <si>
    <t>cotação</t>
  </si>
  <si>
    <t>Código:   13.030.0290-A</t>
  </si>
  <si>
    <t>Descrição:   REVESTIMENTO DE PAREDES COM CERAMICA 25X40CM E 8,5MM DE ESPEREVESTIMENTO DE PAREDES COM CERAMICA 25X40CM E 8,5MM DE ESPESSURA,ASSENTE CONFORME ITEM 13.025.0016</t>
  </si>
  <si>
    <t>00150</t>
  </si>
  <si>
    <t>CIMENTO BRANCO</t>
  </si>
  <si>
    <t>1,85</t>
  </si>
  <si>
    <t>05350</t>
  </si>
  <si>
    <t>OXIDO DE FERRO</t>
  </si>
  <si>
    <t>27,27</t>
  </si>
  <si>
    <t>2,73</t>
  </si>
  <si>
    <t>07.001.0010-B</t>
  </si>
  <si>
    <t>PASTA DE CIMENTO COMUM</t>
  </si>
  <si>
    <t>0,003</t>
  </si>
  <si>
    <t>592,91</t>
  </si>
  <si>
    <t>11204</t>
  </si>
  <si>
    <t>LADRILHO CERAMICO 25X40CM, E 8,5MM DE ESPESSURA</t>
  </si>
  <si>
    <t>11,85</t>
  </si>
  <si>
    <t>13,04</t>
  </si>
  <si>
    <t>13.001.0010-B</t>
  </si>
  <si>
    <t>CHAPISCO SUPERF. CONCR./ALVEN.,COM ARGAMASSA DE CIMENTO E AREIA NO TRACO 1:3</t>
  </si>
  <si>
    <t>13.002.0011-B</t>
  </si>
  <si>
    <t>REVESTIMENTO EXT. ARG. 1:3:3 ESP. 2,5CM</t>
  </si>
  <si>
    <t>23,09</t>
  </si>
  <si>
    <t>20087</t>
  </si>
  <si>
    <t>MAO-DE-OBRA DE LADRILHEIRO, INCLUSIVE ENCARGOS SOCIAIS DESONERADOS</t>
  </si>
  <si>
    <t>1,03</t>
  </si>
  <si>
    <t>17,59</t>
  </si>
  <si>
    <t>18,12</t>
  </si>
  <si>
    <t>12,18</t>
  </si>
  <si>
    <t>50,14</t>
  </si>
  <si>
    <t>25,29</t>
  </si>
  <si>
    <t>75,43</t>
  </si>
  <si>
    <t>36,29</t>
  </si>
  <si>
    <t>27,45</t>
  </si>
  <si>
    <t>139,16</t>
  </si>
  <si>
    <t>Descrição:   PORTA TOALHA BANHO EM METAL CROMADO, TIPO BARRA, INCLUSO FIXAÇÃO. AF_10/2016</t>
  </si>
  <si>
    <t>PORTA TOALHA BANHO EM METAL CROMADO, TIPO BARRA</t>
  </si>
  <si>
    <t>95541U</t>
  </si>
  <si>
    <t>FIXAÇÃO UTILIZANDO PARAFUSO E BUCHA DE NYLON, SOMENTE MÃO DE OBRA. AF_10/2016</t>
  </si>
  <si>
    <t>2,77</t>
  </si>
  <si>
    <t>Código:   95543 PR</t>
  </si>
  <si>
    <t>COTAÇÃO</t>
  </si>
  <si>
    <t xml:space="preserve">Descrição:   PORTA TOALHA PAPEL HIGIÊNICO EM METAL CROMADO, INCLUSO FIXAÇÃO. </t>
  </si>
  <si>
    <t>Código:   86905U</t>
  </si>
  <si>
    <t>Descrição:   APARELHO MISTURADOR DE MESA PARA LAVATÓRIO, PADRÃO MÉDIO - FORNECIMENTO E INSTALAÇÃO. AF_12/2013</t>
  </si>
  <si>
    <t>11769</t>
  </si>
  <si>
    <t>MISTURADOR CROMADO DE MESA BICA BAIXA PARA LAVATORIO (REF 1875)</t>
  </si>
  <si>
    <t>146,31</t>
  </si>
  <si>
    <t>0,0608</t>
  </si>
  <si>
    <t>0,12</t>
  </si>
  <si>
    <t>0,46</t>
  </si>
  <si>
    <t>7,03</t>
  </si>
  <si>
    <t>0,15</t>
  </si>
  <si>
    <t>5,20</t>
  </si>
  <si>
    <t>150,16</t>
  </si>
  <si>
    <t>155,36</t>
  </si>
  <si>
    <t>3,76</t>
  </si>
  <si>
    <t>39,10</t>
  </si>
  <si>
    <t>198,22</t>
  </si>
  <si>
    <t>Descrição:   CHUVEIRO CROMADO C/ ARTICULAÇÃO</t>
  </si>
  <si>
    <t>I6167</t>
  </si>
  <si>
    <t>CHUVEIRO COM ARTICULAÇÃO CROMADO 1/2"</t>
  </si>
  <si>
    <t>Código:   C3513 PR</t>
  </si>
  <si>
    <t>SINAPI  85005</t>
  </si>
  <si>
    <t>COBERTURA</t>
  </si>
  <si>
    <t>Código:   92568U</t>
  </si>
  <si>
    <t>Descrição:   TRAMA DE AÇO COMPOSTA POR RIPAS, CAIBROS E TERÇAS PARA TELHADOS DE ATÉ 2 ÁGUAS PARA TELHA DE ENCAIXE DE CERÂMICA OU DE CONCRETO, INCLUSO TRANSPORTE VERTICAL. AF_12/2015</t>
  </si>
  <si>
    <t>1330</t>
  </si>
  <si>
    <t>CHAPA DE ACO GROSSA, ASTM A36, E = 1/4 " (6,35 MM) 49,79 KG/M2</t>
  </si>
  <si>
    <t>4,78</t>
  </si>
  <si>
    <t>2,15</t>
  </si>
  <si>
    <t>40424</t>
  </si>
  <si>
    <t>CHAPA DE ACO CARBONO LAMINADO A QUENTE, QUALIDADE ESTRUTURAL, BITOLA 3/16", E =4,75 MM (37,29 KG/M2)</t>
  </si>
  <si>
    <t>4,12</t>
  </si>
  <si>
    <t>0,82</t>
  </si>
  <si>
    <t>40535</t>
  </si>
  <si>
    <t>PERFIL "U" SIMPLES DE ACO GALVANIZADO DOBRADO 75 X *40* MM, E = 2,65 MM</t>
  </si>
  <si>
    <t>2,182</t>
  </si>
  <si>
    <t>4,10</t>
  </si>
  <si>
    <t>8,95</t>
  </si>
  <si>
    <t>40537</t>
  </si>
  <si>
    <t>PERFIL "U" ENRIJECIDO DE  ACO GALVANIZADO, DOBRADO, 200 X 75 X 25 MM, E = 3,75 MM</t>
  </si>
  <si>
    <t>4,631</t>
  </si>
  <si>
    <t>18,99</t>
  </si>
  <si>
    <t>40547</t>
  </si>
  <si>
    <t>PARAFUSO ZINCADO, AUTOBROCANTE, FLANGEADO, 4,2 X 19"</t>
  </si>
  <si>
    <t>cento</t>
  </si>
  <si>
    <t>16,41</t>
  </si>
  <si>
    <t>40549</t>
  </si>
  <si>
    <t>PARAFUSO, COMUM, ASTM A307, SEXTAVADO, DIAMETRO 1/2" (12,7 MM), COMPRIMENTO 1" (25,4 MM)</t>
  </si>
  <si>
    <t>0,007</t>
  </si>
  <si>
    <t>111,38</t>
  </si>
  <si>
    <t>0,78</t>
  </si>
  <si>
    <t>40664</t>
  </si>
  <si>
    <t>PERFIL CARTOLA DE ACO GALVANIZADO, *20 X 30 X 10* MM, E =  0,8 MM</t>
  </si>
  <si>
    <t>2,109</t>
  </si>
  <si>
    <t>3,51</t>
  </si>
  <si>
    <t>7,40</t>
  </si>
  <si>
    <t>40839</t>
  </si>
  <si>
    <t>PARAFUSO, ASTM A307 - GRAU A, SEXTAVADO, ZINCADO, DIAMETRO 3/8" (9,52 MM), COMPRIMENTO 1 " (25,4 MM)</t>
  </si>
  <si>
    <t>0,005</t>
  </si>
  <si>
    <t>68,00</t>
  </si>
  <si>
    <t>88278U</t>
  </si>
  <si>
    <t>MONTADOR DE ESTRUTURA METÁLICA COM ENCARGOS COMPLEMENTARES</t>
  </si>
  <si>
    <t>0,339</t>
  </si>
  <si>
    <t>13,10</t>
  </si>
  <si>
    <t>4,44</t>
  </si>
  <si>
    <t>0,191</t>
  </si>
  <si>
    <t>2,42</t>
  </si>
  <si>
    <t>93281U</t>
  </si>
  <si>
    <t>GUINCHO ELÉTRICO DE COLUNA, CAPACIDADE 400 KG, COM MOTO FREIO, MOTOR TRIFÁSICO DE 1,25 CV - CHP DIURNO. AF_03/2016</t>
  </si>
  <si>
    <t>chp</t>
  </si>
  <si>
    <t>0,0139</t>
  </si>
  <si>
    <t>13,06</t>
  </si>
  <si>
    <t>93282U</t>
  </si>
  <si>
    <t>GUINCHO ELÉTRICO DE COLUNA, CAPACIDADE 400 KG, COM MOTO FREIO, MOTOR TRIFÁSICO DE 1,25 CV - CHI DIURNO. AF_03/2016</t>
  </si>
  <si>
    <t>chi</t>
  </si>
  <si>
    <t>0,0193</t>
  </si>
  <si>
    <t>12,49</t>
  </si>
  <si>
    <t>3,84</t>
  </si>
  <si>
    <t>43,85</t>
  </si>
  <si>
    <t>47,69</t>
  </si>
  <si>
    <t>62,87</t>
  </si>
  <si>
    <t>Código:   94227U</t>
  </si>
  <si>
    <t>Descrição:   CALHA EM CHAPA DE AÇO GALVANIZADO NÚMERO 24, DESENVOLVIMENTO DE 33 CM, INCLUSO TRANSPORTE VERTICAL. AF_06/2016</t>
  </si>
  <si>
    <t>Quantidade: 1m        LS(%): 72,37        BDI(%): 24,57</t>
  </si>
  <si>
    <t>13388</t>
  </si>
  <si>
    <t>SOLDA EM BARRA DE ESTANHO-CHUMBO 50/50</t>
  </si>
  <si>
    <t>0,059</t>
  </si>
  <si>
    <t>98,49</t>
  </si>
  <si>
    <t>5,81</t>
  </si>
  <si>
    <t>0,053</t>
  </si>
  <si>
    <t>1,62</t>
  </si>
  <si>
    <t>40869</t>
  </si>
  <si>
    <t>CALHA QUADRADA DE CHAPA DE ACO GALVANIZADA NUM 24, CORTE 33 CM (COLETADO CAIXA)</t>
  </si>
  <si>
    <t>17,11</t>
  </si>
  <si>
    <t>17,97</t>
  </si>
  <si>
    <t>5061</t>
  </si>
  <si>
    <t>PREGO DE ACO POLIDO COM CABECA 18 X 27 (2 1/2 X 10)</t>
  </si>
  <si>
    <t>7,57</t>
  </si>
  <si>
    <t>5104</t>
  </si>
  <si>
    <t>REBITE DE ALUMINIO VAZADO DE REPUXO, 3,2 X 8 MM (1KG = 1025 UNIDADES)</t>
  </si>
  <si>
    <t>0,0016</t>
  </si>
  <si>
    <t>33,01</t>
  </si>
  <si>
    <t>0,282</t>
  </si>
  <si>
    <t>3,57</t>
  </si>
  <si>
    <t>88323U</t>
  </si>
  <si>
    <t>TELHADISTA COM ENCARGOS COMPLEMENTARES</t>
  </si>
  <si>
    <t>0,188</t>
  </si>
  <si>
    <t>12,95</t>
  </si>
  <si>
    <t>0,0132</t>
  </si>
  <si>
    <t>0,0183</t>
  </si>
  <si>
    <t>0,23</t>
  </si>
  <si>
    <t>3,34</t>
  </si>
  <si>
    <t>28,57</t>
  </si>
  <si>
    <t>31,91</t>
  </si>
  <si>
    <t>8,43</t>
  </si>
  <si>
    <t>42,76</t>
  </si>
  <si>
    <t>Código:   94222U</t>
  </si>
  <si>
    <t>Descrição:   CUMEEIRA PARA TELHA DE CONCRETO EMBOÇADA COM ARGAMASSA TRAÇO 1:2:9 (CIMENTO, CAL E AREIA) PARA TELHADOS COM ATÉ 2 ÁGUAS, INCLUSO TRANSPORTE VERTICAL. AF_06/2016</t>
  </si>
  <si>
    <t>40866</t>
  </si>
  <si>
    <t>CUMEEIRA PARA TELHA DE CONCRETO, PARA 2 AGUAS DE TELHADO, COR CINZA, RENDIMENTO DE *3* TELHAS/M (COLETADO CAIXA)</t>
  </si>
  <si>
    <t>8,76</t>
  </si>
  <si>
    <t>26,28</t>
  </si>
  <si>
    <t>87337U</t>
  </si>
  <si>
    <t>ARGAMASSA TRAÇO 1:2:9 (CIMENTO, CAL E AREIA MÉDIA) PARA EMBOÇO/MASSA ÚNICA/ASSENTAMENTO DE ALVENARIA DE VEDAÇÃO, PREPARO MECÂNICO COM MISTURADOR DE EIXO HORIZONTAL DE 300 KG. AF_06/2014</t>
  </si>
  <si>
    <t>0,0117</t>
  </si>
  <si>
    <t>287,22</t>
  </si>
  <si>
    <t>0,209</t>
  </si>
  <si>
    <t>2,65</t>
  </si>
  <si>
    <t>0,164</t>
  </si>
  <si>
    <t>0,0063</t>
  </si>
  <si>
    <t>0,0087</t>
  </si>
  <si>
    <t>3,03</t>
  </si>
  <si>
    <t>31,57</t>
  </si>
  <si>
    <t>34,60</t>
  </si>
  <si>
    <t>9,04</t>
  </si>
  <si>
    <t>45,83</t>
  </si>
  <si>
    <t>Código:   84093U</t>
  </si>
  <si>
    <t>Descrição:   TABEIRA DE MADEIRA LEI, 1A QUALIDADE, 2,5X30,0CM PARA BEIRAL DE TELHADO</t>
  </si>
  <si>
    <t>3992</t>
  </si>
  <si>
    <t>TABUA DE MADEIRA APARELHADA *2,5 X 30* CM, MACARANDUBA, ANGELIM OU EQUIVALENTE DA REGIAO</t>
  </si>
  <si>
    <t>16,27</t>
  </si>
  <si>
    <t>5066</t>
  </si>
  <si>
    <t>PREGO DE ACO POLIDO COM CABECA 12 X 12</t>
  </si>
  <si>
    <t>0,51</t>
  </si>
  <si>
    <t>88239U</t>
  </si>
  <si>
    <t>AJUDANTE DE CARPINTEIRO COM ENCARGOS COMPLEMENTARES</t>
  </si>
  <si>
    <t>12,06</t>
  </si>
  <si>
    <t>4,83</t>
  </si>
  <si>
    <t>14,02</t>
  </si>
  <si>
    <t>2,10</t>
  </si>
  <si>
    <t>20,15</t>
  </si>
  <si>
    <t>23,71</t>
  </si>
  <si>
    <t>32,75</t>
  </si>
  <si>
    <t>Código:   94231U</t>
  </si>
  <si>
    <t>Descrição:   RUFO EM CHAPA DE AÇO GALVANIZADO NÚMERO 24, CORTE DE 25 CM, INCLUSO TRANSPORTE VERTICAL. AF_06/2016</t>
  </si>
  <si>
    <t>0,045</t>
  </si>
  <si>
    <t>4,43</t>
  </si>
  <si>
    <t>0,04</t>
  </si>
  <si>
    <t>40872</t>
  </si>
  <si>
    <t>RUFO INTERNO/EXTERNO DE CHAPA DE ACO GALVANIZADA NUM 24, CORTE 25 CM (COLETADO CAIXA)</t>
  </si>
  <si>
    <t>15,36</t>
  </si>
  <si>
    <t>16,13</t>
  </si>
  <si>
    <t>0,006</t>
  </si>
  <si>
    <t>0,0012</t>
  </si>
  <si>
    <t>0,207</t>
  </si>
  <si>
    <t>0,112</t>
  </si>
  <si>
    <t>1,45</t>
  </si>
  <si>
    <t>2,33</t>
  </si>
  <si>
    <t>24,02</t>
  </si>
  <si>
    <t>26,35</t>
  </si>
  <si>
    <t>1,68</t>
  </si>
  <si>
    <t>6,89</t>
  </si>
  <si>
    <t>34,92</t>
  </si>
  <si>
    <t>Código:   94189U</t>
  </si>
  <si>
    <t>Descrição:   TELHAMENTO COM TELHA DE CONCRETO DE ENCAIXE, COM ATÉ 2 ÁGUAS, INCLUSO TRANSPORTE VERTICAL. AF_06/2016</t>
  </si>
  <si>
    <t>40865</t>
  </si>
  <si>
    <t>TELHA DE CONCRETO TIPO CLASSICA, COR CINZA, COMPRIMENTO DE *42* CM, RENDIMENTO DE *10* TELHAS/M2 (COLETADO CAIXA)</t>
  </si>
  <si>
    <t>11,484</t>
  </si>
  <si>
    <t>21,25</t>
  </si>
  <si>
    <t>0,153</t>
  </si>
  <si>
    <t>0,042</t>
  </si>
  <si>
    <t>0,0155</t>
  </si>
  <si>
    <t>0,20</t>
  </si>
  <si>
    <t>0,0215</t>
  </si>
  <si>
    <t>0,27</t>
  </si>
  <si>
    <t>22,67</t>
  </si>
  <si>
    <t>6,22</t>
  </si>
  <si>
    <t>31,53</t>
  </si>
  <si>
    <t>8.</t>
  </si>
  <si>
    <t>8.1</t>
  </si>
  <si>
    <t>8.2</t>
  </si>
  <si>
    <t>Código:   95305U</t>
  </si>
  <si>
    <t>Descrição:   TEXTURA ACRÍLICA, APLICAÇÃO MANUAL EM PAREDE, UMA DEMÃO. AF_09/2016</t>
  </si>
  <si>
    <t>38877</t>
  </si>
  <si>
    <t>MASSA PARA TEXTURA LISA DE BASE ACRILICA, USO INTERNO E EXTERNO</t>
  </si>
  <si>
    <t>1,14</t>
  </si>
  <si>
    <t>4,56</t>
  </si>
  <si>
    <t>88310U</t>
  </si>
  <si>
    <t>PINTOR COM ENCARGOS COMPLEMENTARES</t>
  </si>
  <si>
    <t>14,45</t>
  </si>
  <si>
    <t>2,72</t>
  </si>
  <si>
    <t>0,069</t>
  </si>
  <si>
    <t>0,87</t>
  </si>
  <si>
    <t>2,02</t>
  </si>
  <si>
    <t>6,77</t>
  </si>
  <si>
    <t>8,79</t>
  </si>
  <si>
    <t>1,46</t>
  </si>
  <si>
    <t>2,52</t>
  </si>
  <si>
    <t>12,77</t>
  </si>
  <si>
    <t>Código:   88489U</t>
  </si>
  <si>
    <t>Descrição:   APLICAÇÃO MANUAL DE PINTURA COM TINTA LÁTEX ACRÍLICA EM PAREDES, DUAS DEMÃOS. AF_06/2014</t>
  </si>
  <si>
    <t>7356</t>
  </si>
  <si>
    <t>TINTA ACRILICA PREMIUM, COR BRANCO FOSCO</t>
  </si>
  <si>
    <t>14,81</t>
  </si>
  <si>
    <t>0,187</t>
  </si>
  <si>
    <t>2,70</t>
  </si>
  <si>
    <t>2,01</t>
  </si>
  <si>
    <t>8,46</t>
  </si>
  <si>
    <t>2,44</t>
  </si>
  <si>
    <t>12,35</t>
  </si>
  <si>
    <t>Código:   15.014.0100-A</t>
  </si>
  <si>
    <t>13833</t>
  </si>
  <si>
    <t>KIT P/INST.DO SIST.DE AQUECIMENTO SOLAR, P/100 E 200L E 1 COLETOR VERT.OU HORIZ.(MAT.COMPLEM.AOS RESERV.E COLETORES)</t>
  </si>
  <si>
    <t>386,76</t>
  </si>
  <si>
    <t>17,8808</t>
  </si>
  <si>
    <t>20102</t>
  </si>
  <si>
    <t>MAO-DE-OBRA DE MONTADOR A (MONTAGEM DE ESTRUTURAS METALICAS), INCLUSIVE ENCARGOS SOCIAIS DESONERADOS</t>
  </si>
  <si>
    <t>7,1585</t>
  </si>
  <si>
    <t>15,862</t>
  </si>
  <si>
    <t>605,92</t>
  </si>
  <si>
    <t>992,68</t>
  </si>
  <si>
    <t>Código:   18.210.0012-A</t>
  </si>
  <si>
    <t>13390</t>
  </si>
  <si>
    <t>RESERVATORIO TERMICO DE BAIXA PRESSAO, PARA SISTEMA DE AQUECIMENTO SOLAR, COM 200L</t>
  </si>
  <si>
    <t>1286,16</t>
  </si>
  <si>
    <t>1.286,16</t>
  </si>
  <si>
    <t xml:space="preserve">8. </t>
  </si>
  <si>
    <t xml:space="preserve">                               </t>
  </si>
  <si>
    <t>Unidade Parque SescBaía das Pedras</t>
  </si>
  <si>
    <t>21127</t>
  </si>
  <si>
    <t>FITA ISOLANTE ADESIVA ANTICHAMA, USO ATE 750 V, EM ROLO DE 19 MM X 5 M</t>
  </si>
  <si>
    <t>88247U</t>
  </si>
  <si>
    <t>AUXILIAR DE ELETRICISTA COM ENCARGOS COMPLEMENTARES</t>
  </si>
  <si>
    <t>88264U</t>
  </si>
  <si>
    <t>Código:   87630U</t>
  </si>
  <si>
    <t>Descrição:   CONTRAPISO EM ARGAMASSA TRAÇO 1:4 (CIMENTO E AREIA), PREPARO MECÂNICO COM BETONEIRA 400 L, APLICADO EM ÁREAS SECAS SOBRE LAJE, ADERIDO, ESPESSURA 3CM. AF_06/2014</t>
  </si>
  <si>
    <t>1379</t>
  </si>
  <si>
    <t>CIMENTO PORTLAND COMPOSTO CP II-32</t>
  </si>
  <si>
    <t>7334</t>
  </si>
  <si>
    <t>ADITIVO ADESIVO LIQUIDO PARA ARGAMASSAS DE REVESTIMENTOS CIMENTICIOS</t>
  </si>
  <si>
    <t>0,435</t>
  </si>
  <si>
    <t>3,70</t>
  </si>
  <si>
    <t>87301U</t>
  </si>
  <si>
    <t>ARGAMASSA TRAÇO 1:4 (CIMENTO E AREIA MÉDIA) PARA CONTRAPISO, PREPARO MECÂNICO COM BETONEIRA 400 L. AF_06/2014</t>
  </si>
  <si>
    <t>0,0431</t>
  </si>
  <si>
    <t>322,71</t>
  </si>
  <si>
    <t>4,65</t>
  </si>
  <si>
    <t>0,165</t>
  </si>
  <si>
    <t>2,09</t>
  </si>
  <si>
    <t>5,42</t>
  </si>
  <si>
    <t>19,11</t>
  </si>
  <si>
    <t>24,53</t>
  </si>
  <si>
    <t>3,92</t>
  </si>
  <si>
    <t>6,99</t>
  </si>
  <si>
    <t>35,44</t>
  </si>
  <si>
    <t>Data de referência de preços:   2017/08</t>
  </si>
  <si>
    <t>Código:   72253U</t>
  </si>
  <si>
    <t>Descrição:   CABO DE COBRE NU 35MM2 - FORNECIMENTO E INSTALACAO</t>
  </si>
  <si>
    <t>863</t>
  </si>
  <si>
    <t>13,33</t>
  </si>
  <si>
    <t>0,21</t>
  </si>
  <si>
    <t>11,70</t>
  </si>
  <si>
    <t>2,46</t>
  </si>
  <si>
    <t>13,97</t>
  </si>
  <si>
    <t>26,69</t>
  </si>
  <si>
    <t>Data de referência de preços:   2016/11</t>
  </si>
  <si>
    <t>Código:   21.015.0208-A</t>
  </si>
  <si>
    <t>Descrição:   ATERRAMENTO DE POSTE DE ACO,INCLUSIVE FORNECIMENTO DOS MATERATERRAMENTO DE POSTE DE ACO,INCLUSIVE FORNECIMENTO DOS MATERIAIS</t>
  </si>
  <si>
    <t>00289</t>
  </si>
  <si>
    <t>CABO SOLIDO DE COBRE ELETROLITICO NU, TEMPERA MOLE, CLASSE 2, SECAO CIRCULAR DE10,0 A 500,0MM2</t>
  </si>
  <si>
    <t>30,42</t>
  </si>
  <si>
    <t>15,21</t>
  </si>
  <si>
    <t>11607</t>
  </si>
  <si>
    <t>BARRA DE RE-GALVANIZACAO, REFERENCIA T319, ERICO OU SIMILAR</t>
  </si>
  <si>
    <t>46,72</t>
  </si>
  <si>
    <t>11608</t>
  </si>
  <si>
    <t>CARTUCHO PLASTICO, ERICO OU SIMILAR, COM PO DE SOLDA NA QUANTIDADE DE 45GR</t>
  </si>
  <si>
    <t>11609</t>
  </si>
  <si>
    <t>MOLDE DE GRAFITE SEMI-PERMANENTE, USINADO REFERENCIA VBC.W3, ERICO OU SIMILAR</t>
  </si>
  <si>
    <t>174,87</t>
  </si>
  <si>
    <t>11610</t>
  </si>
  <si>
    <t>MOLDE DE GRAFITE SEMI-PERMANENTE, USINADO, REF. XXB.W3.W3, ERICO OU SIMILAR</t>
  </si>
  <si>
    <t>1,75</t>
  </si>
  <si>
    <t>20005</t>
  </si>
  <si>
    <t>MAO-DE-OBRA DE AJUDANTE DE MONTADOR ELETROMECANICO (ILUMINACAO PUBLICA), INCLUSIVE ENCARGOS SOCIAIS DESONERADOS</t>
  </si>
  <si>
    <t>0,515</t>
  </si>
  <si>
    <t>10,09</t>
  </si>
  <si>
    <t>28,31</t>
  </si>
  <si>
    <t>33,51</t>
  </si>
  <si>
    <t>9,16</t>
  </si>
  <si>
    <t>46,43</t>
  </si>
  <si>
    <t>867</t>
  </si>
  <si>
    <t>0,31</t>
  </si>
  <si>
    <t>SINAPI 72254</t>
  </si>
  <si>
    <t>Código:   83485U</t>
  </si>
  <si>
    <t>Descrição:   HASTE DE ATERRAMENTO EM AÇO COM 3,00 M DE COMPRIMENTO E DN = 5/8" REVESTIDA COM BAIXA CAMADA DE COBRE, SEM CONECTOR</t>
  </si>
  <si>
    <t>3379</t>
  </si>
  <si>
    <t>HASTE DE ATERRAMENTO EM ACO COM 3,00 M DE COMPRIMENTO E DN = 5/8", REVESTIDA COM BAIXA CAMADA DE COBRE, SEM CONECTOR</t>
  </si>
  <si>
    <t>29,76</t>
  </si>
  <si>
    <t>4,68</t>
  </si>
  <si>
    <t>6,40</t>
  </si>
  <si>
    <t>33,63</t>
  </si>
  <si>
    <t>40,03</t>
  </si>
  <si>
    <t>4,63</t>
  </si>
  <si>
    <t>10,97</t>
  </si>
  <si>
    <t>55,64</t>
  </si>
  <si>
    <t>Data de referência de preços:   2017/09</t>
  </si>
  <si>
    <t>Código:   C3997</t>
  </si>
  <si>
    <t>BANCADA DE GRANITO C/ L=0,60m E E=0,03m</t>
  </si>
  <si>
    <t>CUBA DE AÇO INOX (47 x 30) cm</t>
  </si>
  <si>
    <t xml:space="preserve">                          </t>
  </si>
  <si>
    <t>Instalações Provisórias</t>
  </si>
  <si>
    <t>Despesas e Encargos Mensais</t>
  </si>
  <si>
    <t>1.2.3</t>
  </si>
  <si>
    <t>Construção da Escola de Ensino Fundamental II</t>
  </si>
  <si>
    <t>Unidade  Sesc Poconé</t>
  </si>
  <si>
    <t xml:space="preserve">Fornecimento e instalação de sistema de aquecimento solar, para 2000l incluindo 8coletor com 1,6 m², sem o fornecimento de reservatório </t>
  </si>
  <si>
    <t>SINAPI  96523</t>
  </si>
  <si>
    <t>SINAPI  96995</t>
  </si>
  <si>
    <t>SINAPI  72897</t>
  </si>
  <si>
    <t>INFRAESTRUTURA</t>
  </si>
  <si>
    <t>Trabalhos em Terra</t>
  </si>
  <si>
    <t>Fundações</t>
  </si>
  <si>
    <t>SINAPI  96619</t>
  </si>
  <si>
    <t>SINAPI  96545</t>
  </si>
  <si>
    <t>SINAPI  96546</t>
  </si>
  <si>
    <t>SINAPI  94965</t>
  </si>
  <si>
    <t>SUPRAESTRUTURA</t>
  </si>
  <si>
    <t xml:space="preserve">Total item:   3  </t>
  </si>
  <si>
    <t>Esquadrias</t>
  </si>
  <si>
    <t>Vidros</t>
  </si>
  <si>
    <t>4.1.1</t>
  </si>
  <si>
    <t>4.2</t>
  </si>
  <si>
    <t>4.2.1</t>
  </si>
  <si>
    <t>4.2.2</t>
  </si>
  <si>
    <t>4.2.3</t>
  </si>
  <si>
    <t>4.2.4</t>
  </si>
  <si>
    <t>4.3</t>
  </si>
  <si>
    <t>4.3.1</t>
  </si>
  <si>
    <t>4.3.2</t>
  </si>
  <si>
    <t xml:space="preserve">Total item:   4  </t>
  </si>
  <si>
    <t>COBERTURAS E PROTEÇÕES</t>
  </si>
  <si>
    <t xml:space="preserve">Total item:   5  </t>
  </si>
  <si>
    <t>5.3</t>
  </si>
  <si>
    <t>5.4</t>
  </si>
  <si>
    <t>2.1.1</t>
  </si>
  <si>
    <t>2.2.1</t>
  </si>
  <si>
    <t>2.2.2</t>
  </si>
  <si>
    <t>2.2.3</t>
  </si>
  <si>
    <t>Pinturas</t>
  </si>
  <si>
    <t>Total item:   6</t>
  </si>
  <si>
    <t>Total item:   7</t>
  </si>
  <si>
    <t>INSTALAÇÕES E APARELHOS</t>
  </si>
  <si>
    <t>Instalações Elétricas</t>
  </si>
  <si>
    <t>8.1.1</t>
  </si>
  <si>
    <t>8.1.2</t>
  </si>
  <si>
    <t>8.1.3</t>
  </si>
  <si>
    <t>8.1.4</t>
  </si>
  <si>
    <t>8.1.5</t>
  </si>
  <si>
    <t>Instalações de Água Fria</t>
  </si>
  <si>
    <t>8.3</t>
  </si>
  <si>
    <t>Instalações de Esgoto Sanitário</t>
  </si>
  <si>
    <t>8.1.6</t>
  </si>
  <si>
    <t>8.1.7</t>
  </si>
  <si>
    <t>8.1.8</t>
  </si>
  <si>
    <t>8.2.1</t>
  </si>
  <si>
    <t>8.2.2</t>
  </si>
  <si>
    <t>8.2.3</t>
  </si>
  <si>
    <t>8.2.4</t>
  </si>
  <si>
    <t>8.2.5</t>
  </si>
  <si>
    <t>8.2.6</t>
  </si>
  <si>
    <t>8.3.1</t>
  </si>
  <si>
    <t>8.3.2</t>
  </si>
  <si>
    <t>8.4</t>
  </si>
  <si>
    <t>Instalações de Ar Condicionado</t>
  </si>
  <si>
    <t>8.4.1</t>
  </si>
  <si>
    <t>8.4.3</t>
  </si>
  <si>
    <t>8.4.4</t>
  </si>
  <si>
    <t>8.5</t>
  </si>
  <si>
    <t>Louças e Metais</t>
  </si>
  <si>
    <t>8.5.1</t>
  </si>
  <si>
    <t>Instalações de Água Quente</t>
  </si>
  <si>
    <t>8.5.2</t>
  </si>
  <si>
    <t>8.6</t>
  </si>
  <si>
    <t>8.6.1</t>
  </si>
  <si>
    <t>8.6.2</t>
  </si>
  <si>
    <t>8.6.3</t>
  </si>
  <si>
    <t>8.6.4</t>
  </si>
  <si>
    <t>8.6.5</t>
  </si>
  <si>
    <t>8.6.6</t>
  </si>
  <si>
    <t>8.6.7</t>
  </si>
  <si>
    <t>8.4.5</t>
  </si>
  <si>
    <t>8.4.6</t>
  </si>
  <si>
    <t>8.4.8</t>
  </si>
  <si>
    <t>8.6.8</t>
  </si>
  <si>
    <t>8.6.9</t>
  </si>
  <si>
    <t>8.6.10</t>
  </si>
  <si>
    <t>8.6.11</t>
  </si>
  <si>
    <t>8.6.12</t>
  </si>
  <si>
    <t>8.6.13</t>
  </si>
  <si>
    <t>8.6.14</t>
  </si>
  <si>
    <t>8.6.15</t>
  </si>
  <si>
    <t>8.6.16</t>
  </si>
  <si>
    <t>8.6.17</t>
  </si>
  <si>
    <t>8.7</t>
  </si>
  <si>
    <t>SPDA</t>
  </si>
  <si>
    <t>8.8</t>
  </si>
  <si>
    <t>Incêndio</t>
  </si>
  <si>
    <t>8.8.1</t>
  </si>
  <si>
    <t>8.8.2</t>
  </si>
  <si>
    <t>8.8.3</t>
  </si>
  <si>
    <t>8.8.4</t>
  </si>
  <si>
    <t>8.8.5</t>
  </si>
  <si>
    <t>8.8.6</t>
  </si>
  <si>
    <t>Total item:   8</t>
  </si>
  <si>
    <t>9.</t>
  </si>
  <si>
    <t>COMPLEMENTAÇÃO DA OBRA</t>
  </si>
  <si>
    <t>9.1</t>
  </si>
  <si>
    <t>LIMPEZA FINAL DA OBRA</t>
  </si>
  <si>
    <t>Total item:   9</t>
  </si>
  <si>
    <t>9.2</t>
  </si>
  <si>
    <t>COMPOSIÇÕES AUXILIARES</t>
  </si>
  <si>
    <t>PREÇO SINAPI MT 05/2018</t>
  </si>
  <si>
    <t>CODIGO</t>
  </si>
  <si>
    <t>88236 SINAPI MT 2018</t>
  </si>
  <si>
    <t>FERRAMENTAS (ENCARGOS COMPLEMENTARES) - HORISTA</t>
  </si>
  <si>
    <t>10</t>
  </si>
  <si>
    <t>BALDE PLASTICO CAPACIDADE *10* L</t>
  </si>
  <si>
    <t>0,0080172</t>
  </si>
  <si>
    <t>2711</t>
  </si>
  <si>
    <t>CARRINHO DE MAO DE ACO CAPACIDADE 50 A 60 L, PNEU COM CAMARA</t>
  </si>
  <si>
    <t>0,0006646</t>
  </si>
  <si>
    <t>11359</t>
  </si>
  <si>
    <t>ESMERILHADEIRA ANGULAR ELETRICA, DIAMETRO DO DISCO 7 '' (180 MM), ROTACAO 8500 RPM, POTENCIA 2400 W</t>
  </si>
  <si>
    <t>0,0000677</t>
  </si>
  <si>
    <t>12815</t>
  </si>
  <si>
    <t>FITA CREPE ROLO DE 25 MM X 50 M</t>
  </si>
  <si>
    <t>0,0090691</t>
  </si>
  <si>
    <t>25966</t>
  </si>
  <si>
    <t>REDUTOR TIPO THINNER PARA ACABAMENTO</t>
  </si>
  <si>
    <t>L</t>
  </si>
  <si>
    <t>0,0015115</t>
  </si>
  <si>
    <t>38382</t>
  </si>
  <si>
    <t>LINHA DE PEDREIRO LISA 100 M</t>
  </si>
  <si>
    <t>0,0027300</t>
  </si>
  <si>
    <t>38390</t>
  </si>
  <si>
    <t>ROLO DE LA DE CARNEIRO 23 CM (SEM CABO)</t>
  </si>
  <si>
    <t>38393</t>
  </si>
  <si>
    <t>ROLO DE ESPUMA POLIESTER 23 CM (SEM CABO)</t>
  </si>
  <si>
    <t>38396</t>
  </si>
  <si>
    <t>SELADOR HORIZONTAL PARA FITA DE ACO 1 "</t>
  </si>
  <si>
    <t>0,0000542</t>
  </si>
  <si>
    <t>38399</t>
  </si>
  <si>
    <t>BOLSA DE LONA PARA FERRAMENTAS *50 X 35 X 25* CM</t>
  </si>
  <si>
    <t>0,0002708</t>
  </si>
  <si>
    <t>38413</t>
  </si>
  <si>
    <t>LIXADEIRA ELETRICA ANGULAR, PARA DISCO DE 7 " (180 MM), POTENCIA DE 2.200 W, *5.000* RPM, 220 V</t>
  </si>
  <si>
    <t>0,0000441</t>
  </si>
  <si>
    <t>38476</t>
  </si>
  <si>
    <t>ESCADA DUPLA DE ABRIR EM ALUMINIO, MODELO PINTOR, 8 DEGRAUS</t>
  </si>
  <si>
    <t>0,0002057</t>
  </si>
  <si>
    <t>38477</t>
  </si>
  <si>
    <t>ESCADA EXTENSIVEL EM ALUMINIO COM 6,00 M ESTENDIDA</t>
  </si>
  <si>
    <t>88237 SINAPI MT 05/2018</t>
  </si>
  <si>
    <t>EPI (ENCARGOS COMPLEMENTARES) - HORISTA</t>
  </si>
  <si>
    <t>PAR</t>
  </si>
  <si>
    <t>0,0137346</t>
  </si>
  <si>
    <t>0,0016010</t>
  </si>
  <si>
    <t>36144</t>
  </si>
  <si>
    <t>RESPIRADOR DESCARTAVEL SEM VALVULA DE EXALACAO, PFF 1</t>
  </si>
  <si>
    <t>0,1114872</t>
  </si>
  <si>
    <t>36146</t>
  </si>
  <si>
    <t>PROTETOR SOLAR FPS 30, EMBALAGEM 2 LITROS</t>
  </si>
  <si>
    <t>0,0012403</t>
  </si>
  <si>
    <t>36149</t>
  </si>
  <si>
    <t>TRAVA-QUEDAS EM ACO PARA CORDA DE 12 MM, EXTENSOR DE 25 X 300 MM, COM MOSQUETAO TIPO GANCHO TRAVA DUPLA</t>
  </si>
  <si>
    <t>0,0007200</t>
  </si>
  <si>
    <t>36150</t>
  </si>
  <si>
    <t>AVENTAL DE SEGURANCA DE RASPA DE COURO 1,00 X 0,60 M</t>
  </si>
  <si>
    <t>0,0026463</t>
  </si>
  <si>
    <t>36153</t>
  </si>
  <si>
    <t>TALABARTE DE SEGURANCA, 2 MOSQUETOES TRAVA DUPLA *53* MM DE ABERTURA, COM ABSORVEDOR DE ENERGIA</t>
  </si>
  <si>
    <t>0,0010750</t>
  </si>
  <si>
    <t>95311 SINAPI MT 05/2018</t>
  </si>
  <si>
    <t>CURSO DE CAPACITAÇÃO PARA AJUDANTE DE OPERAÇÃO EM GERAL (ENCARGOS COMPLEMENTARES) - HORISTA</t>
  </si>
  <si>
    <t>248</t>
  </si>
  <si>
    <t>AJUDANTE DE OPERACAO EM GERAL</t>
  </si>
  <si>
    <t>95378 SINAPI MT 05/2018</t>
  </si>
  <si>
    <t>CURSO DE CAPACITAÇÃO PARA SERVENTE (ENCARGOS COMPLEMENTARES) - HORISTA</t>
  </si>
  <si>
    <t>SERVENTE DE OBRAS</t>
  </si>
  <si>
    <t>95348 SINAPI MT 05/2018</t>
  </si>
  <si>
    <t>MOTORISTA DE CAMINHÃO-CARRETA</t>
  </si>
  <si>
    <t>95346 SINAPI MT 05/2018</t>
  </si>
  <si>
    <t>CURSO DE CAPACITAÇÃO PARA MOTORISTA DE BASCULANTE (ENCARGOS COMPLEMENTARES) - HORISTA</t>
  </si>
  <si>
    <t>MOTORISTA DE CAMINHÃO BASCULANTE</t>
  </si>
  <si>
    <t>95330 SINAPI MT 05/2018</t>
  </si>
  <si>
    <t>CURSO DE CAPACITAÇÃO PARA CARPINTEIRO DE FORMAS (ENCARGOS COMPLEMENTARES) - HORISTA</t>
  </si>
  <si>
    <t>CARPINTEIRO DE FORMAS</t>
  </si>
  <si>
    <t>95371 SINAPI MT 05/2018</t>
  </si>
  <si>
    <t>CURSO DE CAPACITAÇÃO PARA PEDREIRO (ENCARGOS COMPLEMENTARES) - HORISTA</t>
  </si>
  <si>
    <t>5961 SINAPI MT 2018</t>
  </si>
  <si>
    <t>CAMINHÃO BASCULANTE 6 M3, PESO BRUTO TOTAL 16.000 KG, CARGA ÚTIL MÁXIMA 13.071 KG, DISTÂNCIA ENTRE EIXOS 4,80 M, POTÊNCIA 230 CV INCLUSIVE CAÇAMBA METÁLICA</t>
  </si>
  <si>
    <t>CHI</t>
  </si>
  <si>
    <t>MOTORISTA DE BASCULANTE COM ENCARGOS COMPLEMENTARES</t>
  </si>
  <si>
    <t>91367</t>
  </si>
  <si>
    <t>CAMINHÃO BASCULANTE 6 M3, PESO BRUTO TOTAL 16.000 KG, CARGA ÚTIL MÁXIMA 13.071 KG, DISTÂNCIA ENTRE EIXOS 4,80 M, POTÊNCIA 230 CV INCLUSIVE CAÇAMBA METÁLICA - DEPRECIAÇÃO</t>
  </si>
  <si>
    <t>EQUIP</t>
  </si>
  <si>
    <t>91368</t>
  </si>
  <si>
    <t>CAMINHÃO BASCULANTE 6 M3, PESO BRUTO TOTAL 16.000 KG, CARGA ÚTIL MÁXIMA 13.071 KG, DISTÂNCIA ENTRE EIXOS 4,80 M, POTÊNCIA 230 CV INCLUSIVE CAÇAMBA METÁLICA - JUROS</t>
  </si>
  <si>
    <t>91369</t>
  </si>
  <si>
    <t xml:space="preserve">CAMINHÃO BASCULANTE 6 M3, PESO BRUTO TOTAL 16.000 KG, CARGA ÚTIL MÁXIMA 13.071 KG, DISTÂNCIA ENTRE EIXOS 4,80 M, POTÊNCIA 230 CV INCLUSIVE CAÇAMBA METÁLICA - IMPOSTOS E SEGUROS. </t>
  </si>
  <si>
    <t>91367 SINAPI MT 2018</t>
  </si>
  <si>
    <t>CAMINHÃO BASCULANTE 6 M3, PESO BRUTO TOTAL 16.000 KG, CARGA ÚTIL MÁXIMA 13.071 KG, DISTÂNCIA ENTRE EIXOS 4,80 M, POTÊNCIA 230 CV INCLUSIVE CAÇAMBA METÁLICA - DEPRECIAÇÃO. AF_06/2014</t>
  </si>
  <si>
    <t>37733</t>
  </si>
  <si>
    <t>CACAMBA METALICA BASCULANTE COM CAPACIDADE DE 6 M3 (INCLUI MONTAGEM, NAO INCLUI CAMINHAO)</t>
  </si>
  <si>
    <t>37760</t>
  </si>
  <si>
    <t>CAMINHAO TOCO, PESO BRUTO TOTAL 16000 KG, CARGA UTIL MAXIMA 13071 KG, DISTANCIA ENTRE EIXOS 4,80 M, POTENCIA 230 CV (INCLUI CABINE E CHASSI, NAO INCLUI CARROCERIA)</t>
  </si>
  <si>
    <t>251.584,95</t>
  </si>
  <si>
    <t>91368 SINAPI MT 2018</t>
  </si>
  <si>
    <t>91369 SINAPI MT 2018</t>
  </si>
  <si>
    <t>CAMINHÃO BASCULANTE 6 M3, PESO BRUTO TOTAL 16.000 KG, CARGA ÚTIL MÁXIMA 13.071 KG, DISTÂNCIA ENTRE EIXOS 4,80 M, POTÊNCIA 230 CV INCLUSIVE CAÇAMBA METÁLICA - IMPOSTOS E SEGUROS</t>
  </si>
  <si>
    <t>91533 SINAPI MT 2018</t>
  </si>
  <si>
    <t>COMPACTADOR DE SOLOS DE PERCUSSÃO (SOQUETE) COM MOTOR A GASOLINA 4 TEMPOS, POTÊNCIA 4 CV - CHP DIURNO.</t>
  </si>
  <si>
    <t>CHP</t>
  </si>
  <si>
    <t>OPERADOR DE MÁQUINAS E EQUIPAMENTOS COM ENCARGOS COMPLEMENTARES</t>
  </si>
  <si>
    <t>91529</t>
  </si>
  <si>
    <t xml:space="preserve">COMPACTADOR DE SOLOS DE PERCUSSÃO (SOQUETE) COM MOTOR A GASOLINA 4 TEMPOS, POTÊNCIA 4 CV - DEPRECIAÇÃO. </t>
  </si>
  <si>
    <t>91530</t>
  </si>
  <si>
    <t>COMPACTADOR DE SOLOS DE PERCUSSÃO (SOQUETE) COM MOTOR A GASOLINA 4 TEMPOS, POTÊNCIA 4 CV - JUROS.</t>
  </si>
  <si>
    <t>91531</t>
  </si>
  <si>
    <t>COMPACTADOR DE SOLOS DE PERCUSSÃO (SOQUETE) COM MOTOR A GASOLINA 4 TEMPOS, POTÊNCIA 4 CV - MANUTENÇÃO.</t>
  </si>
  <si>
    <t>91532</t>
  </si>
  <si>
    <t>COMPACTADOR DE SOLOS DE PERCUSSÃO (SOQUETE) COM MOTOR A GASOLINA 4 TEMPOS, POTÊNCIA 4 CV - MATERIAIS NA OPERAÇÃO.</t>
  </si>
  <si>
    <t>PREÇO SINAPI 05/2018</t>
  </si>
  <si>
    <t>88297 SINAPI MT 05/2018</t>
  </si>
  <si>
    <t>OPERADOR DE MÁQUINAS E TRATORES DIVERSOS (TERRAPLANAGEM)</t>
  </si>
  <si>
    <t>37370</t>
  </si>
  <si>
    <t>ALIMENTACAO - HORISTA (ENCARGOS COMPLEMENTARES) (COLETADO CAIXA)</t>
  </si>
  <si>
    <t>SERV</t>
  </si>
  <si>
    <t>37371</t>
  </si>
  <si>
    <t>TRANSPORTE - HORISTA (ENCARGOS COMPLEMENTARES) (COLETADO CAIXA)</t>
  </si>
  <si>
    <t>37372</t>
  </si>
  <si>
    <t>EXAMES - HORISTA (ENCARGOS COMPLEMENTARES) (COLETADO CAIXA)</t>
  </si>
  <si>
    <t>37373</t>
  </si>
  <si>
    <t>SEGURO - HORISTA (ENCARGOS COMPLEMENTARES) (COLETADO CAIXA)</t>
  </si>
  <si>
    <t>88237</t>
  </si>
  <si>
    <t>CURSO DE CAPACITAÇÃO PARA OPERADOR DE MÁQUINAS E EQUIPAMENTOS (ENCARGOS COMPLEMENTARES) - HORISTA</t>
  </si>
  <si>
    <t>95360 SINAPI MT 05/2018</t>
  </si>
  <si>
    <t>91529 SINAPI MT 05/2018</t>
  </si>
  <si>
    <t>13458</t>
  </si>
  <si>
    <t>COMPACTADOR DE SOLOS DE PERCURSAO (SOQUETE) COM MOTOR A GASOLINA 4 TEMPOS DE 4 HP (4 CV)</t>
  </si>
  <si>
    <t>91530 SINAPI MT 05/2018</t>
  </si>
  <si>
    <t>COMPACTADOR DE SOLOS DE PERCUSSÃO (SOQUETE) COM MOTOR A GASOLINA 4 TEMPOS, POTÊNCIA 4 CV - JUROS</t>
  </si>
  <si>
    <t>91531 SINAPI MT 05/2018</t>
  </si>
  <si>
    <t>COMPACTADOR DE SOLOS DE PERCUSSÃO (SOQUETE) COM MOTOR A GASOLINA 4 TEMPOS, POTÊNCIA 4 CV - MANUTENÇÃO</t>
  </si>
  <si>
    <t>91532 SINAPI MT 05/2018</t>
  </si>
  <si>
    <t>COMPACTADOR DE SOLOS DE PERCUSSÃO (SOQUETE) COM MOTOR A GASOLINA 4 TEMPOS, POTÊNCIA 4 CV - MATERIAIS NA OPERAÇÃO</t>
  </si>
  <si>
    <t>GASOLINA COMUM</t>
  </si>
  <si>
    <t>91534 SINAPI MT 2018</t>
  </si>
  <si>
    <t xml:space="preserve">COMPACTADOR DE SOLOS DE PERCUSSÃO (SOQUETE) COM MOTOR A GASOLINA 4 TEMPOS, POTÊNCIA 4 CV - CHI DIURNO. </t>
  </si>
  <si>
    <t>94968 SINAPI MT 2018</t>
  </si>
  <si>
    <t xml:space="preserve">CONCRETO MAGRO PARA LASTRO, TRAÇO 1:4,5:4,5 (CIMENTO/ AREIA MÉDIA/ BRITA 1)  - PREPARO MECÂNICO COM BETONEIRA 600 L. </t>
  </si>
  <si>
    <t>M3</t>
  </si>
  <si>
    <t>370</t>
  </si>
  <si>
    <t>AREIA MEDIA - POSTO JAZIDA/FORNECEDOR (RETIRADO NA JAZIDA, SEM TRANSPORTE)</t>
  </si>
  <si>
    <t>KG</t>
  </si>
  <si>
    <t>4721</t>
  </si>
  <si>
    <t>PEDRA BRITADA N. 1 (9,5 a 19 MM) POSTO PEDREIRA/FORNECEDOR, SEM FRETE</t>
  </si>
  <si>
    <t>88316</t>
  </si>
  <si>
    <t>88377</t>
  </si>
  <si>
    <t>OPERADOR DE BETONEIRA ESTACIONÁRIA/MISTURADOR COM ENCARGOS COMPLEMENTARES</t>
  </si>
  <si>
    <t>89225</t>
  </si>
  <si>
    <t>BETONEIRA CAPACIDADE NOMINAL DE 600 L, CAPACIDADE DE MISTURA 360 L, MOTOR ELÉTRICO TRIFÁSICO POTÊNCIA DE 4 CV, SEM CARREGADOR - CHP DIURNO. AF_11/2014</t>
  </si>
  <si>
    <t>89226</t>
  </si>
  <si>
    <t>BETONEIRA CAPACIDADE NOMINAL DE 600 L, CAPACIDADE DE MISTURA 360 L, MOTOR ELÉTRICO TRIFÁSICO POTÊNCIA DE 4 CV, SEM CARREGADOR - CHI DIURNO. AF_11/2014</t>
  </si>
  <si>
    <t>88377 SINAPI MT 05/2018</t>
  </si>
  <si>
    <t>OPERADOR DE BETONEIRA ESTACIONÁRIA/MISTURADOR</t>
  </si>
  <si>
    <t>CURSO DE CAPACITAÇÃO PARA OPERADOR DE BETONEIRA ESTACIONÁRIA/MISTURADOR (ENCARGOS COMPLEMENTARES) - HORISTA</t>
  </si>
  <si>
    <t>95389 SINAPI MT 05/2018</t>
  </si>
  <si>
    <t>89225 SINAPI MT 2018</t>
  </si>
  <si>
    <t>BETONEIRA CAPACIDADE NOMINAL DE 600 L, CAPACIDADE DE MISTURA 360 L, MOTOR ELÉTRICO TRIFÁSICO POTÊNCIA DE 4 CV, SEM CARREGADOR - CHP DIURNO.</t>
  </si>
  <si>
    <t>89221</t>
  </si>
  <si>
    <t xml:space="preserve">BETONEIRA CAPACIDADE NOMINAL DE 600 L, CAPACIDADE DE MISTURA 360 L, MOTOR ELÉTRICO TRIFÁSICO POTÊNCIA DE 4 CV, SEM CARREGADOR - DEPRECIAÇÃO. </t>
  </si>
  <si>
    <t>89222</t>
  </si>
  <si>
    <t xml:space="preserve">BETONEIRA CAPACIDADE NOMINAL DE 600 L, CAPACIDADE DE MISTURA 360 L, MOTOR ELÉTRICO TRIFÁSICO POTÊNCIA DE 4 CV, SEM CARREGADOR - JUROS. </t>
  </si>
  <si>
    <t>89223</t>
  </si>
  <si>
    <t xml:space="preserve">BETONEIRA CAPACIDADE NOMINAL DE 600 L, CAPACIDADE DE MISTURA 360 L, MOTOR ELÉTRICO TRIFÁSICO POTÊNCIA DE 4 CV, SEM CARREGADOR - MANUTENÇÃO. </t>
  </si>
  <si>
    <t>89224</t>
  </si>
  <si>
    <t xml:space="preserve">BETONEIRA CAPACIDADE NOMINAL DE 600 L, CAPACIDADE DE MISTURA 360 L, MOTOR ELÉTRICO TRIFÁSICO POTÊNCIA DE 4 CV, SEM CARREGADOR - MATERIAIS NA OPERAÇÃO. </t>
  </si>
  <si>
    <t>89221 SINAPI MT 2018</t>
  </si>
  <si>
    <t>BETONEIRA, CAPACIDADE NOMINAL 600 L, CAPACIDADE DE MISTURA  360L, MOTOR ELETRICO TRIFASICO 220/380V, POTENCIA 4CV, EXCLUSO CARREGADOR</t>
  </si>
  <si>
    <t>89222 SINAPI MT 2018</t>
  </si>
  <si>
    <t>BETONEIRA CAPACIDADE NOMINAL DE 600 L, CAPACIDADE DE MISTURA 360 L, MOTOR ELÉTRICO TRIFÁSICO POTÊNCIA DE 4 CV, SEM CARREGADOR - JUROS</t>
  </si>
  <si>
    <t>89223 SINAPI MT 2018</t>
  </si>
  <si>
    <t>BETONEIRA CAPACIDADE NOMINAL DE 600 L, CAPACIDADE DE MISTURA 360 L, MOTOR ELÉTRICO TRIFÁSICO POTÊNCIA DE 4 CV, SEM CARREGADOR - MANUTENÇÃO</t>
  </si>
  <si>
    <t>89224 SINAPI MT 2018</t>
  </si>
  <si>
    <t>BETONEIRA CAPACIDADE NOMINAL DE 600 L, CAPACIDADE DE MISTURA 360 L, MOTOR ELÉTRICO TRIFÁSICO POTÊNCIA DE 4 CV, SEM CARREGADOR - MATERIAIS NA OPERAÇÃO</t>
  </si>
  <si>
    <t>2705</t>
  </si>
  <si>
    <t>ENERGIA ELETRICA ATE 2000 KWH INDUSTRIAL, SEM DEMANDA</t>
  </si>
  <si>
    <t>KW/H</t>
  </si>
  <si>
    <t>89226 SINAPI MT 2018</t>
  </si>
  <si>
    <t>BETONEIRA CAPACIDADE NOMINAL DE 600 L, CAPACIDADE DE MISTURA 360 L, MOTOR ELÉTRICO TRIFÁSICO POTÊNCIA DE 4 CV, SEM CARREGADOR - CHI DIURNO.</t>
  </si>
  <si>
    <t>91692 SINAPI MT 2018</t>
  </si>
  <si>
    <t xml:space="preserve">SERRA CIRCULAR DE BANCADA COM MOTOR ELÉTRICO POTÊNCIA DE 5HP, COM COIFA PARA DISCO 10" - CHP DIURNO. </t>
  </si>
  <si>
    <t>88297</t>
  </si>
  <si>
    <t>91688</t>
  </si>
  <si>
    <t>SERRA CIRCULAR DE BANCADA COM MOTOR ELÉTRICO POTÊNCIA DE 5HP, COM COIFA PARA DISCO 10" - DEPRECIAÇÃO.</t>
  </si>
  <si>
    <t>91689</t>
  </si>
  <si>
    <t xml:space="preserve">SERRA CIRCULAR DE BANCADA COM MOTOR ELÉTRICO POTÊNCIA DE 5HP, COM COIFA PARA DISCO 10" - JUROS. </t>
  </si>
  <si>
    <t>91690</t>
  </si>
  <si>
    <t xml:space="preserve">SERRA CIRCULAR DE BANCADA COM MOTOR ELÉTRICO POTÊNCIA DE 5HP, COM COIFA PARA DISCO 10" - MANUTENÇÃO. </t>
  </si>
  <si>
    <t>91691</t>
  </si>
  <si>
    <t xml:space="preserve">SERRA CIRCULAR DE BANCADA COM MOTOR ELÉTRICO POTÊNCIA DE 5HP, COM COIFA PARA DISCO 10" - MATERIAIS NA OPERAÇÃO. </t>
  </si>
  <si>
    <t>91688 SINAPI MT 2018</t>
  </si>
  <si>
    <t>14618</t>
  </si>
  <si>
    <t>SERRA CIRCULAR DE BANCADA COM MOTOR ELETRICO, POTENCIA DE *1600* W, PARA DISCO DE DIAMETRO DE 10" (250 MM)</t>
  </si>
  <si>
    <t>91689 SINAPI MT 2018</t>
  </si>
  <si>
    <t>SERRA CIRCULAR DE BANCADA COM MOTOR ELÉTRICO POTÊNCIA DE 5HP, COM COIFA PARA DISCO 10" - JUROS.</t>
  </si>
  <si>
    <t>91690 SINAPI MT 2018</t>
  </si>
  <si>
    <t>SERRA CIRCULAR DE BANCADA COM MOTOR ELÉTRICO POTÊNCIA DE 5HP, COM COIFA PARA DISCO 10" - MANUTENÇÃO.</t>
  </si>
  <si>
    <t>91691 SINAPI MT 2018</t>
  </si>
  <si>
    <t>SERRA CIRCULAR DE BANCADA COM MOTOR ELÉTRICO POTÊNCIA DE 5HP, COM COIFA PARA DISCO 10" - MATERIAIS NA OPERAÇÃO.</t>
  </si>
  <si>
    <t>91693 SINAPI MT 2018</t>
  </si>
  <si>
    <t xml:space="preserve">SERRA CIRCULAR DE BANCADA COM MOTOR ELÉTRICO POTÊNCIA DE 5HP, COM COIFA PARA DISCO 10" - CHI DIURNO. </t>
  </si>
  <si>
    <t>95308 SINAPI MT 05/2018</t>
  </si>
  <si>
    <t>CURSO DE CAPACITAÇÃO PARA AJUDANTE DE ARMADOR (ENCARGOS COMPLEMENTARES) - HORISTA</t>
  </si>
  <si>
    <t>AJUDANTE DE ARMADOR</t>
  </si>
  <si>
    <t>CURSO DE CAPACITAÇÃO PARA ARMADOR (ENCARGOS COMPLEMENTARES) - HORISTA</t>
  </si>
  <si>
    <t>ARMADOR</t>
  </si>
  <si>
    <t>CORTE E DOBRA DE AÇO CA-50, DIÂMETRO DE 8,0 MM, UTILIZADO EM ESTRUTURAS DIVERSAS, EXCETO LAJES.</t>
  </si>
  <si>
    <t>33</t>
  </si>
  <si>
    <t>ACO CA-50, 8,0 MM, VERGALHAO</t>
  </si>
  <si>
    <t>88238</t>
  </si>
  <si>
    <t>AJUDANTE DE ARMADOR COM ENCARGOS COMPLEMENTARES</t>
  </si>
  <si>
    <t>ARMADOR COM ENCARGOS COMPLEMENTARES</t>
  </si>
  <si>
    <t xml:space="preserve">CORTE E DOBRA DE AÇO CA-50, DIÂMETRO DE 10,0 MM, UTILIZADO EM ESTRUTURAS DIVERSAS, EXCETO LAJES. </t>
  </si>
  <si>
    <t>ACO CA-50, 10,0 MM, VERGALHAO</t>
  </si>
  <si>
    <t>88830 SINAPI MT 2018</t>
  </si>
  <si>
    <t xml:space="preserve">BETONEIRA CAPACIDADE NOMINAL DE 400 L, CAPACIDADE DE MISTURA 280 L, MOTOR ELÉTRICO TRIFÁSICO POTÊNCIA DE 2 CV, SEM CARREGADOR - CHP DIURNO. </t>
  </si>
  <si>
    <t xml:space="preserve">BETONEIRA CAPACIDADE NOMINAL DE 400 L, CAPACIDADE DE MISTURA 280 L, MOTOR ELÉTRICO TRIFÁSICO POTÊNCIA DE 2 CV, SEM CARREGADOR - DEPRECIAÇÃO. </t>
  </si>
  <si>
    <t xml:space="preserve">BETONEIRA CAPACIDADE NOMINAL DE 400 L, CAPACIDADE DE MISTURA 280 L, MOTOR ELÉTRICO TRIFÁSICO POTÊNCIA DE 2 CV, SEM CARREGADOR - JUROS. </t>
  </si>
  <si>
    <t xml:space="preserve">BETONEIRA CAPACIDADE NOMINAL DE 400 L, CAPACIDADE DE MISTURA 280 L, MOTOR ELÉTRICO TRIFÁSICO POTÊNCIA DE 2 CV, SEM CARREGADOR - MANUTENÇÃO. </t>
  </si>
  <si>
    <t xml:space="preserve">BETONEIRA CAPACIDADE NOMINAL DE 400 L, CAPACIDADE DE MISTURA 280 L, MOTOR ELÉTRICO TRIFÁSICO POTÊNCIA DE 2 CV, SEM CARREGADOR - MATERIAIS NA OPERAÇÃO. </t>
  </si>
  <si>
    <t>88826 SINAPI MT 2018</t>
  </si>
  <si>
    <t>BETONEIRA, CAPACIDADE NOMINAL 400 L, CAPACIDADE DE MISTURA  280L, MOTOR ELETRICO TRIFASICO 220/380V, POTENCIA 2CV, EXCLUSO CARREGADOR</t>
  </si>
  <si>
    <t>88827 SINAPI MT 2018</t>
  </si>
  <si>
    <t>BETONEIRA CAPACIDADE NOMINAL DE 400 L, CAPACIDADE DE MISTURA 280 L, MOTOR ELÉTRICO TRIFÁSICO POTÊNCIA DE 2 CV, SEM CARREGADOR - JUROS</t>
  </si>
  <si>
    <t>BETONEIRA, CAPACIDADE NOMINAL 400 L, CAPACIDADE DE MISTURA  280L, MOTOR ELETRICO TRIFASICO 220/380V, POTENCIA 4CV, EXCLUSO CARREGADOR</t>
  </si>
  <si>
    <t>88828 SINAPI MT 2018</t>
  </si>
  <si>
    <t>BETONEIRA CAPACIDADE NOMINAL DE 400 L, CAPACIDADE DE MISTURA 280 L, MOTOR ELÉTRICO TRIFÁSICO POTÊNCIA DE 2 CV, SEM CARREGADOR - MANUTENÇÃO</t>
  </si>
  <si>
    <t>88829 SINAPI MT 2018</t>
  </si>
  <si>
    <t>BETONEIRA CAPACIDADE NOMINAL DE 400 L, CAPACIDADE DE MISTURA 280 L, MOTOR ELÉTRICO TRIFÁSICO POTÊNCIA DE 2 CV, SEM CARREGADOR - MATERIAIS NA OPERAÇÃO</t>
  </si>
  <si>
    <t>88831 SINAPI MT 2018</t>
  </si>
  <si>
    <t xml:space="preserve">BETONEIRA CAPACIDADE NOMINAL DE 400 L, CAPACIDADE DE MISTURA 280 L, MOTOR ELÉTRICO TRIFÁSICO POTÊNCIA DE 2 CV, SEM CARREGADOR - CHI DIURNO. </t>
  </si>
  <si>
    <t>GUINCHO ELÉTRICO DE COLUNA, CAPACIDADE 400 KG, COM MOTO FREIO, MOTOR TRIFÁSICO DE 1,25 CV - CHP DIURNO.</t>
  </si>
  <si>
    <t>88295</t>
  </si>
  <si>
    <t>OPERADOR DE GUINCHO COM ENCARGOS COMPLEMENTARES</t>
  </si>
  <si>
    <t>93277</t>
  </si>
  <si>
    <t>GUINCHO ELÉTRICO DE COLUNA, CAPACIDADE 400 KG, COM MOTO FREIO, MOTOR TRIFÁSICO DE 1,25 CV - DEPRECIAÇÃO. AF_03/2016</t>
  </si>
  <si>
    <t>93278</t>
  </si>
  <si>
    <t>GUINCHO ELÉTRICO DE COLUNA, CAPACIDADE 400 KG, COM MOTO FREIO, MOTOR TRIFÁSICO DE 1,25 CV - JUROS. AF_03/2016</t>
  </si>
  <si>
    <t>93279</t>
  </si>
  <si>
    <t>GUINCHO ELÉTRICO DE COLUNA, CAPACIDADE 400 KG, COM MOTO FREIO, MOTOR TRIFÁSICO DE 1,25 CV - MANUTENÇÃO. AF_03/2016</t>
  </si>
  <si>
    <t>93280</t>
  </si>
  <si>
    <t>GUINCHO ELÉTRICO DE COLUNA, CAPACIDADE 400 KG, COM MOTO FREIO, MOTOR TRIFÁSICO DE 1,25 CV - MATERIAIS NA OPERAÇÃO. AF_03/2016</t>
  </si>
  <si>
    <t>88295 SINAPI MT 05/2018</t>
  </si>
  <si>
    <t>OPERADOR DE GUINCHO</t>
  </si>
  <si>
    <t>CURSO DE CAPACITAÇÃO PARA OPERADOR DE GUINCHO (ENCARGOS COMPLEMENTARES) - HORISTA</t>
  </si>
  <si>
    <t>95358 SINAPI MT 05/2018</t>
  </si>
  <si>
    <t>CLASS</t>
  </si>
  <si>
    <t xml:space="preserve">GUINCHO ELÉTRICO DE COLUNA, CAPACIDADE 400 KG, COM MOTO FREIO, MOTOR TRIFÁSICO DE 1,25 CV - DEPRECIAÇÃO. </t>
  </si>
  <si>
    <t>36487</t>
  </si>
  <si>
    <t>GUINCHO ELETRICO DE COLUNA, CAPACIDADE 400 KG, COM MOTO FREIO, MOTOR TRIFASICO DE 1,25 CV</t>
  </si>
  <si>
    <t xml:space="preserve">GUINCHO ELÉTRICO DE COLUNA, CAPACIDADE 400 KG, COM MOTO FREIO, MOTOR TRIFÁSICO DE 1,25 CV - JUROS. </t>
  </si>
  <si>
    <t xml:space="preserve">GUINCHO ELÉTRICO DE COLUNA, CAPACIDADE 400 KG, COM MOTO FREIO, MOTOR TRIFÁSICO DE 1,25 CV - MANUTENÇÃO. </t>
  </si>
  <si>
    <t xml:space="preserve">GUINCHO ELÉTRICO DE COLUNA, CAPACIDADE 400 KG, COM MOTO FREIO, MOTOR TRIFÁSICO DE 1,25 CV - MATERIAIS NA OPERAÇÃO. </t>
  </si>
  <si>
    <t>93282 SINAPI MT 2018</t>
  </si>
  <si>
    <t>GUINCHO ELÉTRICO DE COLUNA, CAPACIDADE 400 KG, COM MOTO FREIO, MOTOR TRIFÁSICO DE 1,25 CV - CHI DIURNO.</t>
  </si>
  <si>
    <t>95385 SINAPI MT 05/2018</t>
  </si>
  <si>
    <t>CURSO DE CAPACITAÇÃO PARA TELHADISTA (ENCARGOS COMPLEMENTARES) - HORISTA</t>
  </si>
  <si>
    <t>TELHADOR</t>
  </si>
  <si>
    <t>95309 SINAPI MT 05/2018</t>
  </si>
  <si>
    <t>CURSO DE CAPACITAÇÃO PARA AJUDANTE DE CARPINTEIRO (ENCARGOS COMPLEMENTARES) - HORISTA</t>
  </si>
  <si>
    <t>CARPINTEIRO AUXILIAR</t>
  </si>
  <si>
    <t>95372 SINAPI MT 05/2018</t>
  </si>
  <si>
    <t>CURSO DE CAPACITAÇÃO PARA PINTOR (ENCARGOS COMPLEMENTARES) - HORISTA</t>
  </si>
  <si>
    <t>PINTOR</t>
  </si>
  <si>
    <t>95316 SINAPI MT 05/2018</t>
  </si>
  <si>
    <t>CURSO DE CAPACITAÇÃO PARA AUXILIAR DE ELETRICISTA (ENCARGOS COMPLEMENTARES) - HORISTA</t>
  </si>
  <si>
    <t>AJUDANTE DE ELETRICISTA</t>
  </si>
  <si>
    <t>95332 SINAPI MT 05/2018</t>
  </si>
  <si>
    <t>CURSO DE CAPACITAÇÃO PARA ELETRICISTA (ENCARGOS COMPLEMENTARES) - HORISTA</t>
  </si>
  <si>
    <t>ELETRICISTA</t>
  </si>
  <si>
    <t>95317 SINAPI MT 05/2018</t>
  </si>
  <si>
    <t>CURSO DE CAPACITAÇÃO PARA AUXILIAR DE ENCANADOR OU BOMBEIRO HIDRÁULICO (ENCARGOS COMPLEMENTARES) - HORISTA</t>
  </si>
  <si>
    <t>AUXILIAR DE ENCANADOR OU BOMBEIRO HIDRÁULICO</t>
  </si>
  <si>
    <t>95335 SINAPI MT 05/2018</t>
  </si>
  <si>
    <t>CURSO DE CAPACITAÇÃO PARA ENCANADOR OU BOMBEIRO HIDRÁULICO (ENCARGOS COMPLEMENTARES) - HORISTA</t>
  </si>
  <si>
    <t>ENCANADOR OU BOMBEIRO HIDRÁULICO</t>
  </si>
  <si>
    <t>Código:   91946 SINAPI MT</t>
  </si>
  <si>
    <t>Descrição:</t>
  </si>
  <si>
    <t xml:space="preserve">SUPORTE PARAFUSADO COM PLACA DE ENCAIXE 4" X 2" MÉDIO (1,30 M DO PISO) PARA PONTO ELÉTRICO - FORNECIMENTO E INSTALAÇÃO. </t>
  </si>
  <si>
    <t>UND</t>
  </si>
  <si>
    <t>38094</t>
  </si>
  <si>
    <t>ESPELHO / PLACA DE 3 POSTOS 4" X 2", PARA INSTALACAO DE TOMADAS E INTERRUPTORES</t>
  </si>
  <si>
    <t>38099</t>
  </si>
  <si>
    <t>SUPORTE DE FIXACAO PARA ESPELHO / PLACA 4" X 2", PARA 3 MODULOS, PARA INSTALACAO DE TOMADAS E INTERRUPTORES (SOMENTE SUPORTE)</t>
  </si>
  <si>
    <t>Código:   91958 SINAPI MT</t>
  </si>
  <si>
    <t xml:space="preserve">INTERRUPTOR SIMPLES (2 MÓDULOS), 10A/250V, SEM SUPORTE E SEM PLACA - FORNECIMENTO E INSTALAÇÃO. </t>
  </si>
  <si>
    <t>38112</t>
  </si>
  <si>
    <t>INTERRUPTOR SIMPLES 10A, 250V (APENAS MODULO)</t>
  </si>
  <si>
    <t>Código:   91994 SINAPI MT</t>
  </si>
  <si>
    <t xml:space="preserve">TOMADA MÉDIA DE EMBUTIR (1 MÓDULO), 2P+T 10 A, INCLUINDO SUPORTE E PLACA - FORNECIMENTO E INSTALAÇÃO. </t>
  </si>
  <si>
    <t>38101</t>
  </si>
  <si>
    <t>TOMADA 2P+T 10A, 250V  (APENAS MODULO)</t>
  </si>
  <si>
    <t>Código:   88241 SINAPI MT</t>
  </si>
  <si>
    <t>AJUDANTE DE OPERAÇÃO EM GERAL COM ENCARGOS COMPLEMENTARES</t>
  </si>
  <si>
    <t>88236</t>
  </si>
  <si>
    <t>95311</t>
  </si>
  <si>
    <t>88262 SINAPI MT 05/2018</t>
  </si>
  <si>
    <t>CURSO DE CAPACITAÇÃO PARA CARPINTEIRO (ENCARGOS COMPLEMENTARES) - HORISTA</t>
  </si>
  <si>
    <t>88316 SINAPI MT 05/2018</t>
  </si>
  <si>
    <t>88283 SINAPI MT 05/2018</t>
  </si>
  <si>
    <t>MOTORISTA DE CAMINHÃO E CARRETA COM ENCARGOS COMPLEMENTARES</t>
  </si>
  <si>
    <t xml:space="preserve">MOTORISTA DE CAMINHÃO E CARRETA </t>
  </si>
  <si>
    <t>CURSO DE CAPACITAÇÃO PARA MOTORISTA DE CAMINHÃO E CARRETA (ENCARGOS COMPLEMENTARES) - HORISTA</t>
  </si>
  <si>
    <t>88281 SINAPI MT 05/2018</t>
  </si>
  <si>
    <t xml:space="preserve">MOTORISTA DE CAMINHÃO BASCULANTE </t>
  </si>
  <si>
    <t>88309 SINAPI MT 05/2018</t>
  </si>
  <si>
    <t>88245 SINAPI MT  05/2018</t>
  </si>
  <si>
    <t>88238 SINAPI MT  05/2018</t>
  </si>
  <si>
    <t>88239 SINAPI MT  05/2018</t>
  </si>
  <si>
    <t>88323 SINAPI MT  05/2018</t>
  </si>
  <si>
    <t>88310 SINAPI MT  05/2018</t>
  </si>
  <si>
    <t xml:space="preserve">ELETRICISTA </t>
  </si>
  <si>
    <t xml:space="preserve">AJUDANTE DE ELETRICISTA </t>
  </si>
  <si>
    <t>88248 SINAPI MT  05/2018</t>
  </si>
  <si>
    <t>88267 SINAPI MT  05/2018</t>
  </si>
  <si>
    <t>M2</t>
  </si>
  <si>
    <t>COMPOSIÇÕES DE PREÇO</t>
  </si>
  <si>
    <t xml:space="preserve">ARMADOR </t>
  </si>
  <si>
    <t xml:space="preserve">AJUDANTE DE ARMADOR </t>
  </si>
  <si>
    <t>Código:   74209 SINAPI</t>
  </si>
  <si>
    <t>MÊS</t>
  </si>
  <si>
    <t>LOCACAO DE CONTAINER 2,30  X  6,00 M, ALT. 2,50 M, COM 1 SANITARIO, PARA ESCRITORIO, COMPLETO, SEM DIVISORIAS INTERNAS</t>
  </si>
  <si>
    <t>SINAPI 73847/001</t>
  </si>
  <si>
    <t>PECA DE MADEIRA NATIVA/REGIONAL 2,5 X 7,0 CM (SARRAFO-P/FORMA)</t>
  </si>
  <si>
    <t>94962 SINAPI MT 2018</t>
  </si>
  <si>
    <t xml:space="preserve">CONCRETO MAGRO PARA LASTRO, TRAÇO 1:4,5:4,5 (CIMENTO/ AREIA MÉDIA/ BRITA 1)  - PREPARO MECÂNICO COM BETONEIRA 400 L. </t>
  </si>
  <si>
    <t>BETONEIRA CAPACIDADE NOMINAL DE 400 L, CAPACIDADE DE MISTURA 280 L, MOTOR ELÉTRICO TRIFÁSICO POTÊNCIA DE 2 CV, SEM CARREGADOR - CHP DIURNO. AF_10/2014</t>
  </si>
  <si>
    <t>BETONEIRA CAPACIDADE NOMINAL DE 400 L, CAPACIDADE DE MISTURA 280 L, MOTOR ELÉTRICO TRIFÁSICO POTÊNCIA DE 2 CV, SEM CARREGADOR - CHI DIURNO. AF_10/2014</t>
  </si>
  <si>
    <t>CONCRETO MAGRO PARA LASTRO, TRAÇO 1:4,5:4,5 (CIMENTO/ AREIA MÉDIA/ BRITA 1)  - PREPARO MECÂNICO COM BETONEIRA 400 L.</t>
  </si>
  <si>
    <t>Código:   97622  SINAPI</t>
  </si>
  <si>
    <t>ENCANADOR OU BOMBEIRO HIDRAULICO COM ENCARGOS COMPLEMENTARES</t>
  </si>
  <si>
    <t>88256 SINAPI MT  05/2018</t>
  </si>
  <si>
    <t>AZULEJISTA OU LADRILHISTA</t>
  </si>
  <si>
    <t>CURSO DE CAPACITAÇÃO PARA AZULEJISTA OU LADRILHISTA (ENCARGOS COMPLEMENTARES) - HORISTA</t>
  </si>
  <si>
    <t>95324 SINAPI MT 05/2018</t>
  </si>
  <si>
    <t>88323  SINAPI MT  05/2018</t>
  </si>
  <si>
    <t>Código:   3R 23 13 00 00 35 20 02 11  TCPO</t>
  </si>
  <si>
    <t>Código:   86932  SINAPI</t>
  </si>
  <si>
    <t>Código:   86915  SINAPI</t>
  </si>
  <si>
    <t>Código:   86905  SINAPI</t>
  </si>
  <si>
    <t>PISOS, RODAPÉS E SOLEIRAS</t>
  </si>
  <si>
    <t>Código:   3R 23 14 00 00 39 10 01 10  TCPO</t>
  </si>
  <si>
    <t>Código:   15.002.0080-A  EMOP</t>
  </si>
  <si>
    <t>COMP OK</t>
  </si>
  <si>
    <t>337</t>
  </si>
  <si>
    <t>ARAME RECOZIDO 18 BWG, 1,25 MM (0,01 KG/M)</t>
  </si>
  <si>
    <t>88262</t>
  </si>
  <si>
    <t>CAMINHÃO BASCULANTE 6 M3, PESO BRUTO TOTAL 16.000 KG, CARGA ÚTIL MÁXIMA 13.071 KG, DISTÂNCIA ENTRE EIXOS 4,80 M, POTÊNCIA 230 CV INCLUSIVE CAÇAMBA METÁLICA - CHI DIURNO</t>
  </si>
  <si>
    <t>4720</t>
  </si>
  <si>
    <t>PEDRA BRITADA N. 0, OU PEDRISCO (4,8 A 9,5 MM) POSTO PEDREIRA/FORNECEDOR, SEM FRETE</t>
  </si>
  <si>
    <t>88309</t>
  </si>
  <si>
    <t>91533</t>
  </si>
  <si>
    <t xml:space="preserve">COMPACTADOR DE SOLOS DE PERCUSSÃO (SOQUETE) COM MOTOR A GASOLINA 4 TEMPOS, POTÊNCIA 4 CV - CHP DIURNO. </t>
  </si>
  <si>
    <t>91534</t>
  </si>
  <si>
    <t xml:space="preserve">RASGO EM ALVENARIA PARA ELETRODUTOS COM DIAMETROS MENORES OU IGUAIS A 40 MM. </t>
  </si>
  <si>
    <t>QUEBRA EM ALVENARIA PARA INSTALAÇÃO DE CAIXA DE TOMADA (4X4 OU 4X2).</t>
  </si>
  <si>
    <t xml:space="preserve">CHUMBAMENTO LINEAR EM ALVENARIA PARA RAMAIS/DISTRIBUIÇÃO COM DIÂMETROS MENORES OU IGUAIS A 40 MM. </t>
  </si>
  <si>
    <t xml:space="preserve">ELETRODUTO FLEXÍVEL CORRUGADO, PVC, DN 20 MM (1/2"), PARA CIRCUITOS TERMINAIS, INSTALADO EM LAJE - FORNECIMENTO E INSTALAÇÃO. </t>
  </si>
  <si>
    <t xml:space="preserve">ELETRODUTO FLEXÍVEL CORRUGADO, PVC, DN 20 MM (1/2"), PARA CIRCUITOS TERMINAIS, INSTALADO EM PAREDE - FORNECIMENTO E INSTALAÇÃO. </t>
  </si>
  <si>
    <t xml:space="preserve">CABO DE COBRE FLEXÍVEL ISOLADO, 1,5 MM², ANTI-CHAMA 450/750 V, PARA CIRCUITOS TERMINAIS - FORNECIMENTO E INSTALAÇÃO. </t>
  </si>
  <si>
    <t xml:space="preserve">CABO DE COBRE FLEXÍVEL ISOLADO, 2,5 MM², ANTI-CHAMA 450/750 V, PARA CIRCUITOS TERMINAIS - FORNECIMENTO E INSTALAÇÃO. </t>
  </si>
  <si>
    <t xml:space="preserve">CAIXA OCTOGONAL 3" X 3", PVC, INSTALADA EM LAJE - FORNECIMENTO E INSTALAÇÃO. </t>
  </si>
  <si>
    <t xml:space="preserve">CAIXA RETANGULAR 4" X 2" MÉDIA (1,30 M DO PISO), PVC, INSTALADA EM PAREDE - FORNECIMENTO E INSTALAÇÃO. </t>
  </si>
  <si>
    <t>39017</t>
  </si>
  <si>
    <t>ESPACADOR / DISTANCIADOR CIRCULAR COM ENTRADA LATERAL, EM PLASTICO, PARA VERGALHAO *4,2 A 12,5* MM, COBRIMENTO 20 MM</t>
  </si>
  <si>
    <t>88245</t>
  </si>
  <si>
    <t>LASTRO DE CONCRETO MAGRO, APLICADO EM BLOCOS DE COROAMENTO OU SAPATAS.  (sapatas)</t>
  </si>
  <si>
    <t>92794</t>
  </si>
  <si>
    <t>1.4</t>
  </si>
  <si>
    <t>Demolições e Retiradas</t>
  </si>
  <si>
    <t>2.3</t>
  </si>
  <si>
    <t>CARGA MANUAL DE ENTULHO EM CAMINHAO BASCULANTE 6M3 (bota fora)</t>
  </si>
  <si>
    <t>2.3.1</t>
  </si>
  <si>
    <t>2.3.2</t>
  </si>
  <si>
    <t>2.3.3</t>
  </si>
  <si>
    <t>2.3.4</t>
  </si>
  <si>
    <t>2.3.5</t>
  </si>
  <si>
    <t>SINAPI  74157/004</t>
  </si>
  <si>
    <r>
      <t xml:space="preserve">ARMAÇÃO DE BLOCO, </t>
    </r>
    <r>
      <rPr>
        <sz val="11"/>
        <color rgb="FFFF0000"/>
        <rFont val="Arial"/>
        <family val="2"/>
      </rPr>
      <t>VIGA BALDRAME</t>
    </r>
    <r>
      <rPr>
        <sz val="11"/>
        <color theme="1"/>
        <rFont val="Arial"/>
        <family val="2"/>
      </rPr>
      <t xml:space="preserve"> OU SAPATA UTILIZANDO AÇO CA-50 DE 10MM - MONTAGEM. (sapatas)</t>
    </r>
  </si>
  <si>
    <t>ARMAÇÃO DE BLOCO, VIGA BALDRAME OU SAPATA UTILIZANDO AÇO CA-50 DE 8MM - MONTAGEM.   (sapatas)</t>
  </si>
  <si>
    <t>SINAPI 97622</t>
  </si>
  <si>
    <t xml:space="preserve">Descrição:   </t>
  </si>
  <si>
    <t>REMOCAO DE ESQUADRIAS DE MADEIRA INCLUSIVE BATENTES</t>
  </si>
  <si>
    <t>CDHU SP     401226</t>
  </si>
  <si>
    <t>RETIRADA E REASSENTAMENTO DE LAVATORIO, INCLUSIVE MATERIAIS NECESSARIOS</t>
  </si>
  <si>
    <t>15.003.0361-A  EMOP RJ</t>
  </si>
  <si>
    <t>DEMOLIÇÃO DE REVESTIMENTO CERAMICO, DE FORMA MANUAL, SEM REAPROVEITAMENTO</t>
  </si>
  <si>
    <t>97633   SINAPI</t>
  </si>
  <si>
    <t>DEMOLIÇÃO DE PISO CERÂMICO INCLUSIVE RETIRADA DA CAMADA DE REGULARIZAÇÃO SOBRE LASTRO DE CONCRETO COM ESPESSURA DE ATÉ 3CM</t>
  </si>
  <si>
    <t>3R 03 42 00 00 00 00 06 13  TCPO</t>
  </si>
  <si>
    <t xml:space="preserve">Descrição:  </t>
  </si>
  <si>
    <t xml:space="preserve">REMOÇÃO DE TELHAS, DE FIBROCIMENTO, METÁLICA E CERÂMICA, DE FORMA MANUAL, SEM REAPROVEITAMENTO. </t>
  </si>
  <si>
    <t>97647  SINAPI</t>
  </si>
  <si>
    <t>REMOÇÃO DE TRAMA DE MADEIRA PARA COBERTURA, DE FORMA MANUAL, SEM REAPROVEITAMENTO</t>
  </si>
  <si>
    <t>97650  SINAPI</t>
  </si>
  <si>
    <t xml:space="preserve">Descrição:                                         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</si>
  <si>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</si>
  <si>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</si>
  <si>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</si>
  <si>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</si>
  <si>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</si>
  <si>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</si>
  <si>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</si>
  <si>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</si>
  <si>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</si>
  <si>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</si>
  <si>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DEMOLICAO DE ALVENARIA DE BLOCO FURADO, DE FORMA MANUAL,  SEM REAPROVEITAMENTO</t>
  </si>
  <si>
    <t>M²</t>
  </si>
  <si>
    <t>REMOÇÃO DE TESOURAS VÃO MAIOR OU IGUAL A 8,00M</t>
  </si>
  <si>
    <t>REMOÇÃO DE TESOURAS VÃO MENOR QUE 8,00M</t>
  </si>
  <si>
    <t>97651  SINAPI</t>
  </si>
  <si>
    <t>97652  SINAPI</t>
  </si>
  <si>
    <t>97645   SINAPI</t>
  </si>
  <si>
    <t xml:space="preserve">REMOÇÃO DE JANELAS, DE FORMA MANUAL, SEM REAPROVEITAMENTO. </t>
  </si>
  <si>
    <t>FAZER COMP</t>
  </si>
  <si>
    <t>Orçamento Sintético</t>
  </si>
  <si>
    <t xml:space="preserve">Descrição: </t>
  </si>
  <si>
    <t xml:space="preserve"> LASTRO DE CONCRETO MAGRO, APLICADO EM BLOCOS DE COROAMENTO OU SAPATAS. ESPESSURA 5CM</t>
  </si>
  <si>
    <t xml:space="preserve">Descrição:    </t>
  </si>
  <si>
    <t>ARMAÇÃO DE BLOCO, VIGA BALDRAME OU SAPATA UTILIZANDO AÇO CA-50 DE 8 MM - MONTAGEM.</t>
  </si>
  <si>
    <t xml:space="preserve"> ARMAÇÃO DE BLOCO, VIGA BALDRAME OU SAPATA UTILIZANDO AÇO CA-50 DE 10 MM - MONTAGEM.</t>
  </si>
  <si>
    <t xml:space="preserve">92791 SINAPI MT </t>
  </si>
  <si>
    <t xml:space="preserve">92794 SINAPI MT </t>
  </si>
  <si>
    <t xml:space="preserve">92793 SINAPI MT </t>
  </si>
  <si>
    <t xml:space="preserve">95314 SINAPI MT </t>
  </si>
  <si>
    <t xml:space="preserve">CORTE E DOBRA DE AÇO CA-60, DIÂMETRO DE 5,0 MM, UTILIZADO EM ESTRUTURAS DIVERSAS, EXCETO LAJES. </t>
  </si>
  <si>
    <t>ACO CA-60,  5,0 MM, VERGALHAO</t>
  </si>
  <si>
    <t>CARPINTEIRO DE FORMAS , INCLUSIVE ENCARGOS SOCIAIS</t>
  </si>
  <si>
    <t>2692</t>
  </si>
  <si>
    <t>DESMOLDANTE PROTETOR PARA FORMAS DE MADEIRA, DE BASE OLEOSA EMULSIONADA EM AGUA</t>
  </si>
  <si>
    <t>4517</t>
  </si>
  <si>
    <t>5074</t>
  </si>
  <si>
    <t>6189</t>
  </si>
  <si>
    <t>Código:   94965 SINAPI MT</t>
  </si>
  <si>
    <t>88830</t>
  </si>
  <si>
    <t>BETONEIRA CAPACIDADE NOMINAL DE 400 L, CAPACIDADE DE MISTURA 280 L, MOTOR ELÉTRICO TRIFÁSICO POTÊNCIA DE 2 CV, SEM CARREGADOR - CHP DIURNO.</t>
  </si>
  <si>
    <t>BETONEIRA CAPACIDADE NOMINAL DE 400 L, CAPACIDADE DE MISTURA 280 L, MOTOR ELÉTRICO TRIFÁSICO POTÊNCIA DE 2 CV, SEM CARREGADOR - CHI DIURNO.</t>
  </si>
  <si>
    <t xml:space="preserve">CONCRETO FCK = 25MPa, TRAÇO 1:2,3:2,7 (CIMENTO/ AREIA MÉDIA/ BRITA 1)  - PREPARO MECÂNICO COM BETONEIRA 400 L. </t>
  </si>
  <si>
    <t>Código:   74157/004 SINAPI MT</t>
  </si>
  <si>
    <t>90586</t>
  </si>
  <si>
    <t xml:space="preserve">VIBRADOR DE IMERSÃO, DIÂMETRO DE PONTEIRA 45MM, MOTOR ELÉTRICO TRIFÁSICO POTÊNCIA DE 2CV - CHP DIURNO. </t>
  </si>
  <si>
    <t>90586 SINAPI MT 2018</t>
  </si>
  <si>
    <t xml:space="preserve">VIBRADOR DE IMERSÃO, DIÂMETRO DE PONTEIRA 45MM, MOTOR ELÉTRICO TRIFÁSICO POTÊNCIA DE 2 CV - CHP DIURNO. </t>
  </si>
  <si>
    <t>90582</t>
  </si>
  <si>
    <t xml:space="preserve">VIBRADOR DE IMERSÃO, DIÂMETRO DE PONTEIRA 45MM, MOTOR ELÉTRICO TRIFÁSICO POTÊNCIA DE 2 CV - DEPRECIAÇÃO. </t>
  </si>
  <si>
    <t>90583</t>
  </si>
  <si>
    <t xml:space="preserve">VIBRADOR DE IMERSÃO, DIÂMETRO DE PONTEIRA 45MM, MOTOR ELÉTRICO TRIFÁSICO POTÊNCIA DE 2 CV - JUROS. </t>
  </si>
  <si>
    <t>90584</t>
  </si>
  <si>
    <t xml:space="preserve">VIBRADOR DE IMERSÃO, DIÂMETRO DE PONTEIRA 45MM, MOTOR ELÉTRICO TRIFÁSICO POTÊNCIA DE 2 CV - MANUTENÇÃO. </t>
  </si>
  <si>
    <t>90585</t>
  </si>
  <si>
    <t xml:space="preserve">VIBRADOR DE IMERSÃO, DIÂMETRO DE PONTEIRA 45MM, MOTOR ELÉTRICO TRIFÁSICO POTÊNCIA DE 2 CV - MATERIAIS NA OPERAÇÃO. </t>
  </si>
  <si>
    <t>90582 SINAPI MT 2018</t>
  </si>
  <si>
    <t>13896</t>
  </si>
  <si>
    <t>VIBRADOR DE IMERSAO, DIAMETRO DA PONTEIRA DE *45* MM, COM MOTOR ELETRICO TRIFASICO DE 2 HP (2 CV)</t>
  </si>
  <si>
    <t>90583 SINAPI MT 2018</t>
  </si>
  <si>
    <t>VIBRADOR DE IMERSÃO, DIÂMETRO DE PONTEIRA 45MM, MOTOR ELÉTRICO TRIFÁSICO POTÊNCIA DE 2 CV - JUROS</t>
  </si>
  <si>
    <t>90584 SINAPI MT 2018</t>
  </si>
  <si>
    <t>90585 SINAPI MT 2018</t>
  </si>
  <si>
    <t>Código:   90447 SINAPI MT</t>
  </si>
  <si>
    <t>RASGO EM ALVENARIA PARA ELETRODUTOS COM DIAMETROS MENORES OU IGUAIS A 40 MM.</t>
  </si>
  <si>
    <t>Código:   90456 SINAPI MT</t>
  </si>
  <si>
    <t>Código:   90466 SINAPI MT</t>
  </si>
  <si>
    <t xml:space="preserve">ARGAMASSA TRAÇO 1:3 (CIMENTO E AREIA MÉDIA), PREPARO MANUAL. </t>
  </si>
  <si>
    <t>Código:   88629 SINAPI MT</t>
  </si>
  <si>
    <t>ARGAMASSA TRAÇO 1:3 (CIMENTO E AREIA MÉDIA), PREPARO MANUAL.</t>
  </si>
  <si>
    <t>SERVENTE ENCARGOS COMPLEMENTARES</t>
  </si>
  <si>
    <t>Código:   91842 SINAPI MT</t>
  </si>
  <si>
    <t>2689</t>
  </si>
  <si>
    <t>ELETRODUTO PVC FLEXIVEL CORRUGADO, COR AMARELA, DE 20 MM</t>
  </si>
  <si>
    <t>34562</t>
  </si>
  <si>
    <t>ARAME RECOZIDO 16 BWG, 1,60 MM (0,016 KG/M)</t>
  </si>
  <si>
    <t>Código:   91852 SINAPI MT</t>
  </si>
  <si>
    <t>Código:   91924 SINAPI MT</t>
  </si>
  <si>
    <t>983</t>
  </si>
  <si>
    <t>CABO DE COBRE, RIGIDO, CLASSE 2, ISOLACAO EM PVC/A, ANTICHAMA BWF-B, 1 CONDUTOR, 450/750 V, SECAO NOMINAL 1,5 MM2</t>
  </si>
  <si>
    <t>Código:   91926 SINAPI MT</t>
  </si>
  <si>
    <t>CABO DE COBRE, FLEXIVEL, CLASSE 4 OU 5, ISOLACAO EM PVC/A, ANTICHAMA BWF-B, 1 CONDUTOR, 450/750 V, SECAO NOMINAL 2,5 MM2</t>
  </si>
  <si>
    <t>Código:   91937 SINAPI MT</t>
  </si>
  <si>
    <t>1871</t>
  </si>
  <si>
    <t>CAIXA OCTOGONAL DE FUNDO MOVEL, EM PVC, DE 3" X 3", PARA ELETRODUTO FLEXIVEL CORRUGADO</t>
  </si>
  <si>
    <t>Código:   91940 SINAPI MT</t>
  </si>
  <si>
    <t>1872</t>
  </si>
  <si>
    <t>CAIXA DE PASSAGEM, EM PVC, DE 4" X 2", PARA ELETRODUTO FLEXIVEL CORRUGADO</t>
  </si>
  <si>
    <t>SUPORTE PARAFUSADO COM PLACA DE ENCAIXE 4" X 2" MÉDIO (1,30 M DO PISO) PARA PONTO ELÉTRICO - FORNECIMENTO E INSTALAÇÃO.</t>
  </si>
  <si>
    <t>SINAPI  93141</t>
  </si>
  <si>
    <t xml:space="preserve">Código:   93141 SINAPI </t>
  </si>
  <si>
    <t xml:space="preserve">PONTO DE TOMADA RESIDENCIAL INCLUINDO TOMADA 10A/250V, CAIXA ELÉTRICA, ELETRODUTO, CABO, RASGO, QUEBRA E CHUMBAMENTO. </t>
  </si>
  <si>
    <t>TOMADA MÉDIA DE EMBUTIR (1 MÓDULO), 2P+T 10 A, INCLUINDO SUPORTE E PLACA - FORNECIMENTO E INSTALAÇÃO.</t>
  </si>
  <si>
    <t>Código:   91996 SINAPI MT</t>
  </si>
  <si>
    <t xml:space="preserve">TOMADA MÉDIA DE EMBUTIR (1 MÓDULO), 2P+T 10A, INCLUINDO SUPORTE E PLACA - FORNECIMENTO E INSTALAÇÃO. </t>
  </si>
  <si>
    <t>91946</t>
  </si>
  <si>
    <t>91994</t>
  </si>
  <si>
    <t>TOMADA MÉDIA DE EMBUTIR (1 MÓDULO), 2P+T 10 A, SEM SUPORTE E SEM PLACA - FORNECIMENTO E INSTALAÇÃO.</t>
  </si>
  <si>
    <t>SINAPI  93143</t>
  </si>
  <si>
    <r>
      <t xml:space="preserve">PONTO DE TOMADA </t>
    </r>
    <r>
      <rPr>
        <b/>
        <sz val="11"/>
        <color theme="1"/>
        <rFont val="Arial"/>
        <family val="2"/>
      </rPr>
      <t>10A</t>
    </r>
    <r>
      <rPr>
        <sz val="11"/>
        <color theme="1"/>
        <rFont val="Arial"/>
        <family val="2"/>
      </rPr>
      <t>/250V (1 MÓDULO), CAIXA ELÉTRICA, ELETRODUTO, CABO, RASGO, QUEBRA E CHUMBAMENTO.</t>
    </r>
  </si>
  <si>
    <r>
      <t xml:space="preserve">PONTO DE TOMADA </t>
    </r>
    <r>
      <rPr>
        <b/>
        <sz val="11"/>
        <color theme="1"/>
        <rFont val="Arial"/>
        <family val="2"/>
      </rPr>
      <t>20A</t>
    </r>
    <r>
      <rPr>
        <sz val="11"/>
        <color theme="1"/>
        <rFont val="Arial"/>
        <family val="2"/>
      </rPr>
      <t>/250V (1 MÓDULO), CAIXA ELÉTRICA, ELETRODUTO, CABO, RASGO, QUEBRA E CHUMBAMENTO.</t>
    </r>
  </si>
  <si>
    <t xml:space="preserve"> PONTO DE CONSUMO TERMINAL DE ÁGUA FRIA (SUBRAMAL) COM TUBULAÇÃO DE PVC, DN 25 MM, INSTALADO EM RAMAL DE ÁGUA, INCLUSOS RASGO E CHUMBAMENTO EM ALVENARIA.</t>
  </si>
  <si>
    <t>Código:   89957  SINAPI</t>
  </si>
  <si>
    <t xml:space="preserve">Código:   93143 SINAPI </t>
  </si>
  <si>
    <t xml:space="preserve">PONTO DE TOMADA RESIDENCIAL INCLUINDO TOMADA 20A/250V, CAIXA ELÉTRICA, ELETRODUTO, CABO, RASGO, QUEBRA E CHUMBAMENTO. </t>
  </si>
  <si>
    <t>TOMADA MÉDIA DE EMBUTIR (1 MÓDULO), 2P+T 20A, INCLUINDO SUPORTE E PLACA - FORNECIMENTO E INSTALAÇÃO.</t>
  </si>
  <si>
    <t>Código:   91997 SINAPI MT</t>
  </si>
  <si>
    <t xml:space="preserve">TOMADA MÉDIA DE EMBUTIR (1 MÓDULO), 2P+T 20A, INCLUINDO SUPORTE E PLACA - FORNECIMENTO E INSTALAÇÃO. </t>
  </si>
  <si>
    <t>TOMADA MÉDIA DE EMBUTIR (1 MÓDULO), 2P+T 20 A, SEM SUPORTE E SEM PLACA - FORNECIMENTO E INSTALAÇÃO.</t>
  </si>
  <si>
    <t>Código:   91995 SINAPI MT</t>
  </si>
  <si>
    <t>TOMADA MÉDIA DE EMBUTIR (1 MÓDULO), 2P+T 20 A, SEM SUPORTE E SEM PLACA - FORNECIMENTO E INSTALAÇÃO. AF_12/2015</t>
  </si>
  <si>
    <t>38102</t>
  </si>
  <si>
    <t>TOMADA 2P+T 20A, 250V  (APENAS MODULO)</t>
  </si>
  <si>
    <t>PONTO DE ILUMINAÇÃO INCLUINDO INTERRUPTOR SIMPLES, CAIXA ELÉTRICA, ELETRODUTO, CABO, RASGO, QUEBRA E CHUMBAMENTO (EXCLUINDO LUMINÁRIA E LÂMPADA).</t>
  </si>
  <si>
    <t xml:space="preserve">Código:   93128 SINAPI </t>
  </si>
  <si>
    <t xml:space="preserve">PONTO DE ILUMINAÇÃO RESIDENCIAL INCLUINDO INTERRUPTOR SIMPLES, CAIXA ELÉTRICA, ELETRODUTO, CABO, RASGO, QUEBRA E CHUMBAMENTO (EXCLUINDO LUMINÁRIA E LÂMPADA). </t>
  </si>
  <si>
    <t>SINAPI  93128</t>
  </si>
  <si>
    <t xml:space="preserve">INTERRUPTOR SIMPLES (1 MÓDULO), 10A/250V, INCLUINDO SUPORTE E PLACA - FORNECIMENTO E INSTALAÇÃO. </t>
  </si>
  <si>
    <t>Código:   91953 SINAPI MT</t>
  </si>
  <si>
    <t xml:space="preserve">INTERRUPTOR SIMPLES (1 MÓDULO), 10A/250V, SEM SUPORTE E SEM PLACA - FORNECIMENTO E INSTALAÇÃO. </t>
  </si>
  <si>
    <t>Código:   91952 SINAPI MT</t>
  </si>
  <si>
    <t>INTERRUPTOR SIMPLES (1 MÓDULO), 10A/250V, SEM SUPORTE E SEM PLACA - FORNECIMENTO E INSTALAÇÃO.</t>
  </si>
  <si>
    <t>Código:   97593</t>
  </si>
  <si>
    <t xml:space="preserve">LUMINÁRIA TIPO SPOT, DE SOBREPOR, COM 1 LÂMPADA DE 15 W - FORNECIMENTO E INSTALAÇÃO. </t>
  </si>
  <si>
    <t>12266</t>
  </si>
  <si>
    <t>LUMINARIA SPOT DE SOBREPOR EM ALUMINIO COM ALETA PLASTICA PARA 1 LAMPADA, BASE E27, POTENCIA MAXIMA 40/60 W (NAO INCLUI LAMPADA)</t>
  </si>
  <si>
    <t>SINAPI  97593</t>
  </si>
  <si>
    <t>SINAPI 97592</t>
  </si>
  <si>
    <t xml:space="preserve">LUMINÁRIA TIPO PLAFON, DE SOBREPOR, COM 1 LÂMPADA LED - FORNECIMENTO E INSTALAÇÃO. </t>
  </si>
  <si>
    <t>Código:   97592</t>
  </si>
  <si>
    <t>LUMINARIA LED PLAFON REDONDO DE SOBREPOR BIVOLT 12/13 W,  D = *17* CM</t>
  </si>
  <si>
    <t xml:space="preserve">PONTO DE CONSUMO TERMINAL DE ÁGUA FRIA (SUBRAMAL) COM TUBULAÇÃO DE PVC, DN 25 MM, INSTALADO EM RAMAL DE ÁGUA, INCLUSOS RASGO E CHUMBAMENTO EM ALVENARIA. </t>
  </si>
  <si>
    <t xml:space="preserve">TUBO, PVC, SOLDÁVEL, DN 25MM, INSTALADO EM RAMAL OU SUB-RAMAL DE ÁGUA - FORNECIMENTO E INSTALAÇÃO. </t>
  </si>
  <si>
    <t xml:space="preserve">JOELHO 90 GRAUS, PVC, SOLDÁVEL, DN 25MM, INSTALADO EM RAMAL OU SUB-RAMAL DE ÁGUA - FORNECIMENTO E INSTALAÇÃO. </t>
  </si>
  <si>
    <t xml:space="preserve">JOELHO 90 GRAUS COM BUCHA DE LATÃO, PVC, SOLDÁVEL, DN 25MM, X 3/4? INSTALADO EM RAMAL OU SUB-RAMAL DE ÁGUA - FORNECIMENTO E INSTALAÇÃO. </t>
  </si>
  <si>
    <t xml:space="preserve">TE, PVC, SOLDÁVEL, DN 25MM, INSTALADO EM RAMAL OU SUB-RAMAL DE ÁGUA - FORNECIMENTO E INSTALAÇÃO. </t>
  </si>
  <si>
    <t xml:space="preserve">RASGO EM ALVENARIA PARA RAMAIS/ DISTRIBUIÇÃO COM DIAMETROS MENORES OU IGUAIS A 40 MM. </t>
  </si>
  <si>
    <t>9868</t>
  </si>
  <si>
    <t>TUBO PVC, SOLDAVEL, DN 25 MM, AGUA FRIA (NBR-5648)</t>
  </si>
  <si>
    <t>LIXA D'AGUA EM FOLHA, GRAO 100</t>
  </si>
  <si>
    <t>Código:  89356 SINAPI MT</t>
  </si>
  <si>
    <t>Código:  89362  SINAPI MT</t>
  </si>
  <si>
    <t>3529</t>
  </si>
  <si>
    <t>JOELHO PVC, SOLDAVEL, 90 GRAUS, 25 MM, PARA AGUA FRIA PREDIAL</t>
  </si>
  <si>
    <t>Código:  89366  SINAPI MT</t>
  </si>
  <si>
    <t xml:space="preserve">JOELHO 90 GRAUS COM BUCHA DE LATÃO, PVC, SOLDÁVEL, DN 25MM, X 3/4 INSTALADO EM RAMAL OU SUB-RAMAL DE ÁGUA - FORNECIMENTO E INSTALAÇÃO. </t>
  </si>
  <si>
    <t>JOELHO PVC, SOLDAVEL, COM BUCHA DE LATAO, 90 GRAUS, 25 MM X 3/4", PARA AGUA FRIA PREDIAL</t>
  </si>
  <si>
    <t>Código:  89395  SINAPI MT</t>
  </si>
  <si>
    <t>7139</t>
  </si>
  <si>
    <t>TE SOLDAVEL, PVC, 90 GRAUS, 25 MM, PARA AGUA FRIA PREDIAL (NBR 5648)</t>
  </si>
  <si>
    <t>Código:   90443 SINAPI MT</t>
  </si>
  <si>
    <t>REGISTRO GAVETA BRUTO EM LATAO FORJADO, BITOLA 1 " (REF 1509)</t>
  </si>
  <si>
    <t>REGISTRO GAVETA BRUTO EM LATAO FORJADO, BITOLA 1 1/2 " (REF 1509)</t>
  </si>
  <si>
    <t>ADESIVO PLASTICO PARA PVC, BISNAGA COM 75 GR</t>
  </si>
  <si>
    <t>TUBO PVC, SOLDAVEL, DN 32 MM, AGUA FRIA (NBR-5648) 6,00M</t>
  </si>
  <si>
    <t>TUBO PVC, SOLDAVEL, DN 50 MM, PARA AGUA FRIA (NBR-5648) 6,00M</t>
  </si>
  <si>
    <t>ADAPTADOR PVC SOLDAVEL, COM FLANGES LIVRES, 50 MM X 1  1/2", PARA CAIXA D' AGUA</t>
  </si>
  <si>
    <t>TE SOLDAVEL, PVC, 90 GRAUS, 32 MM, PARA AGUA FRIA PREDIAL (NBR 5648)</t>
  </si>
  <si>
    <t>JOELHO PVC, SOLDAVEL, 90 GRAUS, 50 MM, PARA AGUA FRIA PREDIAL</t>
  </si>
  <si>
    <t>JOELHO PVC, SOLDAVEL, 90 GRAUS, 32 MM, PARA AGUA FRIA PREDIAL</t>
  </si>
  <si>
    <t>ADAPTADOR PVC SOLDAVEL CURTO COM BOLSA E ROSCA, 50 MM X1 1/2", PARA AGUA FRIA</t>
  </si>
  <si>
    <t>ADAPTADOR PVC SOLDAVEL CURTO COM BOLSA E ROSCA, 32 MM X 1", PARA AGUA FRIA</t>
  </si>
  <si>
    <t>ADAPTADOR PVC SOLDAVEL, COM FLANGES LIVRES, 32 MM X 1", PARA CAIXA D' AGUA</t>
  </si>
  <si>
    <t>TE DE REDUCAO, PVC, SOLDAVEL, 90 GRAUS, 50 MM X 32 MM, PARA AGUA FRIA PREDIAL</t>
  </si>
  <si>
    <t xml:space="preserve"> ALÇA PARA BARRILETE DE DISTRIBUICAO, DO TIPO CONCENTRADO, SOBALCA PARA BARRILETE DE DISTRIBUICAO, DO TIPO CONCENTRADO, SOBRESERVATORIO DUPLO, INCLUSIVE RAMAIS PARA EXTRAVASOR E LIMPEZA COMPREENDENDO: 5,50M DE TUBO DE PVC 50MM, REGISTROS E CONEXOES. FORNECIMENTO E INSTALAÇÃO</t>
  </si>
  <si>
    <t>CONCRETO MAGRO PARA LASTRO, TRAÇO 1:4,5:4,5 (CIMENTO/ AREIA MÉDIA/ BRITA 1)  - PREPARO MECÂNICO COM BETONEIRA 600 L.</t>
  </si>
  <si>
    <t>LASTRO COM PREPARO DE FUNDO, LARGURA MAIOR OU IGUAL A 1,5 M, COM CAMADA DE BRITA, LANÇAMENTO MANUAL, EM LOCAL COM NÍVEL BAIXO DE INTERFERÊNCIA.</t>
  </si>
  <si>
    <t>PLACA DE OBRA EM CHAPA DE AÇO GALVANIZADO</t>
  </si>
  <si>
    <t>REATERRO MANUAL APILOADO COM SOQUETE</t>
  </si>
  <si>
    <t>CARGA MANUAL DE ENTULHO EM CAMINHÃO BASCULANTE 6M3</t>
  </si>
  <si>
    <t xml:space="preserve">VASO SANITÁRIO SIFONADO COM CAIXA ACOPLADA LOUÇA BRANCA - FORNECIMENTO E INSTALAÇÃO. </t>
  </si>
  <si>
    <t xml:space="preserve">ENGATE FLEXÍVEL EM INOX, 1/2" X 40CM - FORNECIMENTO E INSTALAÇÃO. </t>
  </si>
  <si>
    <t>VASO SANITÁRIO SIFONADO COM CAIXA ACOPLADA LOUÇA BRANCA - PADRÃO MÉDIO, INCLUSO ENGATE FLEXÍVEL EM METAL CROMADO, 1/2? X 40CM - FORNECIMENTO E INSTALAÇÃO.</t>
  </si>
  <si>
    <t>4774</t>
  </si>
  <si>
    <t>6391</t>
  </si>
  <si>
    <t>SOLDA TOPO DESCENDENTE CHANFRADA ESPESSURA=1/4" CHAPA/PERFIL/TUBO ACO COM CONVERSOR DIESEL.</t>
  </si>
  <si>
    <t>SERRALHEIRO COM ENCARGOS COMPLEMENTARES</t>
  </si>
  <si>
    <t>88315  SINAPI MT  05/2018</t>
  </si>
  <si>
    <t xml:space="preserve">SERRALHEIRO </t>
  </si>
  <si>
    <t>CURSO DE CAPACITAÇÃO PARA SERRALHEIRO (ENCARGOS COMPLEMENTARES) - HORISTA</t>
  </si>
  <si>
    <t>95377 SINAPI MT 05/2018</t>
  </si>
  <si>
    <t>SERRALHEIRO</t>
  </si>
  <si>
    <t>6391 SINAPI MT 2018</t>
  </si>
  <si>
    <t>10999</t>
  </si>
  <si>
    <t>ELETRODO REVESTIDO AWS - E6013, DIAMETRO IGUAL A 4,00 MM</t>
  </si>
  <si>
    <t>83765</t>
  </si>
  <si>
    <t>83766</t>
  </si>
  <si>
    <t>88317</t>
  </si>
  <si>
    <t>SOLDADOR COM ENCARGOS COMPLEMENTARES</t>
  </si>
  <si>
    <t xml:space="preserve">GRUPO DE SOLDAGEM COM GERADOR A DIESEL 60 CV PARA SOLDA ELÉTRICA, SOBRE 04 RODAS, COM MOTOR 4 CILINDROS 600 A - CHP DIURNO. </t>
  </si>
  <si>
    <t>GRUPO DE SOLDAGEM COM GERADOR A DIESEL 60 CV PARA SOLDA ELÉTRICA, SOBRE 04 RODAS, COM MOTOR 4 CILINDROS 600 A - CHI DIURNO.</t>
  </si>
  <si>
    <t>83765 SINAPI MT 2018</t>
  </si>
  <si>
    <t>GRUPO DE SOLDAGEM COM GERADOR A DIESEL 60 CV PARA SOLDA ELÉTRICA, SOBRE 04 RODAS, COM MOTOR 4 CILINDROS 600 A - CHP DIURNO.</t>
  </si>
  <si>
    <t>83761</t>
  </si>
  <si>
    <t>83762</t>
  </si>
  <si>
    <t>83763</t>
  </si>
  <si>
    <t>83764</t>
  </si>
  <si>
    <t xml:space="preserve">GRUPO DE SOLDAGEM COM GERADOR A DIESEL 60 CV PARA SOLDA ELÉTRICA, SOBRE 04 RODAS, COM MOTOR 4 CILINDROS 600 A - DEPRECIAÇÃO. </t>
  </si>
  <si>
    <t>GRUPO DE SOLDAGEM COM GERADOR A DIESEL 60 CV PARA SOLDA ELÉTRICA, SOBRE 04 RODAS, COM MOTOR 4 CILINDROS 600 A - MANUTENÇÃO.</t>
  </si>
  <si>
    <t xml:space="preserve">GRUPO DE SOLDAGEM COM GERADOR A DIESEL 60 CV PARA SOLDA ELÉTRICA, SOBRE 04 RODAS, COM MOTOR 4 CILINDROS 600 A - MATERIAIS NA OPERAÇÃO. </t>
  </si>
  <si>
    <t xml:space="preserve">GRUPO DE SOLDAGEM COM GERADOR A DIESEL 60 CV PARA SOLDA ELÉTRICA, SOBRE 04 RODAS, COM MOTOR 4 CILINDROS 600 A - JUROS. </t>
  </si>
  <si>
    <t>83766 SINAPI MT 2018</t>
  </si>
  <si>
    <t>88317 SINAPI MT 05/2018</t>
  </si>
  <si>
    <t xml:space="preserve">SOLDADOR </t>
  </si>
  <si>
    <t>CURSO DE CAPACITAÇÃO PARA SOLDADOR (ENCARGOS COMPLEMENTARES) - HORISTA</t>
  </si>
  <si>
    <t>SOLDADOR</t>
  </si>
  <si>
    <t>95379 SINAPI MT 05/2018</t>
  </si>
  <si>
    <t>83761 SINAPI MT 2018</t>
  </si>
  <si>
    <t>13333</t>
  </si>
  <si>
    <t>GRUPO DE SOLDAGEM C/ GERADOR A DIESEL 60 CV PARA SOLDA ELETRICA, SOBRE 04 RODAS, COM MOTOR 4 CILINDROS</t>
  </si>
  <si>
    <t>83762 SINAPI MT 2018</t>
  </si>
  <si>
    <t xml:space="preserve">GRUPO DE SOLDAGEM COM GERADOR A DIESEL 60 CV PARA SOLDA ELÉTRICA, SOBRE 04 RODAS, COM MOTOR 4 CILINDROS 600 A - MANUTENÇÃO. </t>
  </si>
  <si>
    <t>83763 SINAPI MT 2018</t>
  </si>
  <si>
    <t>4221</t>
  </si>
  <si>
    <t>OLEO DIESEL COMBUSTIVEL COMUM</t>
  </si>
  <si>
    <t>83764 SINAPI MT 2018</t>
  </si>
  <si>
    <t>73970/001     SINAPI</t>
  </si>
  <si>
    <t xml:space="preserve">Unid        </t>
  </si>
  <si>
    <t>QUANTIDADE</t>
  </si>
  <si>
    <t>MOD 1</t>
  </si>
  <si>
    <t>MOD 2</t>
  </si>
  <si>
    <t>MOD 3</t>
  </si>
  <si>
    <t>MOD 4</t>
  </si>
  <si>
    <t>MOD 5</t>
  </si>
  <si>
    <t>MOD 6</t>
  </si>
  <si>
    <t>MOD 7</t>
  </si>
  <si>
    <t>MOD 8</t>
  </si>
  <si>
    <t>QTDE</t>
  </si>
  <si>
    <t>CARPINTEIRO COM ENCARGOS COMPLEMENTARES</t>
  </si>
  <si>
    <t>Código:   409499  CDHU SP</t>
  </si>
  <si>
    <t xml:space="preserve">DECK DE MADEIRA COM TABUAS 15X5CM APARELHADAS EXCETO VIGAS/BARROTES PARA APOIO </t>
  </si>
  <si>
    <t>Código:  86887 SINAPI MT</t>
  </si>
  <si>
    <t>ENGATE FLEXÍVEL EM INOX, 1/2 X 40CM - FORNECIMENTO E INSTALAÇÃO.</t>
  </si>
  <si>
    <t>11684</t>
  </si>
  <si>
    <t>ENGATE / RABICHO FLEXIVEL INOX 1/2 " X 40 CM</t>
  </si>
  <si>
    <t>Código:  86888 SINAPI MT</t>
  </si>
  <si>
    <t>4384</t>
  </si>
  <si>
    <t>PARAFUSO NIQUELADO COM ACABAMENTO CROMADO PARA FIXAR PECA SANITARIA, INCLUI PORCA CEGA, ARRUELA E BUCHA DE NYLON TAMANHO S-10</t>
  </si>
  <si>
    <t>6138</t>
  </si>
  <si>
    <t>10422</t>
  </si>
  <si>
    <t>BACIA SANITARIA (VASO) COM CAIXA ACOPLADA, DE LOUCA BRANCA</t>
  </si>
  <si>
    <t>VEDAÇÃO PVC, 100 MM, PARA SAIDA VASO SANITARIO</t>
  </si>
  <si>
    <t xml:space="preserve">VASO SANITARIO SIFONADO CONVENCIONAL COM LOUÇA BRANCA, INCLUSO CONJUNTO DE LIGAÇÃO PARA BACIA SANITÁRIA AJUSTÁVEL - FORNECIMENTO E INSTALAÇÃO. </t>
  </si>
  <si>
    <t>CONJUNTO DE LIGACAO PARA BACIA SANITARIA AJUSTAVEL, EM PLASTICO BRANCO, COM TUBO, CANOPLA E ESPUDE</t>
  </si>
  <si>
    <t xml:space="preserve">VASO SANITARIO SIFONADO CONVENCIONAL COM  LOUÇA BRANCA - FORNECIMENTO E INSTALAÇÃO. </t>
  </si>
  <si>
    <t>Código:  95469 SINAPI MT</t>
  </si>
  <si>
    <t>VASO SANITARIO SIFONADO CONVENCIONAL COM  LOUÇA BRANCA - FORNECIMENTO E INSTALAÇÃO.</t>
  </si>
  <si>
    <t>BACIA SANITARIA (VASO) CONVENCIONAL DE LOUCA BRANCA</t>
  </si>
  <si>
    <t>PISO WALL</t>
  </si>
  <si>
    <t>x</t>
  </si>
  <si>
    <t>módulo 8</t>
  </si>
  <si>
    <t>=</t>
  </si>
  <si>
    <t>÷</t>
  </si>
  <si>
    <t>MOD 9</t>
  </si>
  <si>
    <t>módulo 5</t>
  </si>
  <si>
    <t>área retirada do cad</t>
  </si>
  <si>
    <t>módulo 7</t>
  </si>
  <si>
    <t>módulo 9</t>
  </si>
  <si>
    <t>módulo 6</t>
  </si>
  <si>
    <t>módulo 4</t>
  </si>
  <si>
    <t>módulo 3</t>
  </si>
  <si>
    <t>módulo 2</t>
  </si>
  <si>
    <t>módulo 1</t>
  </si>
  <si>
    <t>bw fem</t>
  </si>
  <si>
    <t>bw masc</t>
  </si>
  <si>
    <t>CALÇADA</t>
  </si>
  <si>
    <t>entrada de serviços</t>
  </si>
  <si>
    <t>entrada principal</t>
  </si>
  <si>
    <t xml:space="preserve">Preço Unitario   </t>
  </si>
  <si>
    <t xml:space="preserve">Preço Total      </t>
  </si>
  <si>
    <t xml:space="preserve">92795 SINAPI MT </t>
  </si>
  <si>
    <t xml:space="preserve">CORTE E DOBRA DE AÇO CA-50, DIÂMETRO DE 12,5 MM, UTILIZADO EM ESTRUTURAS DIVERSAS, EXCETO LAJES. </t>
  </si>
  <si>
    <t>ACO CA-50, 12,5 MM, VERGALHAO</t>
  </si>
  <si>
    <t>SINAPI  79473</t>
  </si>
  <si>
    <t>Locação</t>
  </si>
  <si>
    <t xml:space="preserve">EXECUÇÃO DE PASSEIO (CALÇADA) OU PISO DE CONCRETO COM CONCRETO MOLDADO IN LOCO, FEITO EM OBRA, ACABAMENTO CONVENCIONAL, ESPESSURA 6CM, ARMADO. </t>
  </si>
  <si>
    <t>Código:   94992 SINAPI MT</t>
  </si>
  <si>
    <t>3777</t>
  </si>
  <si>
    <t>LONA PLASTICA PRETA, E= 150 MICRA</t>
  </si>
  <si>
    <t>7156</t>
  </si>
  <si>
    <t>TELA DE ACO SOLDADA NERVURADA, CA-60, Q-196, (3,11 KG/M2), DIAMETRO DO FIO = 5,0 MM, LARGURA =  2,45 M, ESPACAMENTO DA MALHA = 10 X 10 CM</t>
  </si>
  <si>
    <t xml:space="preserve">CONCRETO FCK = 20MPA, TRAÇO 1:2,7:3 (CIMENTO/ AREIA MÉDIA/ BRITA 1)  - PREPARO MECÂNICO COM BETONEIRA 400 L. </t>
  </si>
  <si>
    <t>94964 SINAPI MT 2018</t>
  </si>
  <si>
    <t>CONCRETO FCK = 20MPA, TRAÇO 1:2,7:3 (CIMENTO/ AREIA MÉDIA/ BRITA 1)  - PREPARO MECÂNICO COM BETONEIRA 400 L.</t>
  </si>
  <si>
    <t>IMPERMEABILIZADOR COM ENCARGOS COMPLEMENTARES</t>
  </si>
  <si>
    <t>IMPERMEABILIZADOR</t>
  </si>
  <si>
    <t>CURSO DE CAPACITAÇÃO PARA IMPERMEABILIZADOR (ENCARGOS COMPLEMENTARES) - HORISTA</t>
  </si>
  <si>
    <t>95338 SINAPI MT 05/2018</t>
  </si>
  <si>
    <t>SINAPI  94992</t>
  </si>
  <si>
    <t>und</t>
  </si>
  <si>
    <t>SINAPI  74234/001</t>
  </si>
  <si>
    <t>MICTORIO SIFONADO DE LOUCA BRANCA COM PERTENCES, COM REGISTRO DE PRESSAO 1/2" COM CANOPLA CROMADA ACABAMENTO SIMPLES E CONJUNTO PARA FIXACAO  - FORNECIMENTO E INSTALACAO</t>
  </si>
  <si>
    <t>SINAPI  86919</t>
  </si>
  <si>
    <t>TANQUE DE LOUÇA BRANCA COM COLUNA, 30L OU EQUIVALENTE, INCLUSO SIFÃO FLEXÍVEL EM PVC, VÁLVULA METÁLICA E TORNEIRA DE METAL CROMADO PADRÃO MÉDIO - FORNECIMENTO E INSTALAÇÃO.</t>
  </si>
  <si>
    <t>SINAPI  95547</t>
  </si>
  <si>
    <t>SABONETEIRA PLASTICA TIPO DISPENSER PARA SABONETE LIQUIDO COM RESERVATORIO 800 A 1500 ML, INCLUSO FIXAÇÃO.</t>
  </si>
  <si>
    <t>SINAPI  40729</t>
  </si>
  <si>
    <t>VALVULA DESCARGA 1.1/2" COM REGISTRO, ACABAMENTO EM METAL CROMADO - FORNECIMENTO E INSTALACAO</t>
  </si>
  <si>
    <t>SINAPI  89973</t>
  </si>
  <si>
    <t>18.016.0108-0  EMOP</t>
  </si>
  <si>
    <t>18.016.0106-0   EMOP</t>
  </si>
  <si>
    <t>18.016.0105-0   EMOP</t>
  </si>
  <si>
    <t>BARRA DE APOIO 70CM EM ACO INOXIDAVEL AISI 304, TUBO DE 1 1/4", INCLUSIVE FIXACAO COM PARAFUSOS INOXIDAVEIS E BUCHAS PLASTICAS, PARA PESSOAS COM NECESSIDADES ESPECIFICAS. FORNECIMENTO E COLOCACAO  (mictório)</t>
  </si>
  <si>
    <t>18.016.0140-0  EMOP</t>
  </si>
  <si>
    <t>Código:   3R 23 42 40 00 00 00 05 29   TCPO</t>
  </si>
  <si>
    <t xml:space="preserve">DUCHA MANUAL - FORNECIMENTO E INSTALAÇÃO. </t>
  </si>
  <si>
    <t>GRANITO PARA BANCADA, POLIDO, TIPO ANDORINHA/ QUARTZ/ CASTELO/ CORUMBA OU OUTROS EQUIVALENTES DA REGIAO,  E=2,5 CM</t>
  </si>
  <si>
    <t>88274  SINAPI MT  05/2018</t>
  </si>
  <si>
    <t>MARMORISTA/GRANITEIRO</t>
  </si>
  <si>
    <t>CURSO DE CAPACITAÇÃO PARA MARMORISTA/GRANITEIRO (ENCARGOS COMPLEMENTARES) - HORISTA</t>
  </si>
  <si>
    <t>95341 SINAPI MT 05/2018</t>
  </si>
  <si>
    <t>8.6.18</t>
  </si>
  <si>
    <t>8.6.19</t>
  </si>
  <si>
    <t>8.6.20</t>
  </si>
  <si>
    <t>8.6.21</t>
  </si>
  <si>
    <t>8.6.22</t>
  </si>
  <si>
    <t>8.6.23</t>
  </si>
  <si>
    <t>50x60</t>
  </si>
  <si>
    <t>coefic da comp</t>
  </si>
  <si>
    <t>propria</t>
  </si>
  <si>
    <t xml:space="preserve">LAVATÓRIO LOUÇA BRANCA SUSPENSO, 29,5 X 39CM OU EQUIVALENTE, PADRÃO POPULAR, INCLUSO SIFÃO FLEXÍVEL EM PVC, VÁLVULA E ENGATE FLEXÍVEL 30CM EM PLÁSTICO E TORNEIRA CROMADA DE MESA, PADRÃO POPULAR - FORNECIMENTO E INSTALAÇÃO. </t>
  </si>
  <si>
    <t xml:space="preserve">TORNEIRA CROMADA DE MESA, 1/2" OU 3/4", PARA LAVATÓRIO, PADRÃO MÉDIO - FORNECIMENTO E INSTALAÇÃO. </t>
  </si>
  <si>
    <t>TORNEIRA CROMADA DE MESA PARA LAVATORIO TEMPORIZADA PRESSAO BICA BAIXA</t>
  </si>
  <si>
    <t>TORNEIRA CROMADA DE MESA, 1/2" OU 3/4", PARA LAVATÓRIO. FORNECIMENTO E INSTALAÇÃO. (torneira com sensor de presença - PNE)</t>
  </si>
  <si>
    <t>TORNEIRA CROMADA DE MESA PARA LAVATORIO COM SENSOR DE PRESENCA</t>
  </si>
  <si>
    <t>88247</t>
  </si>
  <si>
    <t>88264</t>
  </si>
  <si>
    <t>VÁLVULA DE DESCARGA COM SENSOR ELETRÔNICO (banheiro PNE)</t>
  </si>
  <si>
    <t>KIT DE MISTURADOR BASE BRUTA DE LATÃO ¾" MONOCOMANDO PARA CHUVEIRO, INCLUSIVE CONEXÕES, INSTALADO EM RAMAL DE ÁGUA - FORNECIMENTO E INSTALAÇÃO. (banheiro PNE)</t>
  </si>
  <si>
    <t>BARRA DE APOIO 80CM EM ACO INOXIDAVEL AISI 304, TUBO DE 1.1/4", INCLUSIVE FIXACAO COM PARAFUSOS INOXIDAVEIS E BUCHAS PLASTICAS, PARA PESSOAS COM NECESSIDADES ESPECIFICAS. FORNECIMENTO E COLOCACAO   (chuveiro e vaso - banheiro PNE)</t>
  </si>
  <si>
    <t>Equipamentos para Cozinha</t>
  </si>
  <si>
    <t>Limpeza</t>
  </si>
  <si>
    <t>9.2.1</t>
  </si>
  <si>
    <t>BANCADA EM AÇO INOX ESCOVADO COM ESPELHO, ESTRADO E 2 CUBAS  1850X700X900MM</t>
  </si>
  <si>
    <t>BANCADA EM AÇO INOX ESCOVADO COM ESPELHO, ESTRADO RIPADO  2200X700X900MM</t>
  </si>
  <si>
    <t>BANCADA EM AÇO INOX ESCOVADO COM ESPELHO, ESTRADO E CUBA DIREITA 1850X700X900MM</t>
  </si>
  <si>
    <t>BANCADA EM AÇO INOX ESCOVADO COM ESPELHO E ESTRADO RIPADO 1850X700X900MM</t>
  </si>
  <si>
    <t>BANCADA EM AÇO INOX ESCOVADO COM ESPELHO, ESTRADO RIPADO E BURACO PARA LIXEIRA 2200X700X900MM</t>
  </si>
  <si>
    <t>BANCADA EM AÇO INOX ESCOVADO COM ESPELHO, ESTRADO E CUBA ESQUERDA 1850X700X900MM</t>
  </si>
  <si>
    <t>PIA DE ASSEPSIA EM AÇO INOX ESCOVADO 450X450X450MM</t>
  </si>
  <si>
    <t>COIFA DE CENTRO EM AÇO INOX ESCOVADO 4200X1400MM</t>
  </si>
  <si>
    <t>BALCÃO EM AÇO INOX ESCOVADO 1110X700X900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</si>
  <si>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</si>
  <si>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</si>
  <si>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</si>
  <si>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</si>
  <si>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</si>
  <si>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</si>
  <si>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</si>
  <si>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</si>
  <si>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</si>
  <si>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9.1.11</t>
  </si>
  <si>
    <t>9.1.12</t>
  </si>
  <si>
    <t>Código:   95470  SINAPI</t>
  </si>
  <si>
    <t>SINAPI  95470</t>
  </si>
  <si>
    <t>SINAPI  95472</t>
  </si>
  <si>
    <t>VASO SANITARIO SIFONADO CONVENCIONAL PARA PCD SEM FURO FRONTAL COM LOUÇA BRANCA SEM ASSENTO, INCLUSO CONJUNTO DE LIGAÇÃO PARA BACIA SANITÁRIA AJUSTÁVEL - FORNECIMENTO E INSTALAÇÃO.</t>
  </si>
  <si>
    <t>SINAPI  9535</t>
  </si>
  <si>
    <t>CHUVEIRO COM VÁLVULA TERMOSTÁTICA  (banheiro PNE)</t>
  </si>
  <si>
    <t>DUCHA MANUAL  (banheiro PNE)</t>
  </si>
  <si>
    <t>8.6.24</t>
  </si>
  <si>
    <t>8.6.25</t>
  </si>
  <si>
    <t>DECK DE MADEIRA</t>
  </si>
  <si>
    <t>DECK DE MADEIRA APARELHADA CONFORME PROJETO e=4,5cm</t>
  </si>
  <si>
    <t>GRADIL</t>
  </si>
  <si>
    <t>e=5cm</t>
  </si>
  <si>
    <t>TAMPA PROTETORA DE BORRACHA  13x13cm</t>
  </si>
  <si>
    <t>+</t>
  </si>
  <si>
    <t>pç</t>
  </si>
  <si>
    <t>TAMPA PROTETORA DE BORRACHA 13x13cm   e=5cm</t>
  </si>
  <si>
    <t>salas</t>
  </si>
  <si>
    <t>circ coz/ref</t>
  </si>
  <si>
    <t>acessos cozinha</t>
  </si>
  <si>
    <t>acessos refeitório</t>
  </si>
  <si>
    <t>mód 3</t>
  </si>
  <si>
    <t>mód 4</t>
  </si>
  <si>
    <t>VASO SANITÁRIO SIFONADO COM CAIXA ACOPLADA LOUÇA BRANCA, INCLUSO ENGATE FLEXÍVEL EM PLÁSTICO BRANCO, 1/2  X 40CM - FORNECIMENTO E INSTALAÇÃO.  (banheiro funcionários)</t>
  </si>
  <si>
    <t>CHUVEIRO ELETRICO COMUM CORPO PLASTICO TIPO DUCHA, FORNECIMENTO E INSTALACAO  (banheiro funcionários)</t>
  </si>
  <si>
    <t>refeitório</t>
  </si>
  <si>
    <t>SINAPI  95546</t>
  </si>
  <si>
    <t>KIT DE ACESSORIOS PARA BANHEIRO EM METAL CROMADO, 5 PECAS, INCLUSO FIXAÇÃO.  (banheiros funcionários)</t>
  </si>
  <si>
    <t>ESPELHO CRISTAL, ESPESSURA 4MM, COM PARAFUSOS DE FIXACAO, SEM MOLDURA (banheiros fem/masc/funcionários)</t>
  </si>
  <si>
    <t>PORTÕES</t>
  </si>
  <si>
    <t>Acesso Pedestres</t>
  </si>
  <si>
    <t>SINAPI     74238/002</t>
  </si>
  <si>
    <t>h=</t>
  </si>
  <si>
    <t>ARREMATE SUPERIOR EM AROEIRA 100 X 100MM  (gradil)</t>
  </si>
  <si>
    <t>Docas (entrada e saída)</t>
  </si>
  <si>
    <t>ABRIGO CONTAINER LIXO</t>
  </si>
  <si>
    <t>SINAPI  97086</t>
  </si>
  <si>
    <t>SINAPI  94107</t>
  </si>
  <si>
    <t xml:space="preserve">LASTRO DE BRITA, COM PREPARO DE FUNDO, LANÇAMENTO MANUAL, EM LOCAL COM NÍVEL BAIXO DE INTERFERÊNCIA. </t>
  </si>
  <si>
    <t>LANCAMENTO/APLICACAO MANUAL DE CONCRETO (laje e piso)</t>
  </si>
  <si>
    <t>Piso em concreto  e=15cm</t>
  </si>
  <si>
    <t>Cobertura em laje de concreto  e=8cm</t>
  </si>
  <si>
    <t>Concreto 15MPa para laje</t>
  </si>
  <si>
    <t>Concreto 15MPa para piso</t>
  </si>
  <si>
    <t>lastro de brita e=5cm</t>
  </si>
  <si>
    <t>bota-fora</t>
  </si>
  <si>
    <t>FORNECIMENTO/INSTALACAO LONA PLASTICA PRETA, PARA IMPERMEABILIZACAO, ESPESSURA 150 MICRAS.</t>
  </si>
  <si>
    <t>SINAPI  68053</t>
  </si>
  <si>
    <t>forma para laje</t>
  </si>
  <si>
    <t>ARMACAO EM TELA DE ACO SOLDADA NERVURADA Q-138  (laje e piso)</t>
  </si>
  <si>
    <t>SINAPI  73872/001</t>
  </si>
  <si>
    <t>IMPERMEABILIZACAO COM PINTURA A BASE DE RESINA EPOXI ALCATRAO, UMA DEMAO.  (laje)</t>
  </si>
  <si>
    <t>lona preta (entre brita e piso)</t>
  </si>
  <si>
    <t>impermeabilização laje</t>
  </si>
  <si>
    <t>escavação manual (contra-barranco)</t>
  </si>
  <si>
    <t>9.3</t>
  </si>
  <si>
    <t>9.3.1</t>
  </si>
  <si>
    <t>9.2.6</t>
  </si>
  <si>
    <t>9.2.2</t>
  </si>
  <si>
    <t>9.2.3</t>
  </si>
  <si>
    <t>9.2.4</t>
  </si>
  <si>
    <t>9.2.5</t>
  </si>
  <si>
    <t>9.2.7</t>
  </si>
  <si>
    <t>9.2.8</t>
  </si>
  <si>
    <t>9.2.9</t>
  </si>
  <si>
    <t>9.2.10</t>
  </si>
  <si>
    <t>9.2.11</t>
  </si>
  <si>
    <t>9.2.12</t>
  </si>
  <si>
    <t>FABRICAÇÃO, MONTAGEM E DESMONTAGEM DE FORMA, EM MADEIRA SERRADA, 4 UTILIZAÇÕES.  (laje)</t>
  </si>
  <si>
    <t xml:space="preserve">ESCAVAÇÃO MANUAL </t>
  </si>
  <si>
    <t>alvenaria</t>
  </si>
  <si>
    <t>considerado folga 50cm para cada lado</t>
  </si>
  <si>
    <t>aço Q138 para laje e piso</t>
  </si>
  <si>
    <t>chapisco</t>
  </si>
  <si>
    <t>SINAPI  87473</t>
  </si>
  <si>
    <t xml:space="preserve">ALVENARIA DE VEDAÇÃO DE BLOCOS CERÂMICOS FURADOS NA VERTICAL DE 14X19X39CM (ESPESSURA 14CM) DE PAREDES COM ÁREA LÍQUIDA MENOR QUE 6M² SEM VÃOS E ARGAMASSA DE ASSENTAMENTO COM PREPARO EM BETONEIRA. </t>
  </si>
  <si>
    <t>SINAPI  87878</t>
  </si>
  <si>
    <t xml:space="preserve">CHAPISCO APLICADO EM ALVENARIAS E ESTRUTURAS DE CONCRETO INTERNAS, COM COLHER DE PEDREIRO.  ARGAMASSA TRAÇO 1:3 COM PREPARO MANUAL. </t>
  </si>
  <si>
    <t>SINAPI  87527</t>
  </si>
  <si>
    <t>reboco interno</t>
  </si>
  <si>
    <t>reboco externo</t>
  </si>
  <si>
    <t>azulejo interno</t>
  </si>
  <si>
    <t>pintura externa</t>
  </si>
  <si>
    <t>piso ceramico</t>
  </si>
  <si>
    <t>SINAPI  87529</t>
  </si>
  <si>
    <t>EMBOÇO, PARA RECEBIMENTO DE CERÂMICA, EM ARGAMASSA TRAÇO 1:2:8, PREPARO MECÂNICO COM BETONEIRA 400L, APLICADO MANUALMENTE ESPESSURA DE 20MM</t>
  </si>
  <si>
    <t>MASSA ÚNICA, PARA RECEBIMENTO DE PINTURA, EM ARGAMASSA TRAÇO 1:2:8, PREPARO MECÂNICO COM BETONEIRA 400L, APLICADA MANUALMENTE, ESPESSURA DE 20MM</t>
  </si>
  <si>
    <t>SINAPI  88415</t>
  </si>
  <si>
    <t>9.2.13</t>
  </si>
  <si>
    <t>9.2.14</t>
  </si>
  <si>
    <t>9.2.15</t>
  </si>
  <si>
    <t>9.2.16</t>
  </si>
  <si>
    <t>9.2.17</t>
  </si>
  <si>
    <t xml:space="preserve">PORTAO EM TELA ARAME GALVANIZADO N.12 MALHA 2" E MOLDURA EM TUBOS DE ACO COM DUAS FOLHAS DE ABRIR, INCLUSO FERRAGENS  (1,70 x 2,14m) </t>
  </si>
  <si>
    <t xml:space="preserve">PORTAO EM TELA ARAME GALVANIZADO N.12 MALHA 2" E MOLDURA EM TUBOS DE ACO COM DUAS FOLHAS DE ABRIR, INCLUSO FERRAGENS  (1,70 x 2,22m) </t>
  </si>
  <si>
    <t xml:space="preserve">TEXTURA ACRÍLICA, APLICAÇÃO MANUAL EM PAREDE, UMA DEMÃO. </t>
  </si>
  <si>
    <t>SINAPI  95305</t>
  </si>
  <si>
    <t>PINTURA ESMALTE FOSCO, DUAS DEMAOS, SOBRE SUPERFICIE METALICA</t>
  </si>
  <si>
    <t>SINAPI     73924/003</t>
  </si>
  <si>
    <t>Portão  h=2,14</t>
  </si>
  <si>
    <t>Portão  h=2,22</t>
  </si>
  <si>
    <t>pintura dos portões</t>
  </si>
  <si>
    <t>9.2.18</t>
  </si>
  <si>
    <t>9.2.19</t>
  </si>
  <si>
    <t>9.2.20</t>
  </si>
  <si>
    <t>9.2.21</t>
  </si>
  <si>
    <t>APLICAÇÃO MANUAL DE FUNDO SELADOR ACRÍLICO EM PAREDES EXTERNAS</t>
  </si>
  <si>
    <t>SINAPI  89707</t>
  </si>
  <si>
    <t xml:space="preserve">CAIXA SIFONADA, PVC, DN 100 X 100 X 50 MM, JUNTA ELÁSTICA, FORNECIDA E INSTALADA EM RAMAL DE DESCARGA OU EM RAMAL DE ESGOTO SANITÁRIO. </t>
  </si>
  <si>
    <t>caixa sifonada 100x100x50</t>
  </si>
  <si>
    <t>SINAPI  86914</t>
  </si>
  <si>
    <t>TORNEIRA CROMADA 1/2" OU 3/4" PARA TANQUE, PADRÃO MÉDIO - FORNECIMENTO E INSTALAÇÃO.</t>
  </si>
  <si>
    <t xml:space="preserve">torneira </t>
  </si>
  <si>
    <t>9.2.22</t>
  </si>
  <si>
    <t>9.2.23</t>
  </si>
  <si>
    <t>9.2.24</t>
  </si>
  <si>
    <t>Abrigo de Gás</t>
  </si>
  <si>
    <t>ABRIGO DE GÁS</t>
  </si>
  <si>
    <t>9.3.2</t>
  </si>
  <si>
    <t>9.3.3</t>
  </si>
  <si>
    <t>9.3.4</t>
  </si>
  <si>
    <t>9.3.5</t>
  </si>
  <si>
    <t>9.3.6</t>
  </si>
  <si>
    <t>9.3.7</t>
  </si>
  <si>
    <t>9.3.8</t>
  </si>
  <si>
    <t>9.3.9</t>
  </si>
  <si>
    <t>9.3.10</t>
  </si>
  <si>
    <t>9.3.11</t>
  </si>
  <si>
    <t>9.3.12</t>
  </si>
  <si>
    <t>9.3.13</t>
  </si>
  <si>
    <t>9.3.14</t>
  </si>
  <si>
    <t>9.3.15</t>
  </si>
  <si>
    <t>9.3.16</t>
  </si>
  <si>
    <t>9.3.17</t>
  </si>
  <si>
    <t xml:space="preserve">pintura </t>
  </si>
  <si>
    <t xml:space="preserve">reboco </t>
  </si>
  <si>
    <t>APLICAÇÃO MANUAL DE FUNDO SELADOR ACRÍLICO EM PAREDES</t>
  </si>
  <si>
    <t>PORTAO PIVOTANTE COM CONTRAPESO (2,50 X 2,10m  - Pedestres)</t>
  </si>
  <si>
    <t>8.6.26</t>
  </si>
  <si>
    <t>8.6.27</t>
  </si>
  <si>
    <t>8.6.28</t>
  </si>
  <si>
    <t>8.6.29</t>
  </si>
  <si>
    <t>9.4</t>
  </si>
  <si>
    <t>ARMAÇÃO DE BLOCO, VIGA BALDRAME OU SAPATA UTILIZANDO AÇO CA-50 DE 8MM - MONTAGEM.   (blocos e baldrame)</t>
  </si>
  <si>
    <t>LASTRO DE CONCRETO MAGRO, APLICADO EM BLOCOS DE COROAMENTO OU SAPATAS.  (blocos e baldrame)</t>
  </si>
  <si>
    <t>LANCAMENTO/APLICACAO MANUAL DE CONCRETO (blocos e baldrame)</t>
  </si>
  <si>
    <t>cilindro de gás P45</t>
  </si>
  <si>
    <t>container de lixo</t>
  </si>
  <si>
    <t>FUNDO ANTICORROSIVO A BASE DE OXIDO DE FERRO (ZARCAO), DUAS DEMAOS</t>
  </si>
  <si>
    <t>SINAPI     74064/001</t>
  </si>
  <si>
    <t>larg</t>
  </si>
  <si>
    <t>alt</t>
  </si>
  <si>
    <t>comprimento</t>
  </si>
  <si>
    <t>lastro</t>
  </si>
  <si>
    <t>regularização de fundo</t>
  </si>
  <si>
    <t>lastro 5cm</t>
  </si>
  <si>
    <t>escavação</t>
  </si>
  <si>
    <t>solo coeso, considerado escavação contra-barranco</t>
  </si>
  <si>
    <t>armação</t>
  </si>
  <si>
    <t>80kg/m3</t>
  </si>
  <si>
    <t>viga baldrame 15x20</t>
  </si>
  <si>
    <t>concreto magro</t>
  </si>
  <si>
    <t>concreto 20MPa</t>
  </si>
  <si>
    <t>fundação direta</t>
  </si>
  <si>
    <t>quantidade</t>
  </si>
  <si>
    <t>blocos 45x45x60</t>
  </si>
  <si>
    <t>portão pedestres</t>
  </si>
  <si>
    <t>blocos 35x35x40</t>
  </si>
  <si>
    <t>pintura de portões e gradil</t>
  </si>
  <si>
    <t>9.5</t>
  </si>
  <si>
    <t>9.5.1</t>
  </si>
  <si>
    <t>considerado empolamento 30%</t>
  </si>
  <si>
    <t xml:space="preserve">TUBO DE AÇO GALVANIZADO COM COSTURA, CLASSE MÉDIA, CONEXÃO ROSQUEADA, DN 20 (3/4"), INSTALADO EM RAMAIS E SUB-RAMAIS DE GÁS - FORNECIMENTO E INSTALAÇÃO. </t>
  </si>
  <si>
    <t>SINAPI  92688</t>
  </si>
  <si>
    <t>1.1.3</t>
  </si>
  <si>
    <t>ENVELOPAMENTO DE PISO</t>
  </si>
  <si>
    <r>
      <t xml:space="preserve">Bambu </t>
    </r>
    <r>
      <rPr>
        <sz val="11"/>
        <color theme="1"/>
        <rFont val="Calibri"/>
        <family val="2"/>
      </rPr>
      <t>Ø3CM</t>
    </r>
  </si>
  <si>
    <t>salas, bws, adm e sala prof</t>
  </si>
  <si>
    <t>cozinha</t>
  </si>
  <si>
    <t>lance</t>
  </si>
  <si>
    <t>qtde</t>
  </si>
  <si>
    <t>lados</t>
  </si>
  <si>
    <t>bambu por lance</t>
  </si>
  <si>
    <t>bambu</t>
  </si>
  <si>
    <t>repetiçoes</t>
  </si>
  <si>
    <t>Telha sanduiche</t>
  </si>
  <si>
    <t>Cabo de aço 1/8"</t>
  </si>
  <si>
    <r>
      <t xml:space="preserve">Cabo de aço </t>
    </r>
    <r>
      <rPr>
        <sz val="11"/>
        <color theme="1"/>
        <rFont val="Calibri"/>
        <family val="2"/>
      </rPr>
      <t>Ø</t>
    </r>
    <r>
      <rPr>
        <sz val="11"/>
        <color theme="1"/>
        <rFont val="Calibri"/>
        <family val="2"/>
        <scheme val="minor"/>
      </rPr>
      <t>1/8"</t>
    </r>
  </si>
  <si>
    <t>5.6</t>
  </si>
  <si>
    <t>Esticador para cabo de aço</t>
  </si>
  <si>
    <r>
      <t xml:space="preserve">Esticador para cabo de aço </t>
    </r>
    <r>
      <rPr>
        <sz val="11"/>
        <color theme="1"/>
        <rFont val="Calibri"/>
        <family val="2"/>
      </rPr>
      <t>Ø</t>
    </r>
    <r>
      <rPr>
        <sz val="11"/>
        <color theme="1"/>
        <rFont val="Calibri"/>
        <family val="2"/>
        <scheme val="minor"/>
      </rPr>
      <t>1/8"</t>
    </r>
  </si>
  <si>
    <t>Grampo 22 x 20mm</t>
  </si>
  <si>
    <t>Flange de fixação</t>
  </si>
  <si>
    <t>Parafuso de fixação (barra roscável 1")</t>
  </si>
  <si>
    <t>FORNECIMENTO E COLOCAÇÃO DE CABO DE AÇO 1/8"</t>
  </si>
  <si>
    <t>CABO DE AÇO 1/8"</t>
  </si>
  <si>
    <t>Código:   COMP.02</t>
  </si>
  <si>
    <t>FORNECIMENTO E COLOCAÇÃO DE ESTICADORES PARA CABO DE AÇO</t>
  </si>
  <si>
    <t>COMP 02</t>
  </si>
  <si>
    <t>Código:   COMP.03</t>
  </si>
  <si>
    <t>COMP 03</t>
  </si>
  <si>
    <r>
      <t xml:space="preserve">PEÇA DE  BAMBU </t>
    </r>
    <r>
      <rPr>
        <sz val="8"/>
        <rFont val="Calibri"/>
        <family val="2"/>
      </rPr>
      <t>Ø3CM</t>
    </r>
  </si>
  <si>
    <r>
      <t xml:space="preserve">FORNECIMENTO E COLOCAÇÃO DE LINHAS DE BAMBU </t>
    </r>
    <r>
      <rPr>
        <b/>
        <sz val="8"/>
        <rFont val="Calibri"/>
        <family val="2"/>
      </rPr>
      <t>Ø3</t>
    </r>
    <r>
      <rPr>
        <b/>
        <sz val="8"/>
        <rFont val="Calibri"/>
        <family val="2"/>
        <scheme val="minor"/>
      </rPr>
      <t>CM</t>
    </r>
  </si>
  <si>
    <t>11029</t>
  </si>
  <si>
    <t>CJ</t>
  </si>
  <si>
    <t>93281</t>
  </si>
  <si>
    <t>93282</t>
  </si>
  <si>
    <t xml:space="preserve">GUINCHO ELÉTRICO DE COLUNA, CAPACIDADE 400 KG, COM MOTO FREIO, MOTOR TRIFÁSICO DE 1,25 CV - CHP DIURNO. </t>
  </si>
  <si>
    <t xml:space="preserve">GUINCHO ELÉTRICO DE COLUNA, CAPACIDADE 400 KG, COM MOTO FREIO, MOTOR TRIFÁSICO DE 1,25 CV - CHI DIURNO. </t>
  </si>
  <si>
    <t>SINAPI  94229</t>
  </si>
  <si>
    <t>Código:   94229  SINAPI</t>
  </si>
  <si>
    <t>40871</t>
  </si>
  <si>
    <t>310ML</t>
  </si>
  <si>
    <t>SINAPI  72739</t>
  </si>
  <si>
    <t>VASO SANITARIO INFANTIL SIFONADO, PARA VALVULA DE DESCARGA, EM LOUCA BRANCA, COM ACESSORIOS, INCLUSIVE ASSENTO PLASTICO, BOLSA DE BORRACHA PARA LIGACAO, TUBO PVC LIGACAO - FORNECIMENTO E INSTALACAO</t>
  </si>
  <si>
    <t>1380</t>
  </si>
  <si>
    <t>VEDACAO PVC, 100 MM, PARA SAIDA VASO SANITARIO</t>
  </si>
  <si>
    <t>6140</t>
  </si>
  <si>
    <t>BOLSA DE LIGACAO EM PVC FLEXIVEL PARA VASO SANITARIO 1.1/2 " (40 MM)</t>
  </si>
  <si>
    <t>11686</t>
  </si>
  <si>
    <t>CONJUNTO DE LIGACAO PARA BACIA SANITARIA EM PLASTICO BRANCO COM TUBO, CANOPLA E ANEL DE EXPANSAO (TUBO 1.1/2 '' X 20 CM)</t>
  </si>
  <si>
    <t>11761</t>
  </si>
  <si>
    <t>ASSENTO  VASO SANITARIO INFANTIL EM PLASTICO BRANCO</t>
  </si>
  <si>
    <t>11786</t>
  </si>
  <si>
    <t>VASO SANITARIO SIFONADO INFANTIL LOUCA BRANCA</t>
  </si>
  <si>
    <t>11955</t>
  </si>
  <si>
    <t>PARAFUSO DE LATAO COM ACABAMENTO CROMADO PARA FIXAR PECA SANITARIA, INCLUI PORCA CEGA, ARRUELA E BUCHA DE NYLON TAMANHO S-10</t>
  </si>
  <si>
    <t xml:space="preserve">VASO SANITARIO SIFONADO CONVENCIONAL PARA PCD SEM FURO FRONTAL COM LOUÇA BRANCA SEM ASSENTO, INCLUSO CONJUNTO DE LIGAÇÃO PARA BACIA SANITÁRIA AJUSTÁVEL - FORNECIMENTO E INSTALAÇÃO. </t>
  </si>
  <si>
    <t>SINAPI  86932</t>
  </si>
  <si>
    <t>Código:   72739  SINAPI</t>
  </si>
  <si>
    <t>Código:   95472  SINAPI</t>
  </si>
  <si>
    <t xml:space="preserve">VASO SANITARIO SIFONADO CONVENCIONAL PARA PCD SEM FURO FRONTAL COM  LOUÇA BRANCA SEM ASSENTO -  FORNECIMENTO E INSTALAÇÃO. </t>
  </si>
  <si>
    <t>Código:  95471 SINAPI MT</t>
  </si>
  <si>
    <t>BACIA SANITARIA (VASO) CONVENCIONAL PARA PCD SEM FURO FRONTAL, DE LOUCA BRANCA, SEM ASSENTO</t>
  </si>
  <si>
    <t>mód 1</t>
  </si>
  <si>
    <t>SINAPI  93142</t>
  </si>
  <si>
    <t xml:space="preserve">PONTO DE TOMADA RESIDENCIAL INCLUINDO TOMADA (2 MÓDULOS) 10A/250V, CAIXA ELÉTRICA, ELETRODUTO, CABO, RASGO, QUEBRA E CHUMBAMENTO. </t>
  </si>
  <si>
    <t xml:space="preserve">Código:   93142 SINAPI </t>
  </si>
  <si>
    <t xml:space="preserve">TOMADA MÉDIA DE EMBUTIR (2 MÓDULOS), 2P+T 10 A, INCLUINDO SUPORTE E PLACA - FORNECIMENTO E INSTALAÇÃO. </t>
  </si>
  <si>
    <t>Código:   92004 SINAPI MT</t>
  </si>
  <si>
    <t xml:space="preserve">TOMADA MÉDIA DE EMBUTIR (2 MÓDULOS), 2P+T 10 A, SEM SUPORTE E SEM PLACA - FORNECIMENTO E INSTALAÇÃO. </t>
  </si>
  <si>
    <t>Código:   92002 SINAPI MT</t>
  </si>
  <si>
    <t>INTERRUPTOR 2 TECLAS</t>
  </si>
  <si>
    <t>INTERRUPTOR 3 TECLAS</t>
  </si>
  <si>
    <t>SINAPI  93144</t>
  </si>
  <si>
    <t>PONTO DE UTILIZAÇÃO DE EQUIPAMENTOS ELÉTRICOS, RESIDENCIAL, INCLUINDO SUPORTE E PLACA, CAIXA ELÉTRICA, ELETRODUTO, CABO, RASGO, QUEBRA E CHUMBAMENTO.  (chuveiro, ar condicionado, coifa)</t>
  </si>
  <si>
    <t>TOMADA DE LÓGICA</t>
  </si>
  <si>
    <t>LUMINÁRIA TIPO SPOT, DE SOBREPOR, COM 1 LÂMPADA DE 15W - FORNECIMENTO E INSTALAÇÃO.  (embutir no piso)</t>
  </si>
  <si>
    <t>SINAPI 83463</t>
  </si>
  <si>
    <t>QUADRO DE DISTRIBUICAO DE ENERGIA EM CHAPA DE ACO GALVANIZADO, PARA 12 DISJUNTORES TERMOMAGNETICOS MONOPOLARES, COM BARRAMENTO TRIFASICO E NEUTRO - FORNECIMENTO E INSTALACAO</t>
  </si>
  <si>
    <t>SINAPI 84402</t>
  </si>
  <si>
    <t>QUADRO DE DISTRIBUICAO DE ENERGIA P/ 6 DISJUNTORES TERMOMAGNETICOS MONOPOLARES SEM BARRAMENTO, DE EMBUTIR, EM CHAPA METALICA - FORNECIMENTO E INSTALACAO</t>
  </si>
  <si>
    <t>SINAPI      74131/004</t>
  </si>
  <si>
    <t>QUADRO DE DISTRIBUICAO DE ENERGIA DE EMBUTIR, EM CHAPA METALICA, PARA 18 DISJUNTORES TERMOMAGNETICOS MONOPOLARES, COM BARRAMENTO TRIFASICO E NEUTRO, FORNECIMENTO E INSTALACAO</t>
  </si>
  <si>
    <t>SINAPI      74131/005</t>
  </si>
  <si>
    <t>QUADRO DE DISTRIBUICAO DE ENERGIA DE EMBUTIR, EM CHAPA METALICA, PARA 24 DISJUNTORES TERMOMAGNETICOS MONOPOLARES, COM BARRAMENTO TRIFASICO E NEUTRO, FORNECIMENTO E INSTALACAO</t>
  </si>
  <si>
    <t>DISJUNTOR 3X63A</t>
  </si>
  <si>
    <t>DISJUNTOR 3X80A</t>
  </si>
  <si>
    <t>DISJUNTOR 3X100A</t>
  </si>
  <si>
    <t>DISJUNTOR 3X125A</t>
  </si>
  <si>
    <t>DISJUNTOR 1X16A</t>
  </si>
  <si>
    <t>DISJUNTOR 1X32A</t>
  </si>
  <si>
    <t>DISJUNTOR 2X16A</t>
  </si>
  <si>
    <t>DISJUNTOR 3X30A</t>
  </si>
  <si>
    <t>DISJUNTOR 2X32A</t>
  </si>
  <si>
    <t>DISJUNTOR 2X40A</t>
  </si>
  <si>
    <t>QUADRO DE LÓGICA QL</t>
  </si>
  <si>
    <t>2.4</t>
  </si>
  <si>
    <t>Drenagem</t>
  </si>
  <si>
    <t>DRENAGEM</t>
  </si>
  <si>
    <t>SINAPI  94103</t>
  </si>
  <si>
    <t>lastro de pedrisco</t>
  </si>
  <si>
    <t>SINAPI  83665</t>
  </si>
  <si>
    <t>manta bidim</t>
  </si>
  <si>
    <t>SINAPI  83671</t>
  </si>
  <si>
    <t>tubo pvc 150mm</t>
  </si>
  <si>
    <t>tubo corrugado 150mm</t>
  </si>
  <si>
    <t>seixo rolado n4</t>
  </si>
  <si>
    <t>-</t>
  </si>
  <si>
    <t>REATERRO MANUAL APILOADO COM SOQUETE.  (sapatas)</t>
  </si>
  <si>
    <t>reaterro</t>
  </si>
  <si>
    <t>SINAPI      75029/001</t>
  </si>
  <si>
    <t>SINAPI     73902/001</t>
  </si>
  <si>
    <t>CAMADA DRENANTE COM SEIXO ROLADO NUM 4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</si>
  <si>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</si>
  <si>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</si>
  <si>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</si>
  <si>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</si>
  <si>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</si>
  <si>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</si>
  <si>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</si>
  <si>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</si>
  <si>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KIT REGISTRO DE GAVETA 3/4"</t>
  </si>
  <si>
    <t>KIT REGISTRO DE GAVETA 32MM</t>
  </si>
  <si>
    <t>KIT REGISTRO DE PRESSÃO 25MM</t>
  </si>
  <si>
    <t>KIT REGISTRO DE GAVETA 85MM</t>
  </si>
  <si>
    <t>KIT REGISTRO DE GAVETA 110MM</t>
  </si>
  <si>
    <t>TUBO PVC SOLDAVEL 110MM</t>
  </si>
  <si>
    <t>TUBO PVC SOLDAVEL 85MM</t>
  </si>
  <si>
    <t>TUBO PVC SOLDAVEL 60MM</t>
  </si>
  <si>
    <t>TUBO PVC SOLDAVEL 40MM</t>
  </si>
  <si>
    <t>TUBO PVC SOLDAVEL 25MM</t>
  </si>
  <si>
    <t>TUBO PVC SOLDAVEL 32MM</t>
  </si>
  <si>
    <t>FOSSA BANANEIRA  2,30 X 15,00 X 3,25</t>
  </si>
  <si>
    <t>SUMIDOURO  DN 3,00M    PROF 3,00M</t>
  </si>
  <si>
    <t>FOSSA SÉPTICA DN 3,00M    PROF 2,70M</t>
  </si>
  <si>
    <t>TUBO PVC ESGOTO 150MM</t>
  </si>
  <si>
    <t>TUBO PVC ESGOTO 100MM</t>
  </si>
  <si>
    <t>TUBO PVC ESGOTO 75MM</t>
  </si>
  <si>
    <t>TUBO PVC ESGOTO 40MM</t>
  </si>
  <si>
    <t>TUBO PVC ESGOTO 50MM</t>
  </si>
  <si>
    <t>Caixa de inspeção de esgoto 30x30x30cm, conforme projeto.</t>
  </si>
  <si>
    <t>Caixa de inspeção de esgoto 150x150x41cm, conforme projeto.</t>
  </si>
  <si>
    <t>8.1.9</t>
  </si>
  <si>
    <t>8.1.11</t>
  </si>
  <si>
    <t>8.1.12</t>
  </si>
  <si>
    <t>8.1.13</t>
  </si>
  <si>
    <t>8.1.14</t>
  </si>
  <si>
    <t>8.1.16</t>
  </si>
  <si>
    <t>8.1.17</t>
  </si>
  <si>
    <t>8.1.18</t>
  </si>
  <si>
    <t>8.1.19</t>
  </si>
  <si>
    <t>8.1.20</t>
  </si>
  <si>
    <t>8.1.21</t>
  </si>
  <si>
    <t>8.1.22</t>
  </si>
  <si>
    <t>8.1.23</t>
  </si>
  <si>
    <t>8.1.24</t>
  </si>
  <si>
    <t>8.1.25</t>
  </si>
  <si>
    <t>8.1.26</t>
  </si>
  <si>
    <t>8.1.27</t>
  </si>
  <si>
    <t>8.1.28</t>
  </si>
  <si>
    <t>8.1.29</t>
  </si>
  <si>
    <t>8.1.30</t>
  </si>
  <si>
    <t>8.1.31</t>
  </si>
  <si>
    <t>7.1</t>
  </si>
  <si>
    <t>7.2</t>
  </si>
  <si>
    <t>7.3</t>
  </si>
  <si>
    <t>7.4</t>
  </si>
  <si>
    <t>7.5</t>
  </si>
  <si>
    <t>8.2.7</t>
  </si>
  <si>
    <t>8.2.8</t>
  </si>
  <si>
    <t>8.2.9</t>
  </si>
  <si>
    <t>8.2.10</t>
  </si>
  <si>
    <t>8.2.11</t>
  </si>
  <si>
    <t>8.2.12</t>
  </si>
  <si>
    <t>8.2.13</t>
  </si>
  <si>
    <t>8.2.14</t>
  </si>
  <si>
    <t>8.2.15</t>
  </si>
  <si>
    <t>8.4.9</t>
  </si>
  <si>
    <t>8.4.10</t>
  </si>
  <si>
    <t>8.4.11</t>
  </si>
  <si>
    <t>8.4.12</t>
  </si>
  <si>
    <t>8.4.13</t>
  </si>
  <si>
    <t>8.4.14</t>
  </si>
  <si>
    <t>8.4.15</t>
  </si>
  <si>
    <t>8.4.16</t>
  </si>
  <si>
    <t>8.4.17</t>
  </si>
  <si>
    <t>8.4.18</t>
  </si>
  <si>
    <t>8.4.19</t>
  </si>
  <si>
    <t>8.4.20</t>
  </si>
  <si>
    <t>8.4.21</t>
  </si>
  <si>
    <t>8.4.22</t>
  </si>
  <si>
    <t>8.4.23</t>
  </si>
  <si>
    <t>8.4.24</t>
  </si>
  <si>
    <t>Caixa de inspeção de esgoto 40x40x22cm, conforme projeto.</t>
  </si>
  <si>
    <t>Caixa de inspeção de esgoto 40x40x36cm, conforme projeto.</t>
  </si>
  <si>
    <t>Caixa de inspeção de esgoto 100x70x90cm, conforme projeto.</t>
  </si>
  <si>
    <t>Caixa de inspeção de esgoto 60x60x50cm, conforme projeto.</t>
  </si>
  <si>
    <t>Caixa de inspeção de esgoto 60x60x100cm, conforme projeto.</t>
  </si>
  <si>
    <t>Caixa de inspeção de esgoto 70x30x85cm, conforme projeto.</t>
  </si>
  <si>
    <t>Caixa de inspeção de esgoto 150x150x80cm, conforme projeto.</t>
  </si>
  <si>
    <t>Caixa de inspeção de esgoto 30x30x40cm, conforme projeto.</t>
  </si>
  <si>
    <t>Caixa de inspeção de esgoto 30x30x70cm, conforme projeto.</t>
  </si>
  <si>
    <t>PONTO PARA VÁLVULA DE DESCARGA</t>
  </si>
  <si>
    <t>79100KG</t>
  </si>
  <si>
    <t>IMPLANTAÇÃO</t>
  </si>
  <si>
    <t>SINAPI  75220</t>
  </si>
  <si>
    <t xml:space="preserve">ESCAVAÇÃO MANUAL DE VALA COM PROFUNDIDADE MENOR OU IGUAL A 1,30 M. </t>
  </si>
  <si>
    <t>4021</t>
  </si>
  <si>
    <t>MONTADOR (TUBO AÇO/EQUIPAMENTOS) COM ENCARGOS COMPLEMENTARES</t>
  </si>
  <si>
    <t>TUBO PVC  SERIE NORMAL, DN 150 MM, PARA ESGOTO  PREDIAL (NBR 5688)</t>
  </si>
  <si>
    <t>88277 SINAPI MT 05/2018</t>
  </si>
  <si>
    <t>INSTALADOR DE TUBULACOES (TUBOS/EQUIPAMENTOS)</t>
  </si>
  <si>
    <t>CURSO DE CAPACITAÇÃO PARA MONTADOR  DE TUBO AÇO/EQUIPAMENTOS (ENCARGOS COMPLEMENTARES) - HORISTA</t>
  </si>
  <si>
    <t>95343 SINAPI MT 05/2018</t>
  </si>
  <si>
    <t>9834</t>
  </si>
  <si>
    <t>CAMADA DRENANTE COM BRITA NUM 3</t>
  </si>
  <si>
    <t>4722</t>
  </si>
  <si>
    <t>PEDRA BRITADA N. 3 (38 A 50 MM) POSTO PEDREIRA/FORNECEDOR, SEM FRETE</t>
  </si>
  <si>
    <t>11.016.0003-A</t>
  </si>
  <si>
    <t>DEMOLIÇÃO PISO DE CONCRETO</t>
  </si>
  <si>
    <t>DEMOLIÇÃO PISO DE PEDRA</t>
  </si>
  <si>
    <t>TCPO   3R 03 42 00 00 00 00 06 15</t>
  </si>
  <si>
    <t>Código:   3R 03 42 00 00 00 00 06 15   TCPO</t>
  </si>
  <si>
    <t>Código:   C1073  SEINFRA</t>
  </si>
  <si>
    <t>DEMOLIÇÃO DE REVESTIMENTO COM PEDRAS NATURAIS</t>
  </si>
  <si>
    <t>RETIRADA E TRANSPORTE DE GRADIL METÁLICO</t>
  </si>
  <si>
    <t>Código:   404018  CDHU</t>
  </si>
  <si>
    <t>RETIRADA DE BRINQUEDOS</t>
  </si>
  <si>
    <t>Código:   176050  SIURB EDIF</t>
  </si>
  <si>
    <t>176050 SIURB EDIF</t>
  </si>
  <si>
    <r>
      <t xml:space="preserve">VENTILADOR DE TETO HLVS INDUSTRIAL COM PÁS DE ALUMÍNIO POLIDO  </t>
    </r>
    <r>
      <rPr>
        <sz val="11"/>
        <color theme="1"/>
        <rFont val="Calibri"/>
        <family val="2"/>
      </rPr>
      <t>Ø</t>
    </r>
    <r>
      <rPr>
        <sz val="6.95"/>
        <color theme="1"/>
        <rFont val="Arial"/>
        <family val="2"/>
      </rPr>
      <t>2,50M</t>
    </r>
  </si>
  <si>
    <t>tubulação galvanizada</t>
  </si>
  <si>
    <t>ALTURA DO CILINDRO</t>
  </si>
  <si>
    <t>linha reta CAD (PISO + ALTURA DO FOGÃO)</t>
  </si>
  <si>
    <t>AR CONDICIONADO</t>
  </si>
  <si>
    <r>
      <t xml:space="preserve">dreno </t>
    </r>
    <r>
      <rPr>
        <sz val="11"/>
        <color theme="1"/>
        <rFont val="Calibri"/>
        <family val="2"/>
      </rPr>
      <t>Ø32mm</t>
    </r>
  </si>
  <si>
    <t>piso</t>
  </si>
  <si>
    <t>elevação</t>
  </si>
  <si>
    <t>lastro de areia</t>
  </si>
  <si>
    <t>bota fora</t>
  </si>
  <si>
    <t>8.5.3</t>
  </si>
  <si>
    <t>8.5.4</t>
  </si>
  <si>
    <t>8.5.5</t>
  </si>
  <si>
    <t>8.5.6</t>
  </si>
  <si>
    <t>8.5.7</t>
  </si>
  <si>
    <t>TUBO PVC 32MM PARA DRENO (descida)</t>
  </si>
  <si>
    <t>ASSENTAMENTO DE TUBO 32mm (piso)</t>
  </si>
  <si>
    <t>LASTRO DE AREIA</t>
  </si>
  <si>
    <t xml:space="preserve">módulo 3 e 4 </t>
  </si>
  <si>
    <t>8.5.8</t>
  </si>
  <si>
    <t>Aluguel container para escritorio ,medindo 2,20m largura  c/wc,medindo 2,20m largura,6,20m comprimento e 2,50m altura,chapas aco c/nervuras trapezoidais,isolamento termo-acustico forro,chassis reforcado e piso compensado (Sala Fiscalização)</t>
  </si>
  <si>
    <t xml:space="preserve">Aluguel container para escritorio ,medindo 2,20m largura  c/wc,medindo 2,20m largura,6,20m comprimento e 2,50m altura,chapas aco c/nervuras trapezoidais,isolamento termo-acustico forro,chassis reforcado e piso compensado  (Administração)  </t>
  </si>
  <si>
    <t>Aluguel container para escritorio ,medindo 2,20m largura  c/wc,medindo 2,20m largura,6,20m comprimento e 2,50m altura,chapas aco c/nervuras trapezoidais,isolamento termo-acustico forro,chassis reforcado e piso compensado (2 para Ferramentaria)</t>
  </si>
  <si>
    <t>Aluguel container para escritorio ,medindo 2,20m largura  c/wc,medindo 2,20m largura,6,20m comprimento e 2,50m altura,chapas aco c/nervuras trapezoidais,isolamento termo-acustico forro,chassis reforcado e piso compensado (Refeitório)</t>
  </si>
  <si>
    <t>Aluguel container para escritorio ,medindo 2,20m largura  c/wc,medindo 2,20m largura,6,20m comprimento e 2,50m altura,chapas aco c/nervuras trapezoidais,isolamento termo-acustico forro,chassis reforcado e piso compensado (bw/vestiário)</t>
  </si>
  <si>
    <t>1.2.4</t>
  </si>
  <si>
    <t>1.2.5</t>
  </si>
  <si>
    <t>LIGAÇÃO PROVISÓRIA DE ÁGUA</t>
  </si>
  <si>
    <t>1.1.4</t>
  </si>
  <si>
    <t>SINAPI 41598</t>
  </si>
  <si>
    <t>ENTRADA PROVISORIA DE ENERGIA ELETRICA AEREA TRIFASICA 40A EM POSTE MADEIRA</t>
  </si>
  <si>
    <t>Código:   41598  SINAPI</t>
  </si>
  <si>
    <t>406</t>
  </si>
  <si>
    <t>FITA ACO INOX PARA CINTAR POSTE, L = 19 MM, E = 0,5 MM (ROLO DE 30M)</t>
  </si>
  <si>
    <t>420</t>
  </si>
  <si>
    <t>CINTA CIRCULAR EM ACO GALVANIZADO DE 150 MM DE DIAMETRO PARA FIXACAO DE CAIXA MEDICAO, INCLUI PARAFUSOS E PORCAS</t>
  </si>
  <si>
    <t>857</t>
  </si>
  <si>
    <t>CABO DE COBRE NU 16 MM2 MEIO-DURO</t>
  </si>
  <si>
    <t>937</t>
  </si>
  <si>
    <t>FIO DE COBRE, SOLIDO, CLASSE 1, ISOLACAO EM PVC/A, ANTICHAMA BWF-B, 450/750V, SECAO NOMINAL 10 MM2</t>
  </si>
  <si>
    <t>1062</t>
  </si>
  <si>
    <t>CAIXA INTERNA DE MEDICAO PARA 1 MEDIDOR TRIFASICO, COM VISOR, EM CHAPA DE ACO 18 USG (PADRAO DA CONCESSIONARIA LOCAL)</t>
  </si>
  <si>
    <t>1096</t>
  </si>
  <si>
    <t>ARMACAO VERTICAL COM HASTE E CONTRA-PINO, EM CHAPA DE ACO GALVANIZADO 3/16", COM 4 ESTRIBOS E 4 ISOLADORES</t>
  </si>
  <si>
    <t>1539</t>
  </si>
  <si>
    <t>CONECTOR METALICO TIPO PARAFUSO FENDIDO (SPLIT BOLT), PARA CABOS ATE 16 MM2</t>
  </si>
  <si>
    <t>1892</t>
  </si>
  <si>
    <t>2392</t>
  </si>
  <si>
    <t>DISJUNTOR TIPO NEMA, TRIPOLAR 10  ATE  50A, TENSAO MAXIMA DE 415 V</t>
  </si>
  <si>
    <t>2685</t>
  </si>
  <si>
    <t>2731</t>
  </si>
  <si>
    <t>MADEIRA ROLICA TRATADA, EUCALIPTO OU EQUIVALENTE DA REGIAO, H = 12 M, D = 20 A 24 CM (PARA POSTE)</t>
  </si>
  <si>
    <t>4346</t>
  </si>
  <si>
    <t>PARAFUSO DE FERRO POLIDO, SEXTAVADO, COM ROSCA PARCIAL, DIAMETRO 5/8", COMPRIMENTO 6", COM PORCA E ARRUELA DE PRESSAO MEDIA</t>
  </si>
  <si>
    <t>11267</t>
  </si>
  <si>
    <t>ARRUELA REDONDA DE LATAO, DIAMETRO EXTERNO = 34 MM, ESPESSURA = 2,5 MM, DIAMETRO DO FURO = 17 MM</t>
  </si>
  <si>
    <t>12034</t>
  </si>
  <si>
    <t>CURVA 180 GRAUS, DE PVC RIGIDO ROSCAVEL, DE 3/4", PARA ELETRODUTO</t>
  </si>
  <si>
    <t>39176</t>
  </si>
  <si>
    <t>BUCHA EM ALUMINIO, COM ROSCA, DE 1", PARA ELETRODUTO</t>
  </si>
  <si>
    <t>39210</t>
  </si>
  <si>
    <t>ARRUELA EM ALUMINIO, COM ROSCA, DE 1", PARA ELETRODUTO</t>
  </si>
  <si>
    <t>Topógrafo</t>
  </si>
  <si>
    <t>CONSTRUÇÃO DA ESCOLA</t>
  </si>
  <si>
    <t>CENTRO DE ATIVIDADES POCONÉ</t>
  </si>
  <si>
    <t>VALOR MÉDIO MENSAL DA DESPESA COM TRANSPORTE DO PESSOAL DA ADMINISTRAÇÃO DIRETA (Custo Direto + B.D.I)</t>
  </si>
  <si>
    <t>RETIRADA DE BRINQUEDOS COM REAPROVEITAMENTO</t>
  </si>
  <si>
    <t>DEMOLICAO DE ALVENARIA DE TIJOLOS FURADOS S/REAPROVEITAMENTO  (mureta do muro, caixa de drenagem e piscina)</t>
  </si>
  <si>
    <t xml:space="preserve">CUMEEIRA EM TELHA ONDULADA  </t>
  </si>
  <si>
    <t>Código:   75220  SINAPI</t>
  </si>
  <si>
    <t>CUMEEIRA EM PERFIL ONDULADO DE ALUMÍNIO</t>
  </si>
  <si>
    <t>7241</t>
  </si>
  <si>
    <t>CUMEEIRA ALUMINIO ONDULADA, COMPRIMENTO = *1,12* M, E = 0,8 MM</t>
  </si>
  <si>
    <t>multiuso</t>
  </si>
  <si>
    <t>salas, bws, adm,  sala prof, multiuso</t>
  </si>
  <si>
    <t>SINAPI  72337</t>
  </si>
  <si>
    <t>CAIXAS DE PASSAGEM NO PISO</t>
  </si>
  <si>
    <t>SINAPI  83367</t>
  </si>
  <si>
    <t>SINAPI 83369</t>
  </si>
  <si>
    <t>SINAPI 93657</t>
  </si>
  <si>
    <t>SINAPI 93654</t>
  </si>
  <si>
    <t>SINAPI 93661</t>
  </si>
  <si>
    <t>SINAPI 93664</t>
  </si>
  <si>
    <t>SINAPI 93665</t>
  </si>
  <si>
    <t>SINAPI 93671</t>
  </si>
  <si>
    <t>SINAPI      74130/007</t>
  </si>
  <si>
    <t>SINAPI      74130/005</t>
  </si>
  <si>
    <t>SINAPI  74052/005</t>
  </si>
  <si>
    <t>CAIXA DE MEDIÇÃO COM ATERRAMENTO</t>
  </si>
  <si>
    <t>SINAPI  89985</t>
  </si>
  <si>
    <t>SINAPI  89987</t>
  </si>
  <si>
    <t>SINAPI  94792</t>
  </si>
  <si>
    <t>SINAPI  94501</t>
  </si>
  <si>
    <t>SINAPI  89356</t>
  </si>
  <si>
    <t>SINAPI  89357</t>
  </si>
  <si>
    <t>SINAPI  89448</t>
  </si>
  <si>
    <t>SINAPI  89450</t>
  </si>
  <si>
    <t>SINAPI  89452</t>
  </si>
  <si>
    <t>SINAPI  94655</t>
  </si>
  <si>
    <t>6.1</t>
  </si>
  <si>
    <t>6.1.1</t>
  </si>
  <si>
    <t>Revestimento Cerâmico</t>
  </si>
  <si>
    <t>SINAPI  72186</t>
  </si>
  <si>
    <t>SINAPI  72187</t>
  </si>
  <si>
    <t>6.1.2</t>
  </si>
  <si>
    <t>PAREDE:  REVESTIMENTOS, ELEMENTOS DECORATIVOS, PINTURA</t>
  </si>
  <si>
    <t>84665  SINAPI</t>
  </si>
  <si>
    <t>PINTURA ACRILICA PARA SINALIZAÇÃO HORIZONTAL EM PISO CIMENTADO</t>
  </si>
  <si>
    <t>6.2</t>
  </si>
  <si>
    <t>6.2.1</t>
  </si>
  <si>
    <t>SINAPI 74065/001</t>
  </si>
  <si>
    <t>6.2.2</t>
  </si>
  <si>
    <t>SINAPI  74190/001</t>
  </si>
  <si>
    <t>IMPERMEABILIZACAO DE SUPERFICIE COM MASTIQUE BETUMINOSO A FRIO, POR AREA.</t>
  </si>
  <si>
    <t>Código:   74190/001  SINAPI</t>
  </si>
  <si>
    <t xml:space="preserve">Código:   73686  SINAPI </t>
  </si>
  <si>
    <t>ARAME GALVANIZADO 16 BWG, 1,65MM (0,0166 KG/M)</t>
  </si>
  <si>
    <t>4433</t>
  </si>
  <si>
    <t>7247</t>
  </si>
  <si>
    <t>7252</t>
  </si>
  <si>
    <t>88253</t>
  </si>
  <si>
    <t>AUXILIAR DE TOPÓGRAFO COM ENCARGOS COMPLEMENTARES</t>
  </si>
  <si>
    <t>88288</t>
  </si>
  <si>
    <t>NIVELADOR COM ENCARGOS COMPLEMENTARES</t>
  </si>
  <si>
    <t>88253 SINAPI MT  05/2018</t>
  </si>
  <si>
    <t xml:space="preserve">AUXILIAR DE TOPÓGRAFO </t>
  </si>
  <si>
    <t>CURSO DE CAPACITAÇÃO PARA AUXILIAR DE TOPÓGRAFO (ENCARGOS COMPLEMENTARES) - HORISTA</t>
  </si>
  <si>
    <t>95322 SINAPI MT 05/2018</t>
  </si>
  <si>
    <t>AUXILIAR DE TOPÓGRAFO</t>
  </si>
  <si>
    <t xml:space="preserve">NIVELADOR </t>
  </si>
  <si>
    <t>88288 SINAPI MT  05/2018</t>
  </si>
  <si>
    <t>CURSO DE CAPACITAÇÃO PARA NIVELADOR (ENCARGOS COMPLEMENTARES) - HORISTA</t>
  </si>
  <si>
    <t>95352 SINAPI MT 05/2018</t>
  </si>
  <si>
    <t>NIVELADOR</t>
  </si>
  <si>
    <r>
      <t xml:space="preserve">BAMBU  </t>
    </r>
    <r>
      <rPr>
        <sz val="11"/>
        <color theme="1"/>
        <rFont val="Calibri"/>
        <family val="2"/>
      </rPr>
      <t>Ø</t>
    </r>
    <r>
      <rPr>
        <sz val="8.4499999999999993"/>
        <color theme="1"/>
        <rFont val="Arial"/>
        <family val="2"/>
      </rPr>
      <t>30MM  (cobertura de proteção)</t>
    </r>
  </si>
  <si>
    <t>SINAPI   73857/004</t>
  </si>
  <si>
    <t>TRANSFORMADOR DISTRIBUICAO  225KVA TRIFASICO 60HZ CLASSE 15KV IMERSO EM ÓLEO MINERAL FORNECIMENTO E INSTALACAO</t>
  </si>
  <si>
    <t>SINAPI  73783/006</t>
  </si>
  <si>
    <t>POSTE CONCRETO SEÇÃO CIRCULAR COMPRIMENTO=7M CARGA NOMINAL TOPO 200KG INCLUSIVE ESCAVACAO EXCLUSIVE TRANSPORTE - FORNECIMENTO E COLOCAÇÃO</t>
  </si>
  <si>
    <t>89709  SINAPI</t>
  </si>
  <si>
    <t>SINAPI  98081</t>
  </si>
  <si>
    <t>SINAPI  98057</t>
  </si>
  <si>
    <t>SINAPI  98077</t>
  </si>
  <si>
    <t>SINAPI  89849</t>
  </si>
  <si>
    <t>SINAPI  89711</t>
  </si>
  <si>
    <t>SINAPI  89714</t>
  </si>
  <si>
    <t>SINAPI  89713</t>
  </si>
  <si>
    <t>SINAPI  89712</t>
  </si>
  <si>
    <t>SINAPI  97902</t>
  </si>
  <si>
    <t>SINAPI  97903</t>
  </si>
  <si>
    <t>SINAPI  89708</t>
  </si>
  <si>
    <t>SINAPI  94102</t>
  </si>
  <si>
    <t>SINAPI  86942</t>
  </si>
  <si>
    <t>88270</t>
  </si>
  <si>
    <t>88270  SINAPI MT  05/2018</t>
  </si>
  <si>
    <t>Código:   97086 SINAPI MT</t>
  </si>
  <si>
    <t xml:space="preserve">FABRICAÇÃO, MONTAGEM E DESMONTAGEM DE FORMA PARA RADIER, EM MADEIRA SERRADA, 4 UTILIZAÇÕES. </t>
  </si>
  <si>
    <t>4491</t>
  </si>
  <si>
    <t>5068</t>
  </si>
  <si>
    <t>6193</t>
  </si>
  <si>
    <t>PECA DE MADEIRA NATIVA / REGIONAL 7,5 X 7,5CM (3X3) NAO APARELHADA (P/FORMA)</t>
  </si>
  <si>
    <t>PREGO DE ACO POLIDO COM CABECA 17 X 21 (2 X 11)</t>
  </si>
  <si>
    <t>TABUA MADEIRA 2A QUALIDADE 2,5 X 20,0CM (1 X 8") NAO APARELHADA</t>
  </si>
  <si>
    <t>7154</t>
  </si>
  <si>
    <t>TELA DE ACO SOLDADA NERVURADA CA-60, Q-138, (2,20 KG/M2), DIAMETRO DO FIO = 4,2 MM, LARGURA =  2,45 X 120 M DE COMPRIMENTO, ESPACAMENTO DA MALHA = 10 X 10 CM</t>
  </si>
  <si>
    <t>SINAPI  73994/001</t>
  </si>
  <si>
    <t>Código:   73872/001  SINAPI</t>
  </si>
  <si>
    <t>IMPERMEABILIZACAO COM PINTURA A BASE DE RESINA EPOXI ALCATRAO, UMA DEMAO.</t>
  </si>
  <si>
    <t>154</t>
  </si>
  <si>
    <t>TINTA/REVESTIMENTO  A BASE DE RESINA EPOXI COM ALCATRAO, BICOMPONENTE</t>
  </si>
  <si>
    <t>5318</t>
  </si>
  <si>
    <t>SOLVENTE DILUENTE A BASE DE AGUARRAS</t>
  </si>
  <si>
    <t>Código:   87473 SINAPI MT</t>
  </si>
  <si>
    <t>34547</t>
  </si>
  <si>
    <t>TELA DE ACO SOLDADA GALVANIZADA/ZINCADA PARA ALVENARIA, FIO  D = *1,20 A 1,70* MM, MALHA 15 X 15 MM, (C X L) *50 X 12* CM</t>
  </si>
  <si>
    <t>37395</t>
  </si>
  <si>
    <t>PINO DE ACO COM FURO, HASTE = 27 MM (ACAO DIRETA)</t>
  </si>
  <si>
    <t>37593</t>
  </si>
  <si>
    <t>BLOCO CERAMICO DE VEDACAO COM FUROS NA VERTICAL, 14 X 19 X 39 CM - 4,5 MPA (NBR 15270)</t>
  </si>
  <si>
    <t>CENTO</t>
  </si>
  <si>
    <t>87292</t>
  </si>
  <si>
    <t xml:space="preserve">ARGAMASSA TRAÇO 1:2:8 (CIMENTO, CAL E AREIA MÉDIA) PARA EMBOÇO/MASSA ÚNICA/ASSENTAMENTO DE ALVENARIA DE VEDAÇÃO, PREPARO MECÂNICO COM BETONEIRA 400 L. </t>
  </si>
  <si>
    <t>Código:   87292 SINAPI MT</t>
  </si>
  <si>
    <t>1106</t>
  </si>
  <si>
    <t>CAL HIDRATADA CH-I PARA ARGAMASSAS</t>
  </si>
  <si>
    <t>OPERADOR DE BETONEIRA COM ENCARGOS COMPLEMENTARES</t>
  </si>
  <si>
    <t>88831</t>
  </si>
  <si>
    <t>Código:   87878 SINAPI MT</t>
  </si>
  <si>
    <t>87377</t>
  </si>
  <si>
    <t xml:space="preserve">ARGAMASSA TRAÇO 1:3 (CIMENTO E AREIA GROSSA) PARA CHAPISCO CONVENCIONAL, PREPARO MANUAL. </t>
  </si>
  <si>
    <t>Código:   87377 SINAPI MT</t>
  </si>
  <si>
    <t>Código:   87529 SINAPI MT</t>
  </si>
  <si>
    <t xml:space="preserve">MASSA ÚNICA, PARA RECEBIMENTO DE PINTURA, EM ARGAMASSA TRAÇO 1:2:8, PREPARO MECÂNICO COM BETONEIRA 400L, APLICADA MANUALMENTE EM FACES INTERNAS DE PAREDES, ESPESSURA DE 20MM, COM EXECUÇÃO DE TALISCAS. </t>
  </si>
  <si>
    <t>Código:   87527 SINAPI MT</t>
  </si>
  <si>
    <t xml:space="preserve">EMBOÇO, PARA RECEBIMENTO DE CERÂMICA, EM ARGAMASSA TRAÇO 1:2:8, PREPARO MECÂNICO COM BETONEIRA 400L, APLICADO MANUALMENTE EM FACES INTERNAS DE PAREDES, PARA AMBIENTE COM ÁREA MENOR QUE 5M2, ESPESSURA DE 20MM, COM EXECUÇÃO DE TALISCAS. </t>
  </si>
  <si>
    <t>Código:   88415 SINAPI MT</t>
  </si>
  <si>
    <t xml:space="preserve">APLICAÇÃO MANUAL DE FUNDO SELADOR ACRÍLICO EM PAREDES EXTERNAS DE CASAS. </t>
  </si>
  <si>
    <t>SELADOR ACRILICO PAREDES INTERNAS/EXTERNAS</t>
  </si>
  <si>
    <t>Código:   95305 SINAPI MT</t>
  </si>
  <si>
    <t>Código:   74064/001 SINAPI MT</t>
  </si>
  <si>
    <t>7307</t>
  </si>
  <si>
    <t>FUNDO ANTICORROSIVO PARA METAIS FERROSOS (ZARCAO)</t>
  </si>
  <si>
    <t>Código:   73924/003 SINAPI MT</t>
  </si>
  <si>
    <t>3768</t>
  </si>
  <si>
    <t>LIXA EM FOLHA PARA FERRO, NUMERO 150</t>
  </si>
  <si>
    <t>7288</t>
  </si>
  <si>
    <t>TINTA ESMALTE SINTETICO PREMIUM FOSCO</t>
  </si>
  <si>
    <t>AZULEJISTA COM ENCARGOS COMPLEMENTARES</t>
  </si>
  <si>
    <t>Código:   74238/002 SINAPI MT</t>
  </si>
  <si>
    <t>PORTAO EM TELA ARAME GALVANIZADO N.12 MALHA 2" E MOLDURA EM TUBOS DE ACO COM DUAS FOLHAS DE ABRIR, INCLUSO FERRAGENS</t>
  </si>
  <si>
    <t>7167</t>
  </si>
  <si>
    <t>TELA DE ARAME GALV QUADRANGULAR / LOSANGULAR,  FIO 2,11 MM (14 BWG), MALHA  5 X 5 CM, H = 2 M</t>
  </si>
  <si>
    <t>7697</t>
  </si>
  <si>
    <t>TUBO ACO GALVANIZADO COM COSTURA, CLASSE MEDIA, DN 1.1/2", E = *3,25* MM, PESO *3,61* KG/M (NBR 5580)</t>
  </si>
  <si>
    <t>10997</t>
  </si>
  <si>
    <t>ELETRODO REVESTIDO AWS - E7018, DIAMETRO IGUAL A 4,00 MM</t>
  </si>
  <si>
    <t>21010</t>
  </si>
  <si>
    <t>TUBO ACO GALVANIZADO COM COSTURA, CLASSE LEVE, DN 25 MM ( 1"),  E = 2,65 MM,  *2,11* KG/M (NBR 5580)</t>
  </si>
  <si>
    <t>Código:   86914  SINAPI</t>
  </si>
  <si>
    <t xml:space="preserve">TORNEIRA CROMADA 1/2" OU 3/4" PARA TANQUE, PADRÃO MÉDIO - FORNECIMENTO E INSTALAÇÃO. </t>
  </si>
  <si>
    <t>13417</t>
  </si>
  <si>
    <t>TORNEIRA CROMADA SEM BICO PARA TANQUE 1/2 " OU 3/4 " (REF 1143)</t>
  </si>
  <si>
    <t>Código:   89707  SINAPI</t>
  </si>
  <si>
    <t>CAIXA SIFONADA, PVC, DN 100 X 100 X 50 MM, JUNTA ELÁSTICA, FORNECIDA E INSTALADA EM RAMAL DE DESCARGA OU EM RAMAL DE ESGOTO SANITÁRIO.</t>
  </si>
  <si>
    <t>5103</t>
  </si>
  <si>
    <t>CAIXA SIFONADA PVC, 100 X 100 X 50 MM, COM GRELHA REDONDA BRANCA</t>
  </si>
  <si>
    <t>7700</t>
  </si>
  <si>
    <t>TUBO ACO GALVANIZADO COM COSTURA, CLASSE MEDIA, DN 3/4", E = *2,65* MM, PESO *1,58* KG/M (NBR 5580)</t>
  </si>
  <si>
    <t>Código:   92688  SINAPI</t>
  </si>
  <si>
    <t>SINAPI     74244/001</t>
  </si>
  <si>
    <t>ALAMBRADO PARA QUADRA POLIESPORTIVA, ESTRUTURADO POR TUBOS DE ACO GALVANIZADO, COM COSTURA, DIN 2440, DIAMETRO 2", COM TELA DE ARAME GALVANIZADO, FIO 14 BWG E MALHA QUADRADA 5X5CM</t>
  </si>
  <si>
    <t>Código:   74244/001 SINAPI MT</t>
  </si>
  <si>
    <t>7696</t>
  </si>
  <si>
    <t>TUBO ACO GALVANIZADO COM COSTURA, CLASSE MEDIA, DN 2", E = *3,65* MM, PESO *5,10* KG/M (NBR 5580)</t>
  </si>
  <si>
    <t>333</t>
  </si>
  <si>
    <t>ARAME GALVANIZADO 14 BWG, D = 2,11 MM (0,026 KG/M)</t>
  </si>
  <si>
    <t>335</t>
  </si>
  <si>
    <t>ARAME GALVANIZADO 10 BWG, 3,40 MM (0,0713 KG/M)</t>
  </si>
  <si>
    <t>Código:   9537 SINAPI MT</t>
  </si>
  <si>
    <t>ACIDO MURIATICO, DILUICAO 10% A 12% PARA USO EM LIMPEZA</t>
  </si>
  <si>
    <t>SINAPI 9537</t>
  </si>
  <si>
    <t>Código:   84665 SINAPI MT</t>
  </si>
  <si>
    <t>7343</t>
  </si>
  <si>
    <t>TINTA A BASE DE RESINA ACRILICA, PARA SINALIZACAO HORIZONTAL VIARIA (NBR 11862)</t>
  </si>
  <si>
    <t>Código:   72254 SINAPI</t>
  </si>
  <si>
    <t>CABO DE COBRE NU 50MM2 - FORNECIMENTO E INSTALACAO</t>
  </si>
  <si>
    <t>LS: 118,57%</t>
  </si>
  <si>
    <t>ok</t>
  </si>
  <si>
    <t>PECA DE MADEIRA 3A QUALIDADE 2,5 X 10CM NAO APARELHADA</t>
  </si>
  <si>
    <t>PARAFUSO DE LATAO COM ROSCA SOBERBA, CABECA CHATA E FENDA SIMPLES, DIAMETRO 4,8 MM, COMPRIMENTO 65 MM</t>
  </si>
  <si>
    <t>CDHU  409499</t>
  </si>
  <si>
    <t>OK</t>
  </si>
  <si>
    <t>88278 SINAPI MT 05/2018</t>
  </si>
  <si>
    <t>25957</t>
  </si>
  <si>
    <t>MONTADOR DE ESTRUTURAS METALICAS</t>
  </si>
  <si>
    <t>CURSO DE CAPACITAÇÃO PARA MONTADOR DE ESTRUTURA METÁLICA (ENCARGOS COMPLEMENTARES) - HORISTA</t>
  </si>
  <si>
    <t>95344 SINAPI MT 05/2018</t>
  </si>
  <si>
    <t>AQUECEDOR SOLAR CAPACIDADE DO RESERVATORIO 1000 L, INCLUI 10 PLACAS COLETORAS DE 1,42 M2</t>
  </si>
  <si>
    <t>Código:   1501401450   EMOP RJ</t>
  </si>
  <si>
    <t>RESERVATORIO TERMICO DE BAIXA PRESSAO, PARA SISTEMA DE AQUECIMENTO SOLAR, COM 1000L, EXCLUSIVE INSTALACOES E PLACAS COLETORAS</t>
  </si>
  <si>
    <t>INSTALACAO DE SISTEMA DE AQUECIMENTO SOLAR, PARA 1000L, E 5 COLETORES VERTICAIS OU HORIZONTAIS, EXCLUSIVE RESERVATORIOS E PLACAS COLETORAS</t>
  </si>
  <si>
    <t>AR-CONDICIONADO FRIO SPLIT PISO-TETO 48000 BTU/H</t>
  </si>
  <si>
    <t>SINAPI  39842</t>
  </si>
  <si>
    <t>AR-CONDICIONADO FRIO SPLIT PISO-TETO 36000 BTU/H</t>
  </si>
  <si>
    <t>SINAPI  39841</t>
  </si>
  <si>
    <t>SINAPI  91967</t>
  </si>
  <si>
    <t>SINAPI  91959</t>
  </si>
  <si>
    <t>SIURB  101466</t>
  </si>
  <si>
    <t>DISPENSER PAPEL TOALHA, DE PAREDE, MANUAL, PARA SANITÁRIOS - ABS - ALTO IMPACTO - AUTO CORTE</t>
  </si>
  <si>
    <t>Código:   101466  SIURB</t>
  </si>
  <si>
    <t>TOALHEIRO PLASTICO TIPO DISPENSER PARA PAPEL TOALHA INTERFOLHADO</t>
  </si>
  <si>
    <t>SINAPI  95544</t>
  </si>
  <si>
    <t xml:space="preserve">PAPELEIRA DE PAREDE EM METAL CROMADO SEM TAMPA, INCLUSO FIXAÇÃO. </t>
  </si>
  <si>
    <t>BARRA DE APOIO EM ACO INOXIDAVEL AISI 304,TUBO DE 1.1/4",INC LUSIVE FIXACAO COM PARAFUSOS INOXIDAVEIS E BUCHAS PLASTICAS, COM 80CM,PARA PESSOAS COM NECESSIDADES ESPECIFICAS.FORNECIME NTO E COLOCACAO</t>
  </si>
  <si>
    <t>BARRA DE APOIO RETA, EM ACO INOX POLIDO, COMPRIMENTO 80CM, DIAMETRO MINIMO 3 CM</t>
  </si>
  <si>
    <t>Código:   1801601060  EMOP</t>
  </si>
  <si>
    <t>Código:   1801601080  EMOP</t>
  </si>
  <si>
    <t>BARRA DE APOIO EM ACO INOXIDAVEL AISI 304,TUBO DE 1 1/4",INC LUSIVE FIXACAO COM PARAFUSOS INOXIDAVEIS E BUCHAS PLASTICAS, COM 70CM,PARA PESSOAS COM NECESSIDADES ESPECIFICAS.FORNECIME NTO E COLOCACAO</t>
  </si>
  <si>
    <t>BARRA DE APOIO RETA, EM ACO INOX POLIDO, COMPRIMENTO 70CM, DIAMETRO MINIMO 3 CM</t>
  </si>
  <si>
    <t>Código:   1801601050  EMOP</t>
  </si>
  <si>
    <t>BARRA DE APOIO EM ACO INOXIDAVEL AISI 304,TUBO DE 1.1/4",INC LUSIVE FIXACAO COM PARAFUSOS INOXIDAVEIS E BUCHAS PLASTICAS, COM 50CM,PARA PESSOAS COM NECESSIDADES ESPECIFICAS.FORNECIME NTO E COLOCACAO</t>
  </si>
  <si>
    <t>BARRA DE APOIO RETA, EM ACO INOX POLIDO, COMPRIMENTO 60CM, DIAMETRO MINIMO 3 CM</t>
  </si>
  <si>
    <t>Código:   1801601400  EMOP</t>
  </si>
  <si>
    <t>BANCO ARTICULADO,COM CANTOS ARREDONDADOS E SUPERFICIE ANTIDE RRAPANTE IMPERMEAVEL,DIMENSOES MINIMAS 0,45X0,70M,EM ACO INO XIDAVEL AISI 304,TUBO DE 1 1/4",PARA PESSOAS COM NECESSIDADE S ESPECIFICAS.FORNCIMENTO E COLOCACAO</t>
  </si>
  <si>
    <t>BANCO ARTICULADO PARA BANHO, EM ACO INOX POLIDO, 70* CM X 45* CM</t>
  </si>
  <si>
    <t xml:space="preserve">BARRA DE APOIO 50CM EM ACO INOXIDAVEL AISI 304, TUBO DE 1.1/4", INCLUSIVE FIXACAO COM PARAFUSOS INOXIDAVEIS E BUCHAS PLASTICAS, PARA PESSOAS COM NECESSIDADES ESPECIFICAS. FORNECIMENTO E COLOCACAO  (lavatório - banheiro PNE)    </t>
  </si>
  <si>
    <t>TIJOLO CERAMICO MACICO *5 X 10 X 20* CM</t>
  </si>
  <si>
    <t>Código:   86943  SINAPI</t>
  </si>
  <si>
    <t xml:space="preserve">Código:  </t>
  </si>
  <si>
    <t>3R 23 42 17 00 00 00 05 42    TCPO</t>
  </si>
  <si>
    <t>4351</t>
  </si>
  <si>
    <t>PARAFUSO NIQUELADO 3 1/2" COM ACABAMENTO CROMADO PARA FIXAR PECA SANITARIA, INCLUI PORCA CEGA, ARRUELA E BUCHA DE NYLON TAMANHO S-8</t>
  </si>
  <si>
    <t>TANQUE DE AÇO INOXIDÁVEL</t>
  </si>
  <si>
    <t>SIFAO EM METAL CROMADO PARA TANQUE, 1.1/4 X 1.1/2 "</t>
  </si>
  <si>
    <t>TANQUE ACO INOXIDAVEL (ACO 304) COM ESFREGADOR E VALVULA, DE *50 X 40 X 22* CM</t>
  </si>
  <si>
    <t>TCPO  3R 23 42 17 00 00 00 05 42</t>
  </si>
  <si>
    <t>EMOP   15.014.0145-0</t>
  </si>
  <si>
    <t>JUNCAO SIMPLES, PVC SERIE R, DN 100 X 75 MM, PARA ESGOTO PREDIAL</t>
  </si>
  <si>
    <t>JOELHO, PVC SERIE R, 90 GRAUS, DN 100 MM, PARA ESGOTO PREDIAL</t>
  </si>
  <si>
    <t>TUBO PVC, SERIE R, DN 100 MM, PARA ESGOTO OU AGUAS PLUVIAIS PREDIAL (NBR 5688)</t>
  </si>
  <si>
    <t>TE, PVC, SERIE R, 100 X 100 MM, PARA ESGOTO PREDIAL</t>
  </si>
  <si>
    <t>TE SANITARIO, PVC, DN 50 X 50 MM, SERIE NORMAL, PARA ESGOTO PREDIAL</t>
  </si>
  <si>
    <t>TUBO PVC, SERIE R, DN 50 MM, PARA ESGOTO OU AGUAS PLUVIAIS PREDIAL (NBR 5688)</t>
  </si>
  <si>
    <t>JOELHO, PVC SERIE R, 90 GRAUS, DN 50 MM, PARA ESGOTO PREDIAL</t>
  </si>
  <si>
    <t>JUNCAO SIMPLES, PVC, DN 100 X 50 MM, SERIE NORMAL PARA ESGOTO PREDIAL</t>
  </si>
  <si>
    <t xml:space="preserve">Caixa de gordura especial em alvenaria de tijolos maciços (7x10x20cm), em paredes de uma vez (0,20m), medindo 0,80x0,80x0,90m, inclusive revestimento interno em argamassa de cimento e areia no traço, construído conforme projeto   </t>
  </si>
  <si>
    <t>BDI: 24,50%</t>
  </si>
  <si>
    <t>ABRIGO PARA HIDRANTE, 75X45X17CM, COM REGISTRO GLOBO ANGULAR 45º 2.1/2", ADAPTADOR STORZ 2.1/2", MANGUEIRA DE INCÊNDIO 15M, REDUÇÃO 2.1/2X1.1/2" E ESGUICHO EM LATÃO 1.1/2" - FORNECIMENTO E INSTALAÇÃO</t>
  </si>
  <si>
    <t>SINAPI  72283</t>
  </si>
  <si>
    <t>CAIXA DE INCÊNDIO 60X75X17CM - FORNECIMENTO E INSTALAÇÃO</t>
  </si>
  <si>
    <t>EXTINTOR DE PQS 4KG - FORNECIMENTO E INSTALACAO</t>
  </si>
  <si>
    <t>72553  SINAPI</t>
  </si>
  <si>
    <t>EXTINTOR INCENDIO AGUA-PRESSURIZADA 10L INCL SUPORTE PAREDE CARGA     COMPLETA FORNECIMENTO E COLOCACAO</t>
  </si>
  <si>
    <t>73775/002  SINAPI</t>
  </si>
  <si>
    <t>PLACA ESMALTADA PARA IDENTIFICAÇÃO NR DE RUA, DIMENSÕES 45X25CM</t>
  </si>
  <si>
    <t>TAMPAO FOFO ARTICULADO</t>
  </si>
  <si>
    <t>Kit Central Alarme De Incêndio 24 Setores Completa E Bateria</t>
  </si>
  <si>
    <t>8.8.7</t>
  </si>
  <si>
    <t>8.8.8</t>
  </si>
  <si>
    <t>8.8.9</t>
  </si>
  <si>
    <t>8.8.10</t>
  </si>
  <si>
    <t>8.8.11</t>
  </si>
  <si>
    <t>8.8.12</t>
  </si>
  <si>
    <t xml:space="preserve">Sinalizador Acustico Visual </t>
  </si>
  <si>
    <t xml:space="preserve">Acionador Manual </t>
  </si>
  <si>
    <t>EMOP  02.015.0001-0</t>
  </si>
  <si>
    <t>7.6</t>
  </si>
  <si>
    <t>7.7</t>
  </si>
  <si>
    <t>7.8</t>
  </si>
  <si>
    <t>=Orçamento!C119</t>
  </si>
  <si>
    <t xml:space="preserve">    Unidade SESC POCONÉ</t>
  </si>
  <si>
    <t>CONSTRUÇÃO DE ESCOLA DE ENSINO FUNDAMENTAL  II</t>
  </si>
  <si>
    <t xml:space="preserve">TOTAL DA PLANILHA (BDI = 24,50 %): </t>
  </si>
  <si>
    <t>Várzea Grande, julho de 2018</t>
  </si>
  <si>
    <t>BRISE DE MADEIRA DE LEI APARELHADA</t>
  </si>
  <si>
    <t>Código:   408971  CDHU</t>
  </si>
  <si>
    <t>AJUDANTE GERAL COM ENCARGOS COMPLEMENTARES</t>
  </si>
  <si>
    <t>BRISE DE MADEIRA</t>
  </si>
  <si>
    <t>MADEIRA SERRADA NAO APARELHADA DE MACARANDUBA, ANGELIM OU EQUIVALENTE DA REGIAO</t>
  </si>
  <si>
    <t>238x40</t>
  </si>
  <si>
    <t>86877</t>
  </si>
  <si>
    <t xml:space="preserve">VÁLVULA EM METAL CROMADO 1.1/2" X 1.1/2" PARA TANQUE OU LAVATÓRIO, COM OU SEM LADRÃO - FORNECIMENTO E INSTALAÇÃO. </t>
  </si>
  <si>
    <t>86883</t>
  </si>
  <si>
    <t xml:space="preserve">SIFÃO DO TIPO FLEXÍVEL EM PVC 1 X 1.1/2 - FORNECIMENTO E INSTALAÇÃO. </t>
  </si>
  <si>
    <t>Código:  86877 SINAPI MT</t>
  </si>
  <si>
    <t>VÁLVULA EM METAL CROMADO 1.1/2" X 1.1/2" PARA TANQUE OU LAVATÓRIO, COM OU SEM LADRÃO - FORNECIMENTO E INSTALAÇÃO.</t>
  </si>
  <si>
    <t>6157</t>
  </si>
  <si>
    <t>VALVULA EM METAL CROMADO PARA PIA AMERICANA 3.1/2 X 1.1/2 "</t>
  </si>
  <si>
    <t>Código:  86883 SINAPI MT</t>
  </si>
  <si>
    <t>6148</t>
  </si>
  <si>
    <t>SIFAO PLASTICO FLEXIVEL SAIDA VERTICAL PARA COLUNA LAVATORIO, 1 X 1.1/2 "</t>
  </si>
  <si>
    <t>BALCAO DE MADEIRA REVESTIDO COM LAMINADO MELAMINICO E=25CM</t>
  </si>
  <si>
    <t>BALCAO DE MADEIRA REVESTIDO COM LAMINADO MELAMINICO E=25CM    (2,38 x 0,40cm)</t>
  </si>
  <si>
    <t>COMP 04</t>
  </si>
  <si>
    <t>405615  CDHU</t>
  </si>
  <si>
    <t>BUCHA DE NYLON, DIAMETRO DO FURO 8 MM, COMPRIMENTO 40 MM, COM PARAFUSO DE ROSCA SOBERBA, CABECA CHATA, FENDA SIMPLES, 4,8 X 50 MM</t>
  </si>
  <si>
    <t xml:space="preserve"> INSTALACAO DE SISTEMA DE AQUECIMENTO SOLAR, PARA 200L  1 COLETOR VERTICAL OU HORIZONTAL, EXCLUSIVE RESERVATORIOS </t>
  </si>
  <si>
    <t>RESERVATORIO TERMICO DE BAIXA PRESSAO,PARA SISTEMA DE AQUECIMENTO DE ÁGUA SOLAR ,COM 200L.</t>
  </si>
  <si>
    <t>APARELHO MISTURADOR DE MESA PARA LAVATÓRIO, PADRÃO MÉDIO - FORNECIMENTO E INSTALAÇÃO.</t>
  </si>
  <si>
    <t xml:space="preserve"> Ponto de esgoto primário com tubo PVC e conexões Ø 100 mm</t>
  </si>
  <si>
    <t>CHAPA DE MDF BRANCO LISO 2 FACES, E = 25 MM, DE *2,75 X 1,85* M</t>
  </si>
  <si>
    <t>Código:   405615  CDHU</t>
  </si>
  <si>
    <t>CUBA DE LOUÇA BRANCA DE SEMI-ENCAIXE  36 X 32 CM</t>
  </si>
  <si>
    <t xml:space="preserve">CUBA DE SEMI ENCAIXE EM LOUÇA BRANCA, 40 X 40CM OU EQUIVALENTE, INCLUSO VÁLVULA EM METAL CROMADO E SIFÃO FLEXÍVEL EM PVC - FORNECIMENTO E INSTALAÇÃO. </t>
  </si>
  <si>
    <t xml:space="preserve">CUBA DE SEMI ENCAIXE EM LOUÇA BRANCA, 40 X 40CM OU EQUIVALENTE - FORNECIMENTO E INSTALAÇÃO. </t>
  </si>
  <si>
    <t>CUBA DE SEMI ENCAIXE EM LOUÇA BRANCA, 40 X 40CM OU EQUIVALENTE - FORNECIMENTO E INSTALAÇÃO.</t>
  </si>
  <si>
    <t xml:space="preserve">LAVATORIO/CUBA DE SEMI ENCAIXE LOUCA BRANCA                   42 X 42CM                      </t>
  </si>
  <si>
    <t>86901SINAPI</t>
  </si>
  <si>
    <t xml:space="preserve">BANCADA DE GRANITO CINZA POLIDO PARA LAVATÓRIO 2,50 X 0,60 M COM ESCOAMENTO OCULTO - FORNECIMENTO E INSTALAÇÃO. </t>
  </si>
  <si>
    <t>250x60</t>
  </si>
  <si>
    <t>BANCADA DE GRANITO CINZA CORUMBÁ POLIDO PARA LAVATÓRIO 2,50 X 0,60 M COM ESCOAMENTO OCULTO - FORNECIMENTO E INSTALAÇÃO. (banheiros)</t>
  </si>
  <si>
    <t>LAVATÓRIO LOUÇA BRANCA SUSPENSO,  29,5 X 39CM OU EQUIVALENTE, PADRÃO POPULAR, INCLUSO SIFÃO FLEXÍVEL EM PVC, VÁLVULA E ENGATE FLEXÍVEL 30CM EM PLÁSTICO E TORNEIRA CROMADA DE MESA, PADRÃO POPULAR - FORNECIMENTO E INSTALAÇÃO.  (banheiro PNE)</t>
  </si>
  <si>
    <t>SINAPI  86941</t>
  </si>
  <si>
    <t>LAVATÓRIO LOUÇA BRANCA COM COLUNA, 45 X 55CM OU EQUIVALENTE, PADRÃO MÉDIO, INCLUSO SIFÃO TIPO GARRAFA, VÁLVULA E ENGATE FLEXÍVEL DE 40CM EM METAL CROMADO, COM TORNEIRA CROMADA DE MESA, PADRÃO MÉDIO - FORNECIMENTO E INSTALAÇÃO. (banheiro funcionários)</t>
  </si>
  <si>
    <t>padovani.com.br</t>
  </si>
  <si>
    <t>40729 SINAPI</t>
  </si>
  <si>
    <t>13</t>
  </si>
  <si>
    <t>ESTOPA</t>
  </si>
  <si>
    <t>VALVULA DE DESCARGA COM SENSOR</t>
  </si>
  <si>
    <t>PROPRIA</t>
  </si>
  <si>
    <t>AJUDANTE DE PEDREIRO COM ENCARGOS COMPLEMENTARES</t>
  </si>
  <si>
    <t>Código:   88242 SINAPI MT</t>
  </si>
  <si>
    <t>AJUDANTE DE PEDREIRO</t>
  </si>
  <si>
    <t>CURSO DE CAPACITAÇÃO PARA AJUDANTE DE PEDREIRO (ENCARGOS COMPLEMENTARES) - HORISTA</t>
  </si>
  <si>
    <t>95312 SINAPI MT 05/2018</t>
  </si>
  <si>
    <t>6127</t>
  </si>
  <si>
    <t xml:space="preserve">TORNEIRA CROMADA DE MESA, TEMPORIZADA, 1/2" OU 3/4", PARA LAVATÓRIO. FORNECIMENTO E INSTALAÇÃO. </t>
  </si>
  <si>
    <t>DECA  TODIMO</t>
  </si>
  <si>
    <t>998PÇ</t>
  </si>
  <si>
    <t>CAVILHA DE MADEIRA 20UNID</t>
  </si>
  <si>
    <t>COTAÇÃO MARCENAL 3616.8888</t>
  </si>
  <si>
    <t>Código:   89709  SINAPI</t>
  </si>
  <si>
    <t xml:space="preserve">RALO SIFONADO, PVC, DN 100 X 40 MM, JUNTA SOLDÁVEL, FORNECIDO E INSTALADO EM RAMAL DE DESCARGA OU EM RAMAL DE ESGOTO SANITÁRIO. </t>
  </si>
  <si>
    <t>408976  CDHU</t>
  </si>
  <si>
    <t>Código:   COMP.04</t>
  </si>
  <si>
    <t>EMOP  18.021.0105-0</t>
  </si>
  <si>
    <t>CAIXA SIFONADA 150x150x75MM</t>
  </si>
  <si>
    <t>RALO 100X40MM</t>
  </si>
  <si>
    <t>3148</t>
  </si>
  <si>
    <t>FITA VEDA ROSCA EM ROLOS DE 18 MM X 50 M (L X C)</t>
  </si>
  <si>
    <t>CHUVEIRO COM VÁLVULA TERMOSTÁTICA</t>
  </si>
  <si>
    <t>PREÇO INTERNET</t>
  </si>
  <si>
    <t>DUCHA METALICA DE PAREDE, ARTICULAVEL, COM DESVIADOR E DUCHA MANUAL</t>
  </si>
  <si>
    <t>SINAPI  72288</t>
  </si>
  <si>
    <t xml:space="preserve">TCPO   3R 09 15 00 00 00 01 25 94    </t>
  </si>
  <si>
    <t>TCPO  3R 29 32 34 00 00 00 02 01</t>
  </si>
  <si>
    <t>SEINFRA  C0389</t>
  </si>
  <si>
    <t xml:space="preserve">Bloco autônomo </t>
  </si>
  <si>
    <t>SEINFRAC2275</t>
  </si>
  <si>
    <t>TCPO  3R 29 32 34 00 00 00 02 02</t>
  </si>
  <si>
    <t>TCPO  3R 23 42 24 00 00 00 05 05</t>
  </si>
  <si>
    <t>SIURB EDIF           10-14-86</t>
  </si>
  <si>
    <t>EMOP  18.016.0010-0</t>
  </si>
  <si>
    <t>Fermat</t>
  </si>
  <si>
    <t>3634.4165</t>
  </si>
  <si>
    <t>R$/m</t>
  </si>
  <si>
    <t>Com Ferr Silva</t>
  </si>
  <si>
    <t>3322.5311</t>
  </si>
  <si>
    <t>3634.3050</t>
  </si>
  <si>
    <t>Perfilados</t>
  </si>
  <si>
    <t>ESTICADOR PARA CABO DE AÇO 3/16"</t>
  </si>
  <si>
    <t>CABO DE AÇO</t>
  </si>
  <si>
    <t>ESTICADOR 3/16'</t>
  </si>
  <si>
    <t>É O MENOR DISPONÍVEL</t>
  </si>
  <si>
    <t>Aluguel de Caminhão Munk</t>
  </si>
  <si>
    <t>SINAPI 40994</t>
  </si>
  <si>
    <t>Operador de Munk</t>
  </si>
  <si>
    <t>incluso combustível e salário, excluso refeição e alojamento</t>
  </si>
  <si>
    <t xml:space="preserve">Código:   96995 SINAPI </t>
  </si>
  <si>
    <t xml:space="preserve">Código:   94103 SINAPI </t>
  </si>
  <si>
    <t xml:space="preserve">Código:   72897 SINAPI </t>
  </si>
  <si>
    <t xml:space="preserve">Código:   96523 SINAPI </t>
  </si>
  <si>
    <t xml:space="preserve">Código:   93358 SINAPI </t>
  </si>
  <si>
    <t>DEMOLIÇÃO DE PISO CIMENTADO SOBRE LASTRO DE CONCRETO</t>
  </si>
  <si>
    <t>Código:   73847/001  SINAPI</t>
  </si>
  <si>
    <t>ALUGUEL CONTAINER/ESCRIT INCL INST ELET LARG=2,20 COMP=6,20M ALT=2,50M CHAPA ACO C/NERV TRAPEZ FORRO C/ISOL TERM/ACUSTICO CHASSIS REFORC PISO COMPENS NAVAL EXC TRANSP/CARGA/DESCARGA</t>
  </si>
  <si>
    <t xml:space="preserve">Código:   3R 02 57 27 00 00 00 01 06  TCPO </t>
  </si>
  <si>
    <t xml:space="preserve">Código:   96619 SINAPI </t>
  </si>
  <si>
    <t>Código:   94107 SINAPI</t>
  </si>
  <si>
    <t xml:space="preserve">Código:   68053 SINAPI </t>
  </si>
  <si>
    <t>CORTE E DOBRA DE AÇO CA-50, DIÂMETRO DE 8,0 MM, UTILIZADO EM ESTRUTURAS DIVERSAS, EXCETO LAJES</t>
  </si>
  <si>
    <t xml:space="preserve">Código:   96545 SINAPI </t>
  </si>
  <si>
    <t xml:space="preserve">Código:   73994/001 SINAPI </t>
  </si>
  <si>
    <t>ARMACAO EM TELA DE ACO SOLDADA NERVURADA Q-138,    ACO CA-60, 4,2MM,  MALHA 10X10CM</t>
  </si>
  <si>
    <t xml:space="preserve">Código:   73902/001  SINAPI </t>
  </si>
  <si>
    <t>Código:   75029/001  SINAPI</t>
  </si>
  <si>
    <t xml:space="preserve">Código:   83671 SINAPI </t>
  </si>
  <si>
    <t xml:space="preserve">Código:   96546 SINAPI </t>
  </si>
  <si>
    <t>CORTE E DOBRA DE AÇO CA-50, DIÂMETRO DE 10,0 MM, UTILIZADO EM ESTRUTURAS DIVERSAS, EXCETO LAJES</t>
  </si>
  <si>
    <t xml:space="preserve">Código:   83665 SINAPI </t>
  </si>
  <si>
    <t>Código:   73970/001 SINAPI</t>
  </si>
  <si>
    <t xml:space="preserve">93281 SINAPI </t>
  </si>
  <si>
    <t xml:space="preserve">93277 SINAPI </t>
  </si>
  <si>
    <t xml:space="preserve">93278 SINAPI </t>
  </si>
  <si>
    <t xml:space="preserve">93279 SINAPI </t>
  </si>
  <si>
    <t xml:space="preserve">93280 SINAPI </t>
  </si>
  <si>
    <t>SINAPI  86878</t>
  </si>
  <si>
    <t xml:space="preserve">VÁLVULA EM METAL CROMADO TIPO AMERICANA 3.1/2" X 1.1/2" PARA PIA - FORNECIMENTO E INSTALAÇÃO. </t>
  </si>
  <si>
    <t>SINAPI  86910</t>
  </si>
  <si>
    <t>SINAPI  86881</t>
  </si>
  <si>
    <t xml:space="preserve">SIFÃO DO TIPO GARRAFA EM METAL CROMADO 1 X 1.1/2" - FORNECIMENTO E INSTALAÇÃO. </t>
  </si>
  <si>
    <t xml:space="preserve">TORNEIRA CROMADA TUBO MÓVEL, DE PAREDE, 1/2" OU 3/4", PARA PIA DE COZINHA, PADRÃO MÉDIO - FORNECIMENTO E INSTALAÇÃO. </t>
  </si>
  <si>
    <t>EMOP   15.005.0280-0</t>
  </si>
  <si>
    <t>DUTO COIFA  (0,40 x 0,75 x 6,75)M</t>
  </si>
  <si>
    <t>DUTO DE EXAUSTÃO   (0,60 x 0,875 x 6,75)M</t>
  </si>
  <si>
    <t>EMOP  18.034.0100-0</t>
  </si>
  <si>
    <t>SISTEMA DE EXAUSTÃO DE FOGÕES</t>
  </si>
  <si>
    <t>ATÉ AQUI</t>
  </si>
  <si>
    <t>SINAPI      74157/004</t>
  </si>
  <si>
    <t>SINAPI  97900</t>
  </si>
  <si>
    <t>SINAPI  97901</t>
  </si>
  <si>
    <t>SINAPI  97904</t>
  </si>
  <si>
    <t>COMP 05</t>
  </si>
  <si>
    <t>Código:   COMP 05</t>
  </si>
  <si>
    <t>COMP 06</t>
  </si>
  <si>
    <t>Código:   COMP 06</t>
  </si>
  <si>
    <t>COMP 06.01</t>
  </si>
  <si>
    <t>Código:  COMP 06.01</t>
  </si>
  <si>
    <t>COMP 07</t>
  </si>
  <si>
    <t>Código:   COMP 07</t>
  </si>
  <si>
    <t>COMP 08</t>
  </si>
  <si>
    <t>Código:   COMP 08</t>
  </si>
  <si>
    <t>PCMAT / PCMSO / PPRA</t>
  </si>
  <si>
    <r>
      <t xml:space="preserve">Reservatório Metálico </t>
    </r>
    <r>
      <rPr>
        <sz val="11"/>
        <color theme="1"/>
        <rFont val="Calibri"/>
        <family val="2"/>
      </rPr>
      <t>Ø</t>
    </r>
    <r>
      <rPr>
        <sz val="11"/>
        <color theme="1"/>
        <rFont val="Arial"/>
        <family val="2"/>
      </rPr>
      <t>1,50M  87.600L</t>
    </r>
  </si>
  <si>
    <t>jhoyleno@gmail.com</t>
  </si>
  <si>
    <r>
      <t xml:space="preserve"> 12 varas </t>
    </r>
    <r>
      <rPr>
        <sz val="11"/>
        <color theme="1"/>
        <rFont val="Calibri"/>
        <family val="2"/>
      </rPr>
      <t>Ø3cm 3,30m R$40</t>
    </r>
  </si>
  <si>
    <t>varas</t>
  </si>
  <si>
    <t>dúzias</t>
  </si>
  <si>
    <t>frete</t>
  </si>
  <si>
    <t>por m2</t>
  </si>
  <si>
    <t>EQUIPE ADMINISTRATIVA</t>
  </si>
  <si>
    <t>1.3.5</t>
  </si>
  <si>
    <t>SALÁRIOS</t>
  </si>
  <si>
    <t>Motorista Operador de Munk</t>
  </si>
  <si>
    <t>Motrista de Onibus/micro-onibus</t>
  </si>
  <si>
    <t>SINAPI 40992</t>
  </si>
  <si>
    <t>SINAPI  40914</t>
  </si>
  <si>
    <t>SINAPI  41065</t>
  </si>
  <si>
    <t>SINAPI  41086</t>
  </si>
  <si>
    <t>SINAPI  41089</t>
  </si>
  <si>
    <t>bw</t>
  </si>
  <si>
    <t>rodapé</t>
  </si>
  <si>
    <t>impermeabilização</t>
  </si>
  <si>
    <t>parede 30cm</t>
  </si>
  <si>
    <t>Carpinteiro</t>
  </si>
  <si>
    <t>Eletricista</t>
  </si>
  <si>
    <t>Painéis</t>
  </si>
  <si>
    <t>FECHAMENTOS: PAINÉIS, ESQUADRIAS E VIDROS</t>
  </si>
  <si>
    <t>PAINEL WALL 1,20 X 2,50 M  E=40MM</t>
  </si>
  <si>
    <t>PAINEL WALL PARA PISO</t>
  </si>
  <si>
    <t>COMP 09</t>
  </si>
  <si>
    <t>Código:   COMP 09</t>
  </si>
  <si>
    <t>PAINEL WALL PARA PISO   2500 x 1200 X 40</t>
  </si>
  <si>
    <t>8.1.15</t>
  </si>
  <si>
    <t>8.1.32</t>
  </si>
  <si>
    <t>8.4.2</t>
  </si>
  <si>
    <t>8.4.7</t>
  </si>
  <si>
    <t>8.6.30</t>
  </si>
  <si>
    <t>8.6.31</t>
  </si>
  <si>
    <t>8.6.32</t>
  </si>
  <si>
    <t>8.6.33</t>
  </si>
  <si>
    <t>8.7.1</t>
  </si>
  <si>
    <t>PAINEL WALL PARA PAREDE</t>
  </si>
  <si>
    <t>BDI 24,50%</t>
  </si>
  <si>
    <t>MÃO-DE-OBRA MENSAL</t>
  </si>
  <si>
    <t>MENSALISTA 75,25%</t>
  </si>
  <si>
    <t>Ajudante de Operação em Geral</t>
  </si>
  <si>
    <t>SINAPI  40810</t>
  </si>
  <si>
    <t>VIDRO LAMINADO 6MM</t>
  </si>
  <si>
    <t>Código:   COMP 12</t>
  </si>
  <si>
    <t>COMP 12</t>
  </si>
  <si>
    <t>10498</t>
  </si>
  <si>
    <t>MASSA PARA VIDRO</t>
  </si>
  <si>
    <t>VIDRACEIRO COM ENCARGOS COMPLEMENTARES</t>
  </si>
  <si>
    <t>VIDRO COMUM LAMINADO, LISO, INCOLOR, DUPLO, ESPESSURA TOTAL 6 MM (CADA CAMADA E= 3 MM) - COLOCADO</t>
  </si>
  <si>
    <t>88325  SINAPI MT  05/2018</t>
  </si>
  <si>
    <t xml:space="preserve">VIDRACEIRO </t>
  </si>
  <si>
    <t>CURSO DE CAPACITAÇÃO PARA VIDRACEIRO (ENCARGOS COMPLEMENTARES) - HORISTA</t>
  </si>
  <si>
    <t>95387 SINAPI MT 05/2018</t>
  </si>
  <si>
    <t>VIDRACEIRO</t>
  </si>
  <si>
    <t>VIDRO LAMINADO  8MM  (cobertura circulação cozinha/refeitório)</t>
  </si>
  <si>
    <t>COMP 13</t>
  </si>
  <si>
    <t>Código:   COMP 13</t>
  </si>
  <si>
    <t>VIDRO LAMINADO 8MM</t>
  </si>
  <si>
    <t>VIDRO COMUM LAMINADO LISO INCOLOR DUPLO, ESPESSURA TOTAL 8 MM (CADA CAMADA DE 4 MM) - COLOCADO</t>
  </si>
  <si>
    <t>VIDRO COMUM 8MM</t>
  </si>
  <si>
    <t>COMP 14</t>
  </si>
  <si>
    <t>Código:   COMP 14</t>
  </si>
  <si>
    <t>VIDRO LISO INCOLOR 8MM  -  SEM COLOCACAO</t>
  </si>
  <si>
    <t>4.3.3</t>
  </si>
  <si>
    <t>9.4.1</t>
  </si>
  <si>
    <t>9.4.2</t>
  </si>
  <si>
    <t>9.4.9</t>
  </si>
  <si>
    <t>Abrigo Container de Lixo</t>
  </si>
  <si>
    <t>9.4.3</t>
  </si>
  <si>
    <t>9.4.4</t>
  </si>
  <si>
    <t>9.4.5</t>
  </si>
  <si>
    <t>9.4.6</t>
  </si>
  <si>
    <t>9.4.7</t>
  </si>
  <si>
    <t>9.4.8</t>
  </si>
  <si>
    <t>9.4.10</t>
  </si>
  <si>
    <t>9.4.11</t>
  </si>
  <si>
    <t>PERGOLADO DE BAMBU</t>
  </si>
  <si>
    <t>5.7</t>
  </si>
  <si>
    <t>5.8</t>
  </si>
  <si>
    <t>FORNECIMENTO E COLOCAÇÃO DE TELHA PVC RÍGIDA TRANSLÚCIDA ONDULADA</t>
  </si>
  <si>
    <t>VERDÃO 3314.1000 MOREIRA</t>
  </si>
  <si>
    <t>366X110</t>
  </si>
  <si>
    <t>PÇ</t>
  </si>
  <si>
    <t>PARAFUSO ZINCADO ROSCA SOBERBA, CABECA SEXTAVADA, 5/16 " X 50 MM, PARA FIXACAO DE TELHA EM MADEIRA</t>
  </si>
  <si>
    <t>CONJUNTO ARRUELAS DE VEDACAO 5/16" PARA TELHA FIBROCIMENTO (UMA ARRUELA METALICA E UMA ARRUELA PVC - CONICAS)</t>
  </si>
  <si>
    <t>060230 SIURB</t>
  </si>
  <si>
    <t>COMP 10</t>
  </si>
  <si>
    <t>Código:  COMP 10</t>
  </si>
  <si>
    <t>TELHA DE PVC RÍGIDO TRANSLÚCIDA PERFIL ONDULADO 366 X 110MM</t>
  </si>
  <si>
    <t>TELHA TRANSLÚCIDA ONDULADA (cobertura das passarelas)</t>
  </si>
  <si>
    <t>Código:  COMP 11</t>
  </si>
  <si>
    <t>COMP 11</t>
  </si>
  <si>
    <r>
      <t xml:space="preserve">BAMBU </t>
    </r>
    <r>
      <rPr>
        <sz val="8"/>
        <rFont val="Calibri"/>
        <family val="2"/>
      </rPr>
      <t>Ø3CM</t>
    </r>
  </si>
  <si>
    <t>CDHU</t>
  </si>
  <si>
    <t>por m</t>
  </si>
  <si>
    <t>entrada refeitório</t>
  </si>
  <si>
    <t>COMP. 15</t>
  </si>
  <si>
    <t>Código:   COMP. 15</t>
  </si>
  <si>
    <t>RAMPA (área equivalente ao Vol)</t>
  </si>
  <si>
    <t>9.3.18</t>
  </si>
  <si>
    <t>ALIMENTAÇÃO</t>
  </si>
  <si>
    <r>
      <t xml:space="preserve">Fornecimento e instalação de malha de aterramento em cabo de cobre nú ø 50 mm² </t>
    </r>
    <r>
      <rPr>
        <sz val="11"/>
        <color rgb="FFFF0000"/>
        <rFont val="Arial"/>
        <family val="2"/>
      </rPr>
      <t xml:space="preserve"> </t>
    </r>
  </si>
  <si>
    <t>SINAPI  40818</t>
  </si>
  <si>
    <t>SINAPI  40918</t>
  </si>
  <si>
    <t>LEIS SOCIAIS 118,57%</t>
  </si>
  <si>
    <t>MÃO-DE-OBRA  POR MÊS</t>
  </si>
  <si>
    <t>TOTAL MÃO-DE-OBRA  L.S. 75,25%</t>
  </si>
  <si>
    <t>TOTAL MÃO-DE-OBRA  sem leis sociais</t>
  </si>
  <si>
    <t xml:space="preserve">Motorista </t>
  </si>
  <si>
    <t>1.1.1.1</t>
  </si>
  <si>
    <t>1.1.1.2</t>
  </si>
  <si>
    <t>1.1.1.3</t>
  </si>
  <si>
    <t>1.1.1.4</t>
  </si>
  <si>
    <t>1.1.1.5</t>
  </si>
  <si>
    <t>1.1.1.6</t>
  </si>
  <si>
    <t>1.1.1.7</t>
  </si>
  <si>
    <t>1.1.1.8</t>
  </si>
  <si>
    <t>1.1.1.9</t>
  </si>
  <si>
    <t>1.1.1.10</t>
  </si>
  <si>
    <t>1.2.1.1</t>
  </si>
  <si>
    <t>1.2.1.2</t>
  </si>
  <si>
    <t>1.2.1.3</t>
  </si>
  <si>
    <t>1.3.6</t>
  </si>
  <si>
    <t>1.3.7</t>
  </si>
  <si>
    <t>1.3.8</t>
  </si>
  <si>
    <t>1.3.9</t>
  </si>
  <si>
    <t>PERFIL MONTANTE, FORMATO C, EM ACO ZINCADO, PARA ESTRUTURA PAREDE DRYWALL, E = 0,5 MM, 70 X 3000 MM (L X C)</t>
  </si>
  <si>
    <t>BUCHA DE NYLON SEM ABA S6, COM PARAFUSO DE 4,20 X 40 MM EM ACO ZINCADO COM ROSCA SOBERBA, CABECA CHATA E FENDA PHILLIPS</t>
  </si>
  <si>
    <t>gradil, portões docas</t>
  </si>
  <si>
    <t>quadro resumo</t>
  </si>
  <si>
    <t>lastro concreto magro</t>
  </si>
  <si>
    <t>Gradil e Portões de Acesso</t>
  </si>
  <si>
    <t>PORTAO EM TELA ARAME GALVANIZADO N.12 MALHA 2" E MOLDURA EM TUBOS DE ACO COM DUAS FOLHAS DE ABRIR, INCLUSO FERRAGENS  (5,00 x 2,10m - Docas) 2unid</t>
  </si>
  <si>
    <t>concreto 25MPa</t>
  </si>
  <si>
    <t>ESCAVAÇÃO MANUAL (blocos e baldrames)</t>
  </si>
  <si>
    <t xml:space="preserve">CORTE E ATERRO COMPENSADO </t>
  </si>
  <si>
    <t>COMP 01</t>
  </si>
  <si>
    <t>Código:   COMP 01</t>
  </si>
  <si>
    <t>LUMINÁRIA DE EMERGÊNCIA - FORNECIMENTO E INSTALAÇÃO</t>
  </si>
  <si>
    <t>SINAPI  73916/002</t>
  </si>
  <si>
    <t>SINAPI  97599</t>
  </si>
  <si>
    <t>SINAPI  83627</t>
  </si>
  <si>
    <t>4.2.5</t>
  </si>
  <si>
    <t>4.2.6</t>
  </si>
  <si>
    <t>SEINFRA C1073</t>
  </si>
  <si>
    <t xml:space="preserve">CDHU 404018 </t>
  </si>
  <si>
    <t xml:space="preserve">SUB-TOTAL ITEM 9.4 </t>
  </si>
  <si>
    <t>SUB-TOTAL ITEM 9.3</t>
  </si>
  <si>
    <t>SUB-TOTAL ITEM 9.2</t>
  </si>
  <si>
    <t>SUB-TOTAL ITEM 9.1</t>
  </si>
  <si>
    <t>SUB-TOTAL ITEM 8.8</t>
  </si>
  <si>
    <t>SUB-TOTAL ITEM 8.7</t>
  </si>
  <si>
    <t>SUB-TOTAL ITEM 8.6</t>
  </si>
  <si>
    <t>SUB-TOTAL ITEM 8.5</t>
  </si>
  <si>
    <t>SUB-TOTAL ITEM 8.4</t>
  </si>
  <si>
    <t>SUB-TOTAL ITEM 8.3</t>
  </si>
  <si>
    <t>SUB-TOTAL ITEM 8.2</t>
  </si>
  <si>
    <t>SUB-TOTAL ITEM 8.1</t>
  </si>
  <si>
    <t>SUB-TOTAL ITEM 4.3</t>
  </si>
  <si>
    <t>SUB-TOTAL ITEM 6.1</t>
  </si>
  <si>
    <t>SUB-TOTAL ITEM 4.2</t>
  </si>
  <si>
    <t>SUB-TOTAL ITEM 4.1</t>
  </si>
  <si>
    <t>SUB-TOTAL ITEM 2.4</t>
  </si>
  <si>
    <t>SUB-TOTAL ITEM 2.3</t>
  </si>
  <si>
    <t>SUB-TOTAL ITEM 2.1</t>
  </si>
  <si>
    <t>SUB-TOTAL ITEM 2.2</t>
  </si>
  <si>
    <t>SUB-TOTAL ITEM 1.4</t>
  </si>
  <si>
    <t>SUB-TOTAL ITEM 1.3</t>
  </si>
  <si>
    <t>SUB-TOTAL ITEM 1.2</t>
  </si>
  <si>
    <t>SUB-TOTAL ITEM 1.1</t>
  </si>
  <si>
    <t>salas de aula, sala prof, adm</t>
  </si>
  <si>
    <t xml:space="preserve">bw </t>
  </si>
  <si>
    <t>PISO VINÍLICO 30X30</t>
  </si>
  <si>
    <t>PISO EM EPÓXI</t>
  </si>
  <si>
    <t>SUB-TOTAL ITEM 6.2</t>
  </si>
  <si>
    <t>SINAPI  84656</t>
  </si>
  <si>
    <t>TRATAMENTO EM  CONCRETO COM ESTUQUE E LIXAMENTO</t>
  </si>
  <si>
    <t>PINTURA EPOXI INCLUSO EMASSAMENTO E FUNDO PREPARADOR</t>
  </si>
  <si>
    <t>SINAPI  84647</t>
  </si>
  <si>
    <t>PISO VINILICO SEMIFLEXIVEL PADRAO LISO, ESPESSURA 3,2MM, FIXADO COM COLA (salas de aula, sala professores, administração)</t>
  </si>
  <si>
    <t>SINAPI  92362</t>
  </si>
  <si>
    <t>TUBO DE AÇO PRETO SEM COSTURA, CONEXÃO SOLDADA, DN 65 (2 1/2"), INSTALADO EM REDE DE ALIMENTAÇÃO PARA HIDRANTE - FORNECIMENTO E INSTALAÇÃO.</t>
  </si>
  <si>
    <t>Código:   COMP 16</t>
  </si>
  <si>
    <t>ELETRODUTO EM AÇO GALVANIZADO DN 50 (1") - FORNECIMENTO E ASSENTAMENTO</t>
  </si>
  <si>
    <t>8.8.13</t>
  </si>
  <si>
    <t>8.8.14</t>
  </si>
  <si>
    <t>8.8.15</t>
  </si>
  <si>
    <t>8.8.16</t>
  </si>
  <si>
    <t>95754</t>
  </si>
  <si>
    <t xml:space="preserve">LUVA DE EMENDA PARA ELETRODUTO, AÇO GALVANIZADO, DN 25 MM (1''), APARENTE, INSTALADA EM TETO - FORNECIMENTO E INSTALAÇÃO. </t>
  </si>
  <si>
    <t>Código:   95754  SINAPI</t>
  </si>
  <si>
    <t>2638</t>
  </si>
  <si>
    <t>LUVA PARA ELETRODUTO, EM ACO GALVANIZADO ELETROLITICO, DIAMETRO DE 25 MM (1")</t>
  </si>
  <si>
    <t>COMP 16</t>
  </si>
  <si>
    <t>ELETRODUTO EM ACO GALVANIZADO ELETROLITICO, LEVE, DIAMETRO 1", PAREDE DE 0,90 MM,  INCLUSO CONEXÕES</t>
  </si>
  <si>
    <t>SUB-TOTAL ITEM 9.5</t>
  </si>
  <si>
    <t>Código:   3R 10 31 00 00 00 00 03 05   TCPO</t>
  </si>
  <si>
    <t>AZULEJO ASSENTADO COM COLA ESPECIAL A BASE DE PVA, JUNTAS A PRUMO</t>
  </si>
  <si>
    <t>COLA BRANCA BASE PVA</t>
  </si>
  <si>
    <t xml:space="preserve"> 3R 10 31 00 00 00 00 03 05   TCPO</t>
  </si>
  <si>
    <t>REVESTIMENTO EM CERAMICA ESMALTADA EXTRA, PEI MAIOR OU IGUAL 4, FORMATO MAIOR A 2025 CM2</t>
  </si>
  <si>
    <t>SINAPI  87249</t>
  </si>
  <si>
    <t>REVESTIMENTO CERÂMICO PARA PISO COM PLACAS TIPO ESMALTADA EXTRA DE DIMENSÕES 45X45 CM APLICADA EM AMBIENTES DE ÁREA MENOR QUE 5 M2</t>
  </si>
  <si>
    <t>SINAPI  87273</t>
  </si>
  <si>
    <t>REVESTIMENTO CERÂMICO PARA PAREDES INTERNAS COM PLACAS TIPO ESMALTADA EXTRA DE DIMENSÕES 33X45 CM APLICADAS EM AMBIENTES DE ÁREA MAIOR QUE 5 M² NA ALTURA INTEIRA DAS PAREDES.</t>
  </si>
  <si>
    <t>PINTURA ESMALTE SINTETICO 2 DEMAOS EM ESTRUTURA METALICA COM 1 DEMAO DE PRIMER</t>
  </si>
  <si>
    <t>Código:   406783  CDHU</t>
  </si>
  <si>
    <t>PRIMER UNIVERSAL, FUNDO ANTICORROSIVO TIPO ZARCAO</t>
  </si>
  <si>
    <t>CDHU  406783</t>
  </si>
  <si>
    <t>C2103  SEINFRA</t>
  </si>
  <si>
    <t>REJUNTAMENTO P/CERÂMICA C/ L-FLEX E EPOXI (PAREDE/PISO)</t>
  </si>
  <si>
    <t>Código:   C2103  SEINFRA</t>
  </si>
  <si>
    <t xml:space="preserve">REJUNTAMENTO EPOXI P/CERÂMICA </t>
  </si>
  <si>
    <t>TELHAMENTO COM TELHA METÁLICA TERMOACÚSTICA E = 50 MM, INCLUSO IÇAMENTO.</t>
  </si>
  <si>
    <t>94216sinapi</t>
  </si>
  <si>
    <t>Código:  COMP 17</t>
  </si>
  <si>
    <t>COMP 17</t>
  </si>
  <si>
    <t>PINTURA ESMALTE FOSCO PARA MADEIRA, DUAS DEMAOS, SOBRE FUNDO NIVELADOR BRANCO (painel e portas wall)</t>
  </si>
  <si>
    <t>comp ok</t>
  </si>
  <si>
    <t>8.8.17</t>
  </si>
  <si>
    <t>SINAPI  83633</t>
  </si>
  <si>
    <t>HIDRANTE SUBTERRANEO FERRO FUNDIDO C/ CURVA LONGA E CAIXA DN=75MM</t>
  </si>
  <si>
    <t>TRANSPORTES E CAMINHÃO MUNK</t>
  </si>
  <si>
    <t>378.81</t>
  </si>
  <si>
    <t>BANCO ARTICULADO,COM CANTOS ARREDONDADOS E SUPERFICIE ANTIDE RRAPANTE IMPERMEAVEL,DIMENSOES MINIMAS 0,45X0,70M,EM ACO INOXIDAVEL AISI 304,TUBO DE 1 1/4",PARA PESSOAS COM NECESSIDADE S ESPECIFICAS.FORNCIMENTO E COLOCACAO  (chuveiro -banheiro PNE)</t>
  </si>
  <si>
    <t xml:space="preserve">PONTO PARA CAIXAS DE SOM   </t>
  </si>
  <si>
    <t>TELHAMENTO COM TELHA METÁLICA TERMOACÚSTICA TIPO SANDUICHE, COM PREENCHIMENTO EM LÃ DE PET, CALANDRADA, INCLUSO IÇAMENTO</t>
  </si>
  <si>
    <t>Outros</t>
  </si>
  <si>
    <t>ALOJAMENTO</t>
  </si>
  <si>
    <t>VB</t>
  </si>
  <si>
    <t>1.2.2</t>
  </si>
  <si>
    <t>Base Sinapi 05/2018</t>
  </si>
  <si>
    <t>LEIS SOCIAIS 118,57%      BDI 24,5%</t>
  </si>
  <si>
    <t>ESCAVAÇÃO MANUAL PARA BLOCO DE COROAMENTO OU SAPATA</t>
  </si>
  <si>
    <t xml:space="preserve">ESCAVAÇÃO MANUAL PARA BLOCO DE COROAMENTO OU SAPATA,   COM PREVISÃO DE FORMA </t>
  </si>
  <si>
    <t>CARGA MANUAL DE ENTULHO EM CAMINHAO BASCULANTE 6M3 - BOTA-FORA, empolamento 30%</t>
  </si>
  <si>
    <t xml:space="preserve"> PLACA DE OBRA MODELO SESC EM CHAPA DE AÇO GALVANIZADO, FORNECIMENTO E COLOCAÇÃO</t>
  </si>
  <si>
    <t>PEÇA DE MADEIRA NAO APARELHADA *7,5 X 7,5* CM (3 X 3 ") MACARANDUBA, ANGELIM OU EQUIVALENTE DA REGIAO</t>
  </si>
  <si>
    <t>PEÇA DE MADEIRA NATIVA/REGIONAL 2,5 X 7 CM (SARRAFO-P/FORMA)</t>
  </si>
  <si>
    <t>PLACA DE OBRA (PARA CONSTRUCAO CIVIL) EM CHAPA GALVANIZADA  *N.22*,    DE  *2,0 X 1,125* M</t>
  </si>
  <si>
    <t>PREGO DE AÇO POLIDO COM CABEÇA 18 X 30 (2 3/4 X 10)</t>
  </si>
  <si>
    <t xml:space="preserve">ESCAVAÇÃO MANUAL DE VALA COM PROFUNDIDADE MENOR    OU IGUAL A 1,30 M. </t>
  </si>
  <si>
    <t>PEÇA DE MADEIRA 3A QUALIDADE 2,5 X 10CM NAO APARELHADA  (SARRAFO 1" X 4")</t>
  </si>
  <si>
    <t>PEÇA DE MADEIRA NAO APARELHADA *7,5 X 7,5* CM (3 X 3 ") MAÇARANDUBA, ANGELIM OU EQUIVALENTE DA REGIAO  (PONTALETE)</t>
  </si>
  <si>
    <t>TELHA DE AÇO ZINCADO TRAPEZOIDAL, A = *40* MM, E = 0,5 MM, SEM PINTURA</t>
  </si>
  <si>
    <t>TCPO    3R 02 57 27 00 00 00 01 06</t>
  </si>
  <si>
    <t>ENTRADA PROVISORIA DE ENERGIA ELETRICA AÉREA TRIFASICA 40A EM POSTE DE MADEIRA</t>
  </si>
  <si>
    <t>TAPUME DE PROTEÇÃO COM TELHA TRAPEZOIDAL EM AÇO GALVANIZADO #0,43MM EM ESTRUTUTA DE MADEIRA</t>
  </si>
  <si>
    <t>ARMAÇAO EM TELA DE AÇO SOLDADA NERVURADA Q-138  (laje e piso)</t>
  </si>
  <si>
    <t>LANÇAMENTO/APLICAÇÃO MANUAL DE CONCRETO (laje e piso)</t>
  </si>
  <si>
    <t>FORNECIMENTO/INSTALAÇÃO LONA PLÁSTICA PRETA, PARA IMPERMEABILIZAÇÃO, ESPESSURA 150 MICRAS.</t>
  </si>
  <si>
    <t>CARGA MANUAL DE ENTULHO EM CAMINHÃO BASCULANTE 6M3 (bota fora)</t>
  </si>
  <si>
    <t>IMPERMEABILIZAÇÃO COM PINTURA A BASE DE RESINA EPOXI ALCATRÃO, UMA DEMÃO.  (laje)</t>
  </si>
  <si>
    <t>CONCRETO FCK = 25MPa, TRAÇO 1:2,3:2,7 (CIMENTO/ AREIA MÉDIA/ BRITA 1)  - PREPARO MECÂNICO COM BETONEIRA 400 L. (sapatas)</t>
  </si>
  <si>
    <t>LANÇAMENTO/APLICAÇÃO MANUAL DE CONCRETO (sapatas)</t>
  </si>
  <si>
    <t>CONCRETO FCK = 25MPa, TRAÇO 1:2,3:2,7 (CIMENTO/ AREIA MÉDIA/ BRITA 1)  - PREPARO MECÂNICO COM BETONEIRA 400 L</t>
  </si>
  <si>
    <t>LANÇAMENTO/APLICAÇÃO MANUAL DE CONCRETO EM FUNDAÇÕES</t>
  </si>
  <si>
    <t>LASTRO DE VALA COM PREPARO DE FUNDO, LARGURA MENOR QUE 1,5 M, COM CAMADA           DE BRITA, LANÇAMENTO MANUAL, EM LOCAL COM NÍVEL BAIXO DE INTERFERÊNCIA</t>
  </si>
  <si>
    <t>FORNECIMENTO E INSTALAÇÃO DE MANTA BIDIM RT - 14</t>
  </si>
  <si>
    <t>GEOTEXTIL NÃO TECIDO AGULHADO DE FILAMENTOS CONTINUOS 100% POLIESTER, RESITENCIA A TRAÇÃO = 14 KN/M</t>
  </si>
  <si>
    <t>TUBO PVC DN 100 MM PARA DRENAGEM - FORNECIMENTO E INSTALAÇÃO</t>
  </si>
  <si>
    <t>TUBO PVC CORRUGADO RIGIDO PERFURADO DN 150 PARA DRENAGEM - FORNECIMENTO E INSTALAÇÃO</t>
  </si>
  <si>
    <t>TUBO PVC, RIGIDO, CORRUGADO, PERFURADO, DN 150 MM, PARA DRENAGEM, SISTEMA IRRIGAÇÃO</t>
  </si>
  <si>
    <t>ESTRUTURA METÁLICA EM AÇO ESTRUTURAL PERFIL  I  12 X 5 1/4"</t>
  </si>
  <si>
    <t>PERFIL "I" DE AÇO LAMINADO, "W" 410 X 67</t>
  </si>
  <si>
    <t>SOLDA TOPO DESCENDENTE CHANFRADA ESPESSURA=1/4" CHAPA/PERFIL/TUBO AÇO COM CONVERSOR DIESEL.</t>
  </si>
  <si>
    <t>ESTRUTURA METALICA EM AÇO ESTRUTURAL PERFIL I 12 X 5 1/4</t>
  </si>
  <si>
    <t>PREGO DE AÇO POLIDO COM CABEÇA 15 X 15 (1 1/4 X 13)</t>
  </si>
  <si>
    <t>MASSA DE REJUNTE EM PÓ PARA DRYWALL, A BASE DE GESSO, SECAGEM RÁPIDA, PARA TRATAMENTO DE JUNTAS DE CHAPA DE GESSO (COM ADIÇÃO DE ÁGUA)</t>
  </si>
  <si>
    <t>PARAFUSO CABEÇA TROMBETA E PONTA AGULHA (GN55), COMPRIMENTO 55 MM, EM AÇO FOSFATIZADO, PARA FIXAR CHAPA DE GESSO EM PERFIL DRYWALL METÁLICO MÁXIMO 0,7 MM</t>
  </si>
  <si>
    <t>PERFIL GUIA, FORMATO U, EM AÇO ZINCADO, PARA ESTRUTURA PAREDE DRYWALL, E = 0,5 MM, 70 X 3000 MM (L X C)</t>
  </si>
  <si>
    <t>PAREDES EM PAINEL WALL</t>
  </si>
  <si>
    <t>ALUMINIO ANODIZADO</t>
  </si>
  <si>
    <t>JANELA DE ALUMINIO ANODIZADO AO NATURAL, TIPO PIVOTANTE, COM PAINEL PIVOTANTE VERTICAL, EM PERFIS SERIE 28. FORNECIMENTO E COLOCAÇÃO</t>
  </si>
  <si>
    <t>Código:   14.03.0061-0 EMOP</t>
  </si>
  <si>
    <t>EMOP    14.03.0061-0</t>
  </si>
  <si>
    <t>TABUA MADEIRA 2A QUALIDADE 2,5 X 30CM (1 X 12") NAO APARELHADA</t>
  </si>
  <si>
    <t>PREGO DE AÇO POLIDO COM CABEÇA 15 X 18 (1 1/2 X 13)</t>
  </si>
  <si>
    <t>LOCAÇÃO DA OBRA, COM USO DE EQUIPAMENTOS TOPOGRAFICOS</t>
  </si>
  <si>
    <t>LOCAÇÃO DE NIVEL ÓPTICO, COM PRECISÃO DE 0,7 MM, AUMENTO DE 32X</t>
  </si>
  <si>
    <t>LOCAÇÃO DE TEODOLITO ELETRONICO, PRECISÃO ANGULAR DE 5 A 7 SEGUNDOS, INCLUINDO TRIPE</t>
  </si>
  <si>
    <t>TCPO 3R 23 42 40 00 00 00 05 29</t>
  </si>
  <si>
    <t>SINAPI 90841</t>
  </si>
  <si>
    <t>SINAPI 90844</t>
  </si>
  <si>
    <t>KIT DE PORTA DE MADEIRA PARA PINTURA, SEMI-OCA (LEVE OU MÉDIA), PADRÃO MÉDIO, 80X210CM, ESPESSURA DE 3,5CM, ITENS INCLUSOS: DOBRADIÇAS, MONTAGEM E INSTALAÇÃO DO BATENTE, FECHADURA COM EXECUÇÃO DO FURO - FORNECIMENTO E INSTALAÇÃO</t>
  </si>
  <si>
    <t>KIT DE PORTA DE MADEIRA PARA PINTURA, SEMI-OCA (LEVE OU MÉDIA), PADRÃO MÉDIO, 80X200CM, ESPESSURA DE 3,5CM, ITENS INCLUSOS: DOBRADIÇAS, MONTAGEM E INSTALAÇÃO DO BATENTE, FECHADURA COM EXECUÇÃO DO FURO - FORNECIMENTO E INSTALAÇÃO</t>
  </si>
  <si>
    <t>KIT DE PORTA DE MADEIRA PARA PINTURA, SEMI-OCA (LEVE OU MÉDIA), PADRÃO MÉDIO, 60X200CM, ESPESSURA DE 3,5CM, ITENS INCLUSOS: DOBRADIÇAS, MONTAGEM E INSTALAÇÃO DO BATENTE, FECHADURA COM EXECUÇÃO DO FURO - FORNECIMENTO E INSTALAÇÃO</t>
  </si>
  <si>
    <t>KIT DE PORTA DE MADEIRA PARA PINTURA, SEMI-OCA (LEVE OU MÉDIA), PADRÃO MÉDIO, 110X210CM, ESPESSURA DE 3,5CM, ITENS INCLUSOS: DOBRADIÇAS, MONTAGEM E INSTALAÇÃO DO BATENTE, FECHADURA COM EXECUÇÃO DO FURO - FORNECIMENTO E INSTALAÇÃO</t>
  </si>
  <si>
    <t>CARGA MANUAL DE ENTULHO EM CAMINHÃO BASCULANTE 6M3 - BOTA-FORA, empolamento 30%</t>
  </si>
  <si>
    <t xml:space="preserve">LASTRO DE VALA COM PREPARO DE FUNDO, LARGURA MENOR QUE 1,50M, COM CAMADA DE BRITA, LANÇAMENTO MANUAL, EM LOCAL COM NÍVEL BAIXO DE INTERFERÊNCIA. </t>
  </si>
  <si>
    <t>TUBO PVC DN 150MM PARA DRENAGEM - FORNECIMENTO E INSTALAÇÃO</t>
  </si>
  <si>
    <t>TELHA ISOLANTE COM NÚCLEO EM POLIESTIRENO (EPS), E = 50 MM, REVESTIDA EM TELHA TRAPEZOIDAL DE AÇO ZINCADO *0,5* MM COM PRÉ-PINTURA NAS DUAS FACES (NÃO INCLUI ACESSÓRIOS DE FIXAÇÃO)</t>
  </si>
  <si>
    <t>HASTE RETA PARA GANCHO DE FERRO GALVANIZADO, COM ROSCA 1/4 " X 30 CM PARA FIXAÇÃO DE TELHA METÁLICA, INCLUI PORCA E ARRUELAS DE VEDAÇÃO</t>
  </si>
  <si>
    <t>PREGO DE AÇO POLIDO COM CABEÇA 18 X 27 (2 1/2 X 10)</t>
  </si>
  <si>
    <t>CALHA EM CHAPA DE AÇO GALVANIZADO NÚMERO 24, DESENVOLVIMENTO DE 100 CM, INCLUSO TRANSPORTE VERTICAL</t>
  </si>
  <si>
    <t>CALHA QUADRADA DE CHAPA DE AÇO GALVANIZADA NUM 24, CORTE 100 CM (COLETADO CAIXA)</t>
  </si>
  <si>
    <t>SERVENTE COM ENCARGOS SOCIAIS</t>
  </si>
  <si>
    <t>Beira Rio</t>
  </si>
  <si>
    <t>Verdão</t>
  </si>
  <si>
    <t xml:space="preserve">ASSENTO PARA VASO SANITARIO </t>
  </si>
  <si>
    <t>LUCIA</t>
  </si>
  <si>
    <t>LOURDES</t>
  </si>
  <si>
    <t>ASSENTO ESPECIAL PARA VASO SANITARIO PARA PESSOAS COM NECESSIDADES ESPECIFICAS. FORNECIMENTO E COLOCAÇÃO</t>
  </si>
  <si>
    <t>ASSENTO ESPECIAL PARA VASO SANITARIO PARA PESSOAS COM NECESSIDADES ESPECIFICAS</t>
  </si>
  <si>
    <t>ASSENTO SANITARIO PLASTICO, TIPO POPULAR. FORNECIMENTO E COLOCAÇÃO</t>
  </si>
  <si>
    <t>COMP 18</t>
  </si>
  <si>
    <t>COMP 19</t>
  </si>
  <si>
    <t>8.6.34</t>
  </si>
  <si>
    <t>8.6.35</t>
  </si>
  <si>
    <t>EMOP     18.210.0030-0</t>
  </si>
  <si>
    <t>EMOP     15.002.0080-0</t>
  </si>
  <si>
    <t>Código:   COMP 18</t>
  </si>
  <si>
    <t>Código:   COMP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</si>
</sst>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6" formatCode="&quot;R$&quot;\ #,##0;[Red]\-&quot;R$&quot;\ #,##0"/>
    <numFmt numFmtId="8" formatCode="&quot;R$&quot;\ #,##0.00;[Red]\-&quot;R$&quot;\ #,##0.00"/>
    <numFmt numFmtId="43" formatCode="_-* #,##0.00_-;\-* #,##0.00_-;_-* &quot;-&quot;??_-;_-@_-"/>
    <numFmt numFmtId="164" formatCode="_(* #,##0.00_);_(* \(#,##0.00\);_(* &quot;-&quot;??_);_(@_)"/>
    <numFmt numFmtId="165" formatCode="[$€]#,##0.00_);[Red]\([$€]#,##0.00\)"/>
    <numFmt numFmtId="166" formatCode="_([$€]\ * #,##0.00_);_([$€]\ * \(#,##0.00\);_([$€]\ * &quot;-&quot;??_);_(@_)"/>
    <numFmt numFmtId="167" formatCode="_(&quot;R$&quot;* #,##0.00_);_(&quot;R$&quot;* \(#,##0.00\);_(&quot;R$&quot;* &quot;-&quot;??_);_(@_)"/>
    <numFmt numFmtId="168" formatCode="_(&quot;R$ &quot;* #,##0.00_);_(&quot;R$ &quot;* \(#,##0.00\);_(&quot;R$ &quot;* &quot;-&quot;??_);_(@_)"/>
    <numFmt numFmtId="169" formatCode="&quot;R$&quot;#,##0_);[Red]\(&quot;R$&quot;#,##0\)"/>
    <numFmt numFmtId="170" formatCode="&quot;R$&quot;#,##0_);\(&quot;R$&quot;#,##0\)"/>
    <numFmt numFmtId="171" formatCode="00"/>
    <numFmt numFmtId="172" formatCode="#,##0.000"/>
    <numFmt numFmtId="173" formatCode="#,##0.0000"/>
    <numFmt numFmtId="174" formatCode="&quot;R$&quot;#,##0.00_);\(&quot;R$&quot;#,##0.00\)"/>
    <numFmt numFmtId="175" formatCode="mmmm\ d\,\ yyyy"/>
    <numFmt numFmtId="176" formatCode="\$#,##0\ ;\(\$#,##0\)"/>
    <numFmt numFmtId="177" formatCode="_(&quot;Cr$&quot;* #,##0_);_(&quot;Cr$&quot;* \(#,##0\);_(&quot;Cr$&quot;* &quot;-&quot;_);_(@_)"/>
    <numFmt numFmtId="178" formatCode="_(&quot;Cr$&quot;* #,##0.00_);_(&quot;Cr$&quot;* \(#,##0.00\);_(&quot;Cr$&quot;* &quot;-&quot;??_);_(@_)"/>
    <numFmt numFmtId="179" formatCode="#,##0.000_);\(#,##0.000\)"/>
    <numFmt numFmtId="180" formatCode="#."/>
    <numFmt numFmtId="181" formatCode="_(&quot;$&quot;* #,##0.00_);_(&quot;$&quot;* \(#,##0.00\);_(&quot;$&quot;* &quot;-&quot;??_);_(@_)"/>
    <numFmt numFmtId="182" formatCode="0.000%"/>
    <numFmt numFmtId="183" formatCode="_-* #,##0.000_-;\-* #,##0.000_-;_-* &quot;-&quot;??_-;_-@_-"/>
    <numFmt numFmtId="184" formatCode="0.000"/>
    <numFmt numFmtId="185" formatCode="#,##0.00000"/>
    <numFmt numFmtId="186" formatCode="#,##0.00;[Red]#,##0.00"/>
    <numFmt numFmtId="187" formatCode="#,##0.000000"/>
    <numFmt numFmtId="188" formatCode="#,##0.0000000"/>
    <numFmt numFmtId="189" formatCode="0.0000"/>
    <numFmt numFmtId="190" formatCode="#,##0.0000;[Red]#,##0.0000"/>
    <numFmt numFmtId="191" formatCode="#,##0.000;[Red]#,##0.000"/>
    <numFmt numFmtId="192" formatCode="0.000000"/>
    <numFmt numFmtId="193" formatCode="0.0000000"/>
    <numFmt numFmtId="194" formatCode="0.00000"/>
    <numFmt numFmtId="195" formatCode="#,##0;[Red]#,##0"/>
    <numFmt numFmtId="196" formatCode="&quot;R$&quot;\ #,##0.00;[Red]&quot;R$&quot;\ #,##0.00"/>
    <numFmt numFmtId="197" formatCode="#,##0.00_ ;\-#,##0.00\ "/>
  </numFmts>
  <fonts count="9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Tekton"/>
    </font>
    <font>
      <sz val="10"/>
      <name val="Arial"/>
      <family val="2"/>
    </font>
    <font>
      <sz val="8"/>
      <name val="Arial"/>
      <family val="2"/>
    </font>
    <font>
      <sz val="10"/>
      <name val="Helv"/>
      <charset val="204"/>
    </font>
    <font>
      <sz val="10"/>
      <name val="Courier"/>
      <family val="3"/>
    </font>
    <font>
      <sz val="9"/>
      <name val="Arial"/>
      <family val="2"/>
    </font>
    <font>
      <sz val="11"/>
      <color indexed="8"/>
      <name val="Calibri"/>
      <family val="2"/>
    </font>
    <font>
      <b/>
      <u/>
      <sz val="10"/>
      <name val="Arial"/>
      <family val="2"/>
    </font>
    <font>
      <b/>
      <sz val="15"/>
      <color indexed="56"/>
      <name val="Calibri"/>
      <family val="2"/>
    </font>
    <font>
      <b/>
      <sz val="10"/>
      <name val="Arial"/>
      <family val="2"/>
    </font>
    <font>
      <b/>
      <sz val="8"/>
      <name val="Arial Narrow"/>
      <family val="2"/>
    </font>
    <font>
      <sz val="11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Arial"/>
      <family val="2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2"/>
      <color indexed="2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7.5"/>
      <color indexed="12"/>
      <name val="Courier"/>
      <family val="3"/>
    </font>
    <font>
      <sz val="10"/>
      <name val="Times New Roman"/>
      <family val="1"/>
    </font>
    <font>
      <sz val="10"/>
      <name val="MS Sans Serif"/>
      <family val="2"/>
    </font>
    <font>
      <sz val="1"/>
      <color indexed="16"/>
      <name val="Courier"/>
      <family val="3"/>
    </font>
    <font>
      <sz val="1"/>
      <color indexed="18"/>
      <name val="Courier"/>
      <family val="3"/>
    </font>
    <font>
      <b/>
      <sz val="7"/>
      <color indexed="10"/>
      <name val="Arial"/>
      <family val="2"/>
    </font>
    <font>
      <b/>
      <sz val="1"/>
      <color indexed="16"/>
      <name val="Courier"/>
      <family val="3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32"/>
      <color indexed="5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8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rgb="FF333333"/>
      <name val="Arial"/>
      <family val="2"/>
    </font>
    <font>
      <b/>
      <sz val="14"/>
      <color theme="1"/>
      <name val="Arial"/>
      <family val="2"/>
    </font>
    <font>
      <b/>
      <sz val="10"/>
      <color rgb="FFFFFFFF"/>
      <name val="Calibri"/>
      <family val="2"/>
    </font>
    <font>
      <sz val="10"/>
      <name val="Calibri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name val="Calibri"/>
      <family val="2"/>
    </font>
    <font>
      <sz val="7"/>
      <name val="Calibri"/>
      <family val="2"/>
      <scheme val="minor"/>
    </font>
    <font>
      <sz val="11"/>
      <color theme="1"/>
      <name val="Calibri"/>
      <family val="2"/>
    </font>
    <font>
      <sz val="8.4499999999999993"/>
      <color theme="1"/>
      <name val="Arial"/>
      <family val="2"/>
    </font>
    <font>
      <sz val="9"/>
      <color indexed="81"/>
      <name val="Segoe UI"/>
      <family val="2"/>
    </font>
    <font>
      <b/>
      <sz val="11"/>
      <color theme="1"/>
      <name val="Calibri"/>
      <family val="2"/>
    </font>
    <font>
      <sz val="6.95"/>
      <color theme="1"/>
      <name val="Arial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6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808080"/>
      </patternFill>
    </fill>
    <fill>
      <patternFill patternType="solid">
        <fgColor rgb="FFDFF0D8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8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64" fontId="24" fillId="0" borderId="0"/>
    <xf numFmtId="164" fontId="24" fillId="0" borderId="0"/>
    <xf numFmtId="0" fontId="25" fillId="0" borderId="0"/>
    <xf numFmtId="165" fontId="26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6" fillId="0" borderId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0" borderId="0"/>
    <xf numFmtId="49" fontId="23" fillId="34" borderId="20" applyNumberFormat="0" applyFont="0" applyFill="0" applyBorder="0" applyAlignment="0">
      <alignment horizontal="center" vertical="center" wrapText="1"/>
    </xf>
    <xf numFmtId="0" fontId="2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3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4" fontId="23" fillId="0" borderId="0" applyFont="0" applyFill="0" applyBorder="0" applyAlignment="0" applyProtection="0"/>
    <xf numFmtId="169" fontId="23" fillId="0" borderId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70" fontId="23" fillId="0" borderId="0" applyFill="0" applyBorder="0" applyAlignment="0" applyProtection="0"/>
    <xf numFmtId="164" fontId="23" fillId="0" borderId="0" applyFont="0" applyFill="0" applyBorder="0" applyAlignment="0" applyProtection="0"/>
    <xf numFmtId="169" fontId="23" fillId="0" borderId="0" applyFill="0" applyBorder="0" applyAlignment="0" applyProtection="0"/>
    <xf numFmtId="164" fontId="2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3" fillId="0" borderId="0" applyFill="0" applyBorder="0" applyAlignment="0" applyProtection="0"/>
    <xf numFmtId="164" fontId="23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3" fillId="0" borderId="0" applyFill="0" applyBorder="0" applyAlignment="0" applyProtection="0"/>
    <xf numFmtId="164" fontId="27" fillId="0" borderId="0" applyFont="0" applyFill="0" applyBorder="0" applyAlignment="0" applyProtection="0"/>
    <xf numFmtId="169" fontId="23" fillId="0" borderId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3" fillId="0" borderId="0" applyFill="0" applyBorder="0" applyAlignment="0" applyProtection="0"/>
    <xf numFmtId="164" fontId="27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0" fontId="29" fillId="0" borderId="0"/>
    <xf numFmtId="0" fontId="30" fillId="0" borderId="21" applyNumberFormat="0" applyFill="0" applyAlignment="0" applyProtection="0"/>
    <xf numFmtId="0" fontId="31" fillId="35" borderId="0"/>
    <xf numFmtId="0" fontId="31" fillId="35" borderId="0">
      <alignment horizontal="left" indent="1"/>
    </xf>
    <xf numFmtId="0" fontId="31" fillId="0" borderId="0">
      <alignment horizontal="left" indent="1"/>
    </xf>
    <xf numFmtId="0" fontId="32" fillId="34" borderId="14" applyNumberFormat="0" applyBorder="0" applyAlignment="0">
      <alignment horizontal="left" vertical="center" indent="1"/>
    </xf>
    <xf numFmtId="0" fontId="33" fillId="33" borderId="11">
      <alignment horizontal="center"/>
    </xf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0" borderId="0"/>
    <xf numFmtId="170" fontId="28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23" fillId="0" borderId="0"/>
    <xf numFmtId="164" fontId="3" fillId="0" borderId="0" applyFont="0" applyFill="0" applyBorder="0" applyAlignment="0" applyProtection="0"/>
    <xf numFmtId="0" fontId="44" fillId="38" borderId="41" applyNumberFormat="0" applyFont="0" applyBorder="0" applyAlignment="0">
      <alignment horizontal="left" vertical="center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3" fontId="23" fillId="0" borderId="0" applyFill="0" applyBorder="0" applyAlignment="0" applyProtection="0"/>
    <xf numFmtId="174" fontId="23" fillId="0" borderId="0" applyFill="0" applyBorder="0" applyAlignment="0" applyProtection="0"/>
    <xf numFmtId="170" fontId="23" fillId="0" borderId="0" applyFill="0" applyBorder="0" applyAlignment="0" applyProtection="0"/>
    <xf numFmtId="0" fontId="47" fillId="0" borderId="0" applyFont="0" applyFill="0" applyBorder="0" applyAlignment="0" applyProtection="0"/>
    <xf numFmtId="175" fontId="23" fillId="0" borderId="0" applyFill="0" applyBorder="0" applyAlignment="0" applyProtection="0"/>
    <xf numFmtId="2" fontId="23" fillId="0" borderId="0" applyFill="0" applyBorder="0" applyAlignment="0" applyProtection="0"/>
    <xf numFmtId="2" fontId="4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176" fontId="47" fillId="0" borderId="0" applyFont="0" applyFill="0" applyBorder="0" applyAlignment="0" applyProtection="0"/>
    <xf numFmtId="177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52" fillId="0" borderId="0"/>
    <xf numFmtId="0" fontId="27" fillId="0" borderId="0"/>
    <xf numFmtId="0" fontId="52" fillId="0" borderId="0"/>
    <xf numFmtId="179" fontId="26" fillId="0" borderId="0"/>
    <xf numFmtId="0" fontId="23" fillId="0" borderId="0" applyNumberFormat="0" applyFont="0" applyFill="0" applyBorder="0" applyAlignment="0" applyProtection="0">
      <alignment vertical="top"/>
    </xf>
    <xf numFmtId="10" fontId="23" fillId="0" borderId="0" applyFill="0" applyBorder="0" applyAlignment="0" applyProtection="0"/>
    <xf numFmtId="180" fontId="53" fillId="0" borderId="0">
      <protection locked="0"/>
    </xf>
    <xf numFmtId="180" fontId="53" fillId="0" borderId="0">
      <protection locked="0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0" applyFont="0" applyFill="0" applyBorder="0" applyAlignment="0" applyProtection="0"/>
    <xf numFmtId="38" fontId="52" fillId="0" borderId="0" applyFont="0" applyFill="0" applyBorder="0" applyAlignment="0" applyProtection="0"/>
    <xf numFmtId="180" fontId="54" fillId="0" borderId="0">
      <protection locked="0"/>
    </xf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0" fontId="5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55" fillId="0" borderId="27" applyNumberFormat="0" applyBorder="0" applyAlignment="0">
      <alignment horizontal="center" vertical="center"/>
    </xf>
    <xf numFmtId="180" fontId="56" fillId="0" borderId="0">
      <protection locked="0"/>
    </xf>
    <xf numFmtId="3" fontId="47" fillId="0" borderId="0" applyFont="0" applyFill="0" applyBorder="0" applyAlignment="0" applyProtection="0"/>
    <xf numFmtId="181" fontId="23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66" fillId="0" borderId="0"/>
    <xf numFmtId="0" fontId="68" fillId="0" borderId="0"/>
    <xf numFmtId="0" fontId="69" fillId="0" borderId="0"/>
    <xf numFmtId="0" fontId="89" fillId="0" borderId="0" applyNumberFormat="0" applyFill="0" applyBorder="0" applyAlignment="0" applyProtection="0"/>
  </cellStyleXfs>
  <cellXfs count="1613">
    <xf numFmtId="0" fontId="0" fillId="0" borderId="0" xfId="0"/>
    <xf numFmtId="4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center"/>
    </xf>
    <xf numFmtId="4" fontId="36" fillId="0" borderId="41" xfId="0" applyNumberFormat="1" applyFont="1" applyFill="1" applyBorder="1" applyAlignment="1">
      <alignment horizontal="left" vertical="center" indent="30"/>
    </xf>
    <xf numFmtId="4" fontId="2" fillId="0" borderId="18" xfId="0" applyNumberFormat="1" applyFont="1" applyFill="1" applyBorder="1" applyAlignment="1">
      <alignment vertical="center"/>
    </xf>
    <xf numFmtId="4" fontId="1" fillId="0" borderId="18" xfId="0" applyNumberFormat="1" applyFont="1" applyFill="1" applyBorder="1" applyAlignment="1">
      <alignment vertical="center"/>
    </xf>
    <xf numFmtId="4" fontId="34" fillId="0" borderId="41" xfId="0" applyNumberFormat="1" applyFont="1" applyFill="1" applyBorder="1" applyAlignment="1">
      <alignment horizontal="centerContinuous" vertical="center"/>
    </xf>
    <xf numFmtId="4" fontId="1" fillId="0" borderId="18" xfId="0" applyNumberFormat="1" applyFont="1" applyFill="1" applyBorder="1" applyAlignment="1">
      <alignment horizontal="centerContinuous" vertical="center"/>
    </xf>
    <xf numFmtId="4" fontId="1" fillId="0" borderId="0" xfId="0" applyNumberFormat="1" applyFont="1" applyFill="1" applyAlignment="1">
      <alignment vertical="center"/>
    </xf>
    <xf numFmtId="4" fontId="1" fillId="0" borderId="42" xfId="0" applyNumberFormat="1" applyFont="1" applyFill="1" applyBorder="1" applyAlignment="1">
      <alignment horizontal="centerContinuous" vertical="center"/>
    </xf>
    <xf numFmtId="0" fontId="38" fillId="0" borderId="0" xfId="151" applyFont="1" applyFill="1" applyAlignment="1">
      <alignment horizontal="center" vertical="center"/>
    </xf>
    <xf numFmtId="173" fontId="38" fillId="0" borderId="0" xfId="151" applyNumberFormat="1" applyFont="1" applyFill="1" applyAlignment="1">
      <alignment horizontal="center" vertical="center"/>
    </xf>
    <xf numFmtId="172" fontId="38" fillId="0" borderId="0" xfId="151" applyNumberFormat="1" applyFont="1" applyFill="1" applyAlignment="1">
      <alignment horizontal="center" vertical="center"/>
    </xf>
    <xf numFmtId="49" fontId="37" fillId="0" borderId="50" xfId="151" applyNumberFormat="1" applyFont="1" applyFill="1" applyBorder="1" applyAlignment="1">
      <alignment horizontal="center" vertical="center"/>
    </xf>
    <xf numFmtId="164" fontId="38" fillId="0" borderId="41" xfId="152" applyFont="1" applyFill="1" applyBorder="1" applyAlignment="1">
      <alignment vertical="center"/>
    </xf>
    <xf numFmtId="164" fontId="38" fillId="0" borderId="11" xfId="152" applyFont="1" applyFill="1" applyBorder="1" applyAlignment="1">
      <alignment vertical="center"/>
    </xf>
    <xf numFmtId="0" fontId="38" fillId="0" borderId="0" xfId="151" applyFont="1" applyFill="1" applyBorder="1" applyAlignment="1">
      <alignment horizontal="center" vertical="center"/>
    </xf>
    <xf numFmtId="49" fontId="38" fillId="0" borderId="0" xfId="151" applyNumberFormat="1" applyFont="1" applyFill="1" applyBorder="1" applyAlignment="1">
      <alignment vertical="center"/>
    </xf>
    <xf numFmtId="0" fontId="37" fillId="0" borderId="0" xfId="151" applyFont="1" applyFill="1" applyAlignment="1">
      <alignment horizontal="center" vertical="center"/>
    </xf>
    <xf numFmtId="173" fontId="37" fillId="0" borderId="0" xfId="151" applyNumberFormat="1" applyFont="1" applyFill="1" applyAlignment="1">
      <alignment vertical="center"/>
    </xf>
    <xf numFmtId="172" fontId="37" fillId="0" borderId="0" xfId="151" applyNumberFormat="1" applyFont="1" applyFill="1" applyAlignment="1">
      <alignment vertical="center"/>
    </xf>
    <xf numFmtId="0" fontId="37" fillId="0" borderId="0" xfId="151" applyFont="1" applyFill="1" applyAlignment="1">
      <alignment vertical="center"/>
    </xf>
    <xf numFmtId="164" fontId="38" fillId="0" borderId="46" xfId="152" applyFont="1" applyFill="1" applyBorder="1" applyAlignment="1">
      <alignment vertical="center"/>
    </xf>
    <xf numFmtId="4" fontId="20" fillId="0" borderId="18" xfId="0" applyNumberFormat="1" applyFont="1" applyFill="1" applyBorder="1" applyAlignment="1">
      <alignment vertical="center" wrapText="1"/>
    </xf>
    <xf numFmtId="4" fontId="34" fillId="0" borderId="18" xfId="0" applyNumberFormat="1" applyFont="1" applyFill="1" applyBorder="1" applyAlignment="1">
      <alignment vertical="center" wrapText="1"/>
    </xf>
    <xf numFmtId="49" fontId="57" fillId="0" borderId="0" xfId="170" applyNumberFormat="1" applyFont="1" applyFill="1" applyBorder="1" applyAlignment="1">
      <alignment horizontal="left" vertical="center"/>
    </xf>
    <xf numFmtId="0" fontId="20" fillId="0" borderId="0" xfId="170" applyFont="1" applyFill="1" applyBorder="1" applyAlignment="1">
      <alignment vertical="center"/>
    </xf>
    <xf numFmtId="0" fontId="58" fillId="0" borderId="0" xfId="170" applyFont="1" applyFill="1" applyBorder="1" applyAlignment="1">
      <alignment horizontal="left" vertical="center"/>
    </xf>
    <xf numFmtId="14" fontId="20" fillId="0" borderId="0" xfId="170" applyNumberFormat="1" applyFont="1" applyFill="1" applyBorder="1" applyAlignment="1">
      <alignment horizontal="center" vertical="center"/>
    </xf>
    <xf numFmtId="0" fontId="59" fillId="0" borderId="0" xfId="151" applyFont="1" applyFill="1" applyBorder="1" applyAlignment="1">
      <alignment vertical="center"/>
    </xf>
    <xf numFmtId="0" fontId="37" fillId="0" borderId="0" xfId="151" applyFont="1" applyFill="1" applyBorder="1" applyAlignment="1">
      <alignment horizontal="center" vertical="center"/>
    </xf>
    <xf numFmtId="173" fontId="37" fillId="0" borderId="0" xfId="151" applyNumberFormat="1" applyFont="1" applyFill="1" applyBorder="1" applyAlignment="1">
      <alignment vertical="center"/>
    </xf>
    <xf numFmtId="172" fontId="37" fillId="0" borderId="0" xfId="151" applyNumberFormat="1" applyFont="1" applyFill="1" applyBorder="1" applyAlignment="1">
      <alignment vertical="center"/>
    </xf>
    <xf numFmtId="0" fontId="37" fillId="0" borderId="0" xfId="151" applyFont="1" applyFill="1" applyBorder="1" applyAlignment="1">
      <alignment vertical="center"/>
    </xf>
    <xf numFmtId="0" fontId="60" fillId="0" borderId="18" xfId="151" applyFont="1" applyFill="1" applyBorder="1" applyAlignment="1">
      <alignment vertical="center"/>
    </xf>
    <xf numFmtId="168" fontId="61" fillId="0" borderId="42" xfId="193" applyNumberFormat="1" applyFont="1" applyFill="1" applyBorder="1" applyAlignment="1">
      <alignment vertical="center"/>
    </xf>
    <xf numFmtId="164" fontId="38" fillId="0" borderId="17" xfId="152" applyFont="1" applyFill="1" applyBorder="1" applyAlignment="1">
      <alignment vertical="center"/>
    </xf>
    <xf numFmtId="0" fontId="60" fillId="0" borderId="17" xfId="151" applyFont="1" applyFill="1" applyBorder="1" applyAlignment="1">
      <alignment vertical="center"/>
    </xf>
    <xf numFmtId="168" fontId="61" fillId="0" borderId="55" xfId="193" applyNumberFormat="1" applyFont="1" applyFill="1" applyBorder="1" applyAlignment="1">
      <alignment vertical="center"/>
    </xf>
    <xf numFmtId="49" fontId="43" fillId="0" borderId="44" xfId="151" applyNumberFormat="1" applyFont="1" applyFill="1" applyBorder="1" applyAlignment="1">
      <alignment horizontal="center" vertical="center"/>
    </xf>
    <xf numFmtId="0" fontId="43" fillId="0" borderId="44" xfId="151" applyFont="1" applyFill="1" applyBorder="1" applyAlignment="1">
      <alignment horizontal="center" vertical="center"/>
    </xf>
    <xf numFmtId="0" fontId="43" fillId="0" borderId="16" xfId="151" applyFont="1" applyFill="1" applyBorder="1" applyAlignment="1">
      <alignment horizontal="centerContinuous" vertical="center"/>
    </xf>
    <xf numFmtId="0" fontId="43" fillId="0" borderId="55" xfId="151" applyFont="1" applyFill="1" applyBorder="1" applyAlignment="1">
      <alignment horizontal="centerContinuous" vertical="center"/>
    </xf>
    <xf numFmtId="172" fontId="43" fillId="0" borderId="17" xfId="151" applyNumberFormat="1" applyFont="1" applyFill="1" applyBorder="1" applyAlignment="1">
      <alignment horizontal="centerContinuous" vertical="center"/>
    </xf>
    <xf numFmtId="172" fontId="43" fillId="0" borderId="55" xfId="151" applyNumberFormat="1" applyFont="1" applyFill="1" applyBorder="1" applyAlignment="1">
      <alignment horizontal="centerContinuous" vertical="center"/>
    </xf>
    <xf numFmtId="0" fontId="43" fillId="0" borderId="41" xfId="151" applyFont="1" applyFill="1" applyBorder="1" applyAlignment="1">
      <alignment horizontal="centerContinuous" vertical="center"/>
    </xf>
    <xf numFmtId="0" fontId="43" fillId="0" borderId="42" xfId="151" applyFont="1" applyFill="1" applyBorder="1" applyAlignment="1">
      <alignment horizontal="centerContinuous" vertical="center"/>
    </xf>
    <xf numFmtId="172" fontId="43" fillId="0" borderId="41" xfId="151" applyNumberFormat="1" applyFont="1" applyFill="1" applyBorder="1" applyAlignment="1">
      <alignment horizontal="centerContinuous" vertical="center"/>
    </xf>
    <xf numFmtId="172" fontId="43" fillId="0" borderId="42" xfId="151" applyNumberFormat="1" applyFont="1" applyFill="1" applyBorder="1" applyAlignment="1">
      <alignment horizontal="centerContinuous" vertical="center"/>
    </xf>
    <xf numFmtId="49" fontId="43" fillId="0" borderId="46" xfId="151" applyNumberFormat="1" applyFont="1" applyFill="1" applyBorder="1" applyAlignment="1">
      <alignment horizontal="center" vertical="center"/>
    </xf>
    <xf numFmtId="0" fontId="43" fillId="0" borderId="46" xfId="151" applyFont="1" applyFill="1" applyBorder="1" applyAlignment="1">
      <alignment horizontal="center" vertical="center"/>
    </xf>
    <xf numFmtId="3" fontId="37" fillId="0" borderId="50" xfId="151" applyNumberFormat="1" applyFont="1" applyFill="1" applyBorder="1" applyAlignment="1">
      <alignment horizontal="center" vertical="center"/>
    </xf>
    <xf numFmtId="0" fontId="37" fillId="0" borderId="50" xfId="151" applyFont="1" applyFill="1" applyBorder="1" applyAlignment="1">
      <alignment horizontal="center" vertical="center"/>
    </xf>
    <xf numFmtId="164" fontId="37" fillId="0" borderId="50" xfId="152" applyFont="1" applyFill="1" applyBorder="1" applyAlignment="1">
      <alignment vertical="center"/>
    </xf>
    <xf numFmtId="1" fontId="37" fillId="0" borderId="50" xfId="151" applyNumberFormat="1" applyFont="1" applyFill="1" applyBorder="1" applyAlignment="1">
      <alignment horizontal="center" vertical="center"/>
    </xf>
    <xf numFmtId="37" fontId="37" fillId="0" borderId="50" xfId="151" applyNumberFormat="1" applyFont="1" applyFill="1" applyBorder="1" applyAlignment="1">
      <alignment horizontal="center" vertical="center"/>
    </xf>
    <xf numFmtId="4" fontId="37" fillId="0" borderId="50" xfId="151" applyNumberFormat="1" applyFont="1" applyFill="1" applyBorder="1" applyAlignment="1">
      <alignment horizontal="center" vertical="center"/>
    </xf>
    <xf numFmtId="39" fontId="37" fillId="0" borderId="50" xfId="151" applyNumberFormat="1" applyFont="1" applyFill="1" applyBorder="1" applyAlignment="1">
      <alignment horizontal="center" vertical="center"/>
    </xf>
    <xf numFmtId="3" fontId="37" fillId="0" borderId="57" xfId="151" applyNumberFormat="1" applyFont="1" applyFill="1" applyBorder="1" applyAlignment="1">
      <alignment horizontal="center" vertical="center"/>
    </xf>
    <xf numFmtId="4" fontId="37" fillId="0" borderId="57" xfId="151" applyNumberFormat="1" applyFont="1" applyFill="1" applyBorder="1" applyAlignment="1">
      <alignment horizontal="center" vertical="center"/>
    </xf>
    <xf numFmtId="49" fontId="37" fillId="0" borderId="51" xfId="151" applyNumberFormat="1" applyFont="1" applyFill="1" applyBorder="1" applyAlignment="1">
      <alignment horizontal="center" vertical="center"/>
    </xf>
    <xf numFmtId="0" fontId="37" fillId="0" borderId="51" xfId="151" applyFont="1" applyFill="1" applyBorder="1" applyAlignment="1">
      <alignment horizontal="center" vertical="center"/>
    </xf>
    <xf numFmtId="3" fontId="37" fillId="0" borderId="51" xfId="151" applyNumberFormat="1" applyFont="1" applyFill="1" applyBorder="1" applyAlignment="1">
      <alignment horizontal="center" vertical="center"/>
    </xf>
    <xf numFmtId="4" fontId="37" fillId="0" borderId="51" xfId="151" applyNumberFormat="1" applyFont="1" applyFill="1" applyBorder="1" applyAlignment="1">
      <alignment horizontal="center" vertical="center"/>
    </xf>
    <xf numFmtId="49" fontId="38" fillId="0" borderId="41" xfId="151" applyNumberFormat="1" applyFont="1" applyFill="1" applyBorder="1" applyAlignment="1">
      <alignment horizontal="left" vertical="center" indent="1"/>
    </xf>
    <xf numFmtId="49" fontId="38" fillId="0" borderId="18" xfId="151" applyNumberFormat="1" applyFont="1" applyFill="1" applyBorder="1" applyAlignment="1">
      <alignment horizontal="right" vertical="center"/>
    </xf>
    <xf numFmtId="49" fontId="38" fillId="0" borderId="42" xfId="151" applyNumberFormat="1" applyFont="1" applyFill="1" applyBorder="1" applyAlignment="1">
      <alignment horizontal="right" vertical="center"/>
    </xf>
    <xf numFmtId="0" fontId="61" fillId="0" borderId="11" xfId="151" applyFont="1" applyFill="1" applyBorder="1" applyAlignment="1">
      <alignment horizontal="center" vertical="center"/>
    </xf>
    <xf numFmtId="3" fontId="61" fillId="0" borderId="11" xfId="151" applyNumberFormat="1" applyFont="1" applyFill="1" applyBorder="1" applyAlignment="1">
      <alignment horizontal="center" vertical="center"/>
    </xf>
    <xf numFmtId="4" fontId="61" fillId="0" borderId="11" xfId="151" applyNumberFormat="1" applyFont="1" applyFill="1" applyBorder="1" applyAlignment="1">
      <alignment horizontal="center" vertical="center"/>
    </xf>
    <xf numFmtId="39" fontId="61" fillId="0" borderId="11" xfId="151" applyNumberFormat="1" applyFont="1" applyFill="1" applyBorder="1" applyAlignment="1">
      <alignment horizontal="center" vertical="center"/>
    </xf>
    <xf numFmtId="0" fontId="38" fillId="0" borderId="11" xfId="151" applyFont="1" applyFill="1" applyBorder="1" applyAlignment="1">
      <alignment horizontal="center" vertical="center"/>
    </xf>
    <xf numFmtId="4" fontId="38" fillId="0" borderId="11" xfId="151" applyNumberFormat="1" applyFont="1" applyFill="1" applyBorder="1" applyAlignment="1">
      <alignment horizontal="center" vertical="center"/>
    </xf>
    <xf numFmtId="49" fontId="38" fillId="0" borderId="16" xfId="151" applyNumberFormat="1" applyFont="1" applyFill="1" applyBorder="1" applyAlignment="1">
      <alignment horizontal="left" vertical="center" indent="1"/>
    </xf>
    <xf numFmtId="49" fontId="38" fillId="0" borderId="17" xfId="151" applyNumberFormat="1" applyFont="1" applyFill="1" applyBorder="1" applyAlignment="1">
      <alignment vertical="center"/>
    </xf>
    <xf numFmtId="0" fontId="38" fillId="0" borderId="18" xfId="151" applyFont="1" applyFill="1" applyBorder="1" applyAlignment="1">
      <alignment horizontal="center" vertical="center"/>
    </xf>
    <xf numFmtId="168" fontId="38" fillId="0" borderId="0" xfId="151" applyNumberFormat="1" applyFont="1" applyFill="1" applyAlignment="1">
      <alignment vertical="center"/>
    </xf>
    <xf numFmtId="49" fontId="37" fillId="0" borderId="41" xfId="151" applyNumberFormat="1" applyFont="1" applyFill="1" applyBorder="1" applyAlignment="1">
      <alignment horizontal="left" vertical="center" indent="1"/>
    </xf>
    <xf numFmtId="49" fontId="37" fillId="0" borderId="18" xfId="151" applyNumberFormat="1" applyFont="1" applyFill="1" applyBorder="1" applyAlignment="1">
      <alignment vertical="center"/>
    </xf>
    <xf numFmtId="49" fontId="38" fillId="0" borderId="18" xfId="151" applyNumberFormat="1" applyFont="1" applyFill="1" applyBorder="1" applyAlignment="1">
      <alignment vertical="center"/>
    </xf>
    <xf numFmtId="0" fontId="38" fillId="0" borderId="41" xfId="151" applyFont="1" applyFill="1" applyBorder="1" applyAlignment="1">
      <alignment horizontal="left" vertical="center" indent="1"/>
    </xf>
    <xf numFmtId="0" fontId="38" fillId="0" borderId="18" xfId="151" applyFont="1" applyFill="1" applyBorder="1" applyAlignment="1">
      <alignment horizontal="right" vertical="center"/>
    </xf>
    <xf numFmtId="1" fontId="61" fillId="0" borderId="18" xfId="151" applyNumberFormat="1" applyFont="1" applyFill="1" applyBorder="1" applyAlignment="1">
      <alignment horizontal="center" vertical="center"/>
    </xf>
    <xf numFmtId="164" fontId="38" fillId="0" borderId="41" xfId="152" applyFont="1" applyFill="1" applyBorder="1" applyAlignment="1">
      <alignment horizontal="left" vertical="center"/>
    </xf>
    <xf numFmtId="49" fontId="38" fillId="0" borderId="11" xfId="151" applyNumberFormat="1" applyFont="1" applyFill="1" applyBorder="1" applyAlignment="1">
      <alignment vertical="center"/>
    </xf>
    <xf numFmtId="49" fontId="38" fillId="0" borderId="17" xfId="151" applyNumberFormat="1" applyFont="1" applyFill="1" applyBorder="1" applyAlignment="1">
      <alignment horizontal="right" vertical="center"/>
    </xf>
    <xf numFmtId="49" fontId="38" fillId="0" borderId="55" xfId="151" applyNumberFormat="1" applyFont="1" applyFill="1" applyBorder="1" applyAlignment="1">
      <alignment horizontal="right" vertical="center"/>
    </xf>
    <xf numFmtId="3" fontId="38" fillId="0" borderId="11" xfId="151" applyNumberFormat="1" applyFont="1" applyFill="1" applyBorder="1" applyAlignment="1">
      <alignment horizontal="center" vertical="center"/>
    </xf>
    <xf numFmtId="49" fontId="37" fillId="0" borderId="0" xfId="151" applyNumberFormat="1" applyFont="1" applyFill="1" applyAlignment="1">
      <alignment vertical="center"/>
    </xf>
    <xf numFmtId="4" fontId="37" fillId="0" borderId="0" xfId="151" applyNumberFormat="1" applyFont="1" applyFill="1" applyAlignment="1">
      <alignment vertical="center"/>
    </xf>
    <xf numFmtId="4" fontId="35" fillId="0" borderId="47" xfId="0" applyNumberFormat="1" applyFont="1" applyBorder="1" applyAlignment="1">
      <alignment horizontal="centerContinuous" vertical="center"/>
    </xf>
    <xf numFmtId="4" fontId="2" fillId="0" borderId="53" xfId="0" applyNumberFormat="1" applyFont="1" applyBorder="1" applyAlignment="1">
      <alignment horizontal="centerContinuous" vertical="center"/>
    </xf>
    <xf numFmtId="4" fontId="2" fillId="0" borderId="18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0" fillId="36" borderId="46" xfId="0" applyFont="1" applyFill="1" applyBorder="1" applyAlignment="1">
      <alignment horizontal="center" vertical="center"/>
    </xf>
    <xf numFmtId="43" fontId="20" fillId="36" borderId="60" xfId="43" applyFont="1" applyFill="1" applyBorder="1" applyAlignment="1">
      <alignment horizontal="center" vertical="center" wrapText="1"/>
    </xf>
    <xf numFmtId="4" fontId="20" fillId="36" borderId="13" xfId="0" applyNumberFormat="1" applyFont="1" applyFill="1" applyBorder="1" applyAlignment="1">
      <alignment horizontal="center" vertical="center"/>
    </xf>
    <xf numFmtId="182" fontId="20" fillId="36" borderId="61" xfId="147" applyNumberFormat="1" applyFont="1" applyFill="1" applyBorder="1" applyAlignment="1">
      <alignment horizontal="center" vertical="center"/>
    </xf>
    <xf numFmtId="4" fontId="2" fillId="0" borderId="62" xfId="0" applyNumberFormat="1" applyFont="1" applyBorder="1" applyAlignment="1">
      <alignment horizontal="center" vertical="center"/>
    </xf>
    <xf numFmtId="43" fontId="2" fillId="0" borderId="13" xfId="43" applyFont="1" applyBorder="1" applyAlignment="1">
      <alignment vertical="center"/>
    </xf>
    <xf numFmtId="4" fontId="2" fillId="37" borderId="13" xfId="0" applyNumberFormat="1" applyFont="1" applyFill="1" applyBorder="1" applyAlignment="1">
      <alignment horizontal="center" vertical="center"/>
    </xf>
    <xf numFmtId="182" fontId="2" fillId="0" borderId="61" xfId="147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3" fontId="2" fillId="0" borderId="10" xfId="43" applyFont="1" applyBorder="1" applyAlignment="1">
      <alignment vertical="center"/>
    </xf>
    <xf numFmtId="4" fontId="2" fillId="37" borderId="10" xfId="0" applyNumberFormat="1" applyFont="1" applyFill="1" applyBorder="1" applyAlignment="1">
      <alignment horizontal="center" vertical="center"/>
    </xf>
    <xf numFmtId="182" fontId="2" fillId="0" borderId="63" xfId="147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vertical="center"/>
    </xf>
    <xf numFmtId="182" fontId="2" fillId="0" borderId="63" xfId="0" applyNumberFormat="1" applyFont="1" applyBorder="1" applyAlignment="1">
      <alignment horizontal="center" vertical="center"/>
    </xf>
    <xf numFmtId="4" fontId="2" fillId="0" borderId="64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vertical="center"/>
    </xf>
    <xf numFmtId="182" fontId="2" fillId="0" borderId="65" xfId="0" applyNumberFormat="1" applyFont="1" applyBorder="1" applyAlignment="1">
      <alignment horizontal="center" vertical="center"/>
    </xf>
    <xf numFmtId="4" fontId="2" fillId="36" borderId="11" xfId="0" applyNumberFormat="1" applyFont="1" applyFill="1" applyBorder="1" applyAlignment="1">
      <alignment vertical="center"/>
    </xf>
    <xf numFmtId="43" fontId="2" fillId="36" borderId="11" xfId="43" applyFont="1" applyFill="1" applyBorder="1" applyAlignment="1">
      <alignment vertical="center"/>
    </xf>
    <xf numFmtId="43" fontId="1" fillId="0" borderId="45" xfId="43" applyFont="1" applyBorder="1" applyAlignment="1">
      <alignment horizontal="left" vertical="top"/>
    </xf>
    <xf numFmtId="4" fontId="1" fillId="0" borderId="15" xfId="0" applyNumberFormat="1" applyFont="1" applyBorder="1" applyAlignment="1">
      <alignment vertical="center"/>
    </xf>
    <xf numFmtId="4" fontId="1" fillId="0" borderId="53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59" xfId="0" applyNumberFormat="1" applyFont="1" applyBorder="1" applyAlignment="1">
      <alignment vertical="center"/>
    </xf>
    <xf numFmtId="4" fontId="63" fillId="0" borderId="45" xfId="0" applyNumberFormat="1" applyFont="1" applyBorder="1" applyAlignment="1">
      <alignment horizontal="center" vertical="center"/>
    </xf>
    <xf numFmtId="4" fontId="63" fillId="0" borderId="0" xfId="0" applyNumberFormat="1" applyFont="1" applyBorder="1" applyAlignment="1">
      <alignment horizontal="center" vertical="center"/>
    </xf>
    <xf numFmtId="4" fontId="63" fillId="0" borderId="59" xfId="0" applyNumberFormat="1" applyFont="1" applyBorder="1" applyAlignment="1">
      <alignment horizontal="center" vertical="center"/>
    </xf>
    <xf numFmtId="4" fontId="63" fillId="0" borderId="0" xfId="0" applyNumberFormat="1" applyFont="1" applyBorder="1" applyAlignment="1">
      <alignment vertical="center" wrapText="1"/>
    </xf>
    <xf numFmtId="4" fontId="58" fillId="0" borderId="0" xfId="0" applyNumberFormat="1" applyFont="1" applyAlignment="1">
      <alignment vertical="center"/>
    </xf>
    <xf numFmtId="4" fontId="58" fillId="0" borderId="45" xfId="0" applyNumberFormat="1" applyFont="1" applyBorder="1" applyAlignment="1">
      <alignment horizontal="center" vertical="center"/>
    </xf>
    <xf numFmtId="4" fontId="58" fillId="0" borderId="0" xfId="0" applyNumberFormat="1" applyFont="1" applyBorder="1" applyAlignment="1">
      <alignment horizontal="center" vertical="center"/>
    </xf>
    <xf numFmtId="4" fontId="58" fillId="0" borderId="59" xfId="0" applyNumberFormat="1" applyFont="1" applyBorder="1" applyAlignment="1">
      <alignment horizontal="center" vertical="center"/>
    </xf>
    <xf numFmtId="4" fontId="58" fillId="0" borderId="0" xfId="0" applyNumberFormat="1" applyFont="1" applyBorder="1" applyAlignment="1">
      <alignment vertical="center" wrapText="1"/>
    </xf>
    <xf numFmtId="4" fontId="1" fillId="0" borderId="16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4" fontId="1" fillId="0" borderId="55" xfId="0" applyNumberFormat="1" applyFont="1" applyBorder="1" applyAlignment="1">
      <alignment vertical="center"/>
    </xf>
    <xf numFmtId="4" fontId="36" fillId="0" borderId="41" xfId="0" applyNumberFormat="1" applyFont="1" applyBorder="1" applyAlignment="1">
      <alignment horizontal="left" vertical="center" indent="30"/>
    </xf>
    <xf numFmtId="4" fontId="1" fillId="0" borderId="18" xfId="0" applyNumberFormat="1" applyFont="1" applyBorder="1" applyAlignment="1">
      <alignment vertical="center"/>
    </xf>
    <xf numFmtId="4" fontId="20" fillId="0" borderId="18" xfId="0" applyNumberFormat="1" applyFont="1" applyBorder="1" applyAlignment="1">
      <alignment vertical="center" wrapText="1"/>
    </xf>
    <xf numFmtId="4" fontId="35" fillId="0" borderId="41" xfId="0" applyNumberFormat="1" applyFont="1" applyBorder="1" applyAlignment="1">
      <alignment horizontal="centerContinuous" vertical="center"/>
    </xf>
    <xf numFmtId="4" fontId="2" fillId="0" borderId="18" xfId="0" applyNumberFormat="1" applyFont="1" applyBorder="1" applyAlignment="1">
      <alignment horizontal="centerContinuous" vertical="center"/>
    </xf>
    <xf numFmtId="4" fontId="20" fillId="0" borderId="18" xfId="0" applyNumberFormat="1" applyFont="1" applyBorder="1" applyAlignment="1">
      <alignment horizontal="centerContinuous" vertical="center"/>
    </xf>
    <xf numFmtId="4" fontId="34" fillId="0" borderId="18" xfId="0" applyNumberFormat="1" applyFont="1" applyBorder="1" applyAlignment="1">
      <alignment horizontal="centerContinuous" vertical="center" wrapText="1"/>
    </xf>
    <xf numFmtId="4" fontId="1" fillId="0" borderId="18" xfId="0" applyNumberFormat="1" applyFont="1" applyBorder="1" applyAlignment="1">
      <alignment horizontal="centerContinuous" vertical="center"/>
    </xf>
    <xf numFmtId="4" fontId="35" fillId="0" borderId="18" xfId="0" applyNumberFormat="1" applyFont="1" applyBorder="1" applyAlignment="1">
      <alignment horizontal="centerContinuous" vertical="center"/>
    </xf>
    <xf numFmtId="3" fontId="1" fillId="0" borderId="0" xfId="0" applyNumberFormat="1" applyFont="1" applyAlignment="1">
      <alignment vertical="top"/>
    </xf>
    <xf numFmtId="4" fontId="1" fillId="36" borderId="11" xfId="0" applyNumberFormat="1" applyFont="1" applyFill="1" applyBorder="1" applyAlignment="1">
      <alignment horizontal="center" vertical="top"/>
    </xf>
    <xf numFmtId="4" fontId="1" fillId="0" borderId="0" xfId="0" applyNumberFormat="1" applyFont="1" applyAlignment="1">
      <alignment horizontal="center" vertical="top"/>
    </xf>
    <xf numFmtId="4" fontId="2" fillId="37" borderId="58" xfId="0" applyNumberFormat="1" applyFont="1" applyFill="1" applyBorder="1" applyAlignment="1">
      <alignment horizontal="center" vertical="center"/>
    </xf>
    <xf numFmtId="43" fontId="2" fillId="37" borderId="58" xfId="43" applyFont="1" applyFill="1" applyBorder="1" applyAlignment="1">
      <alignment vertical="center" wrapText="1"/>
    </xf>
    <xf numFmtId="43" fontId="2" fillId="37" borderId="58" xfId="43" applyFont="1" applyFill="1" applyBorder="1" applyAlignment="1">
      <alignment vertical="center"/>
    </xf>
    <xf numFmtId="43" fontId="1" fillId="37" borderId="58" xfId="43" applyFont="1" applyFill="1" applyBorder="1" applyAlignment="1">
      <alignment vertical="center"/>
    </xf>
    <xf numFmtId="10" fontId="1" fillId="37" borderId="58" xfId="147" applyNumberFormat="1" applyFont="1" applyFill="1" applyBorder="1" applyAlignment="1">
      <alignment horizontal="right" vertical="center" indent="1"/>
    </xf>
    <xf numFmtId="4" fontId="1" fillId="37" borderId="0" xfId="0" applyNumberFormat="1" applyFont="1" applyFill="1" applyAlignment="1">
      <alignment vertical="center"/>
    </xf>
    <xf numFmtId="4" fontId="38" fillId="36" borderId="50" xfId="0" applyNumberFormat="1" applyFont="1" applyFill="1" applyBorder="1" applyAlignment="1">
      <alignment horizontal="center" vertical="center"/>
    </xf>
    <xf numFmtId="43" fontId="38" fillId="36" borderId="50" xfId="43" applyFont="1" applyFill="1" applyBorder="1" applyAlignment="1">
      <alignment vertical="center" wrapText="1"/>
    </xf>
    <xf numFmtId="43" fontId="38" fillId="36" borderId="50" xfId="43" applyFont="1" applyFill="1" applyBorder="1" applyAlignment="1">
      <alignment vertical="center"/>
    </xf>
    <xf numFmtId="43" fontId="37" fillId="36" borderId="50" xfId="43" applyFont="1" applyFill="1" applyBorder="1" applyAlignment="1">
      <alignment vertical="center"/>
    </xf>
    <xf numFmtId="10" fontId="37" fillId="36" borderId="50" xfId="147" applyNumberFormat="1" applyFont="1" applyFill="1" applyBorder="1" applyAlignment="1">
      <alignment horizontal="right" vertical="center" indent="1"/>
    </xf>
    <xf numFmtId="4" fontId="2" fillId="37" borderId="50" xfId="0" applyNumberFormat="1" applyFont="1" applyFill="1" applyBorder="1" applyAlignment="1">
      <alignment horizontal="center" vertical="center"/>
    </xf>
    <xf numFmtId="43" fontId="2" fillId="37" borderId="50" xfId="43" applyFont="1" applyFill="1" applyBorder="1" applyAlignment="1">
      <alignment vertical="center" wrapText="1"/>
    </xf>
    <xf numFmtId="43" fontId="2" fillId="37" borderId="50" xfId="43" applyFont="1" applyFill="1" applyBorder="1" applyAlignment="1">
      <alignment vertical="center"/>
    </xf>
    <xf numFmtId="43" fontId="1" fillId="37" borderId="50" xfId="43" applyFont="1" applyFill="1" applyBorder="1" applyAlignment="1">
      <alignment vertical="center"/>
    </xf>
    <xf numFmtId="10" fontId="1" fillId="37" borderId="50" xfId="147" applyNumberFormat="1" applyFont="1" applyFill="1" applyBorder="1" applyAlignment="1">
      <alignment horizontal="right" vertical="center" indent="1"/>
    </xf>
    <xf numFmtId="4" fontId="2" fillId="37" borderId="11" xfId="0" applyNumberFormat="1" applyFont="1" applyFill="1" applyBorder="1" applyAlignment="1">
      <alignment horizontal="center" vertical="center"/>
    </xf>
    <xf numFmtId="43" fontId="2" fillId="37" borderId="11" xfId="43" applyFont="1" applyFill="1" applyBorder="1" applyAlignment="1">
      <alignment vertical="center" wrapText="1"/>
    </xf>
    <xf numFmtId="43" fontId="2" fillId="37" borderId="11" xfId="43" applyFont="1" applyFill="1" applyBorder="1" applyAlignment="1">
      <alignment vertical="center"/>
    </xf>
    <xf numFmtId="10" fontId="2" fillId="36" borderId="11" xfId="147" applyNumberFormat="1" applyFont="1" applyFill="1" applyBorder="1" applyAlignment="1">
      <alignment horizontal="right" vertical="center" indent="1"/>
    </xf>
    <xf numFmtId="43" fontId="2" fillId="0" borderId="15" xfId="43" applyFont="1" applyBorder="1" applyAlignment="1">
      <alignment vertical="top"/>
    </xf>
    <xf numFmtId="4" fontId="2" fillId="0" borderId="0" xfId="0" applyNumberFormat="1" applyFont="1" applyAlignment="1">
      <alignment vertical="top"/>
    </xf>
    <xf numFmtId="43" fontId="2" fillId="0" borderId="45" xfId="43" applyFont="1" applyBorder="1" applyAlignment="1">
      <alignment vertical="top"/>
    </xf>
    <xf numFmtId="43" fontId="2" fillId="0" borderId="0" xfId="43" applyFont="1" applyBorder="1" applyAlignment="1">
      <alignment vertical="top"/>
    </xf>
    <xf numFmtId="43" fontId="63" fillId="0" borderId="45" xfId="43" applyFont="1" applyBorder="1" applyAlignment="1">
      <alignment horizontal="centerContinuous" vertical="top"/>
    </xf>
    <xf numFmtId="43" fontId="63" fillId="0" borderId="0" xfId="43" applyFont="1" applyBorder="1" applyAlignment="1">
      <alignment horizontal="centerContinuous" vertical="top"/>
    </xf>
    <xf numFmtId="0" fontId="41" fillId="0" borderId="0" xfId="65" applyFont="1" applyAlignment="1">
      <alignment vertical="center"/>
    </xf>
    <xf numFmtId="0" fontId="41" fillId="0" borderId="0" xfId="65" applyFont="1" applyBorder="1" applyAlignment="1">
      <alignment vertical="center"/>
    </xf>
    <xf numFmtId="0" fontId="40" fillId="0" borderId="0" xfId="65" applyFont="1" applyBorder="1" applyAlignment="1">
      <alignment horizontal="center" vertical="center"/>
    </xf>
    <xf numFmtId="4" fontId="41" fillId="0" borderId="0" xfId="65" applyNumberFormat="1" applyFont="1" applyAlignment="1">
      <alignment horizontal="center" vertical="center"/>
    </xf>
    <xf numFmtId="0" fontId="67" fillId="39" borderId="0" xfId="0" applyNumberFormat="1" applyFont="1" applyFill="1"/>
    <xf numFmtId="4" fontId="38" fillId="37" borderId="50" xfId="0" applyNumberFormat="1" applyFont="1" applyFill="1" applyBorder="1" applyAlignment="1">
      <alignment horizontal="center" vertical="center"/>
    </xf>
    <xf numFmtId="43" fontId="38" fillId="37" borderId="50" xfId="43" applyFont="1" applyFill="1" applyBorder="1" applyAlignment="1">
      <alignment vertical="center" wrapText="1"/>
    </xf>
    <xf numFmtId="43" fontId="38" fillId="37" borderId="50" xfId="43" applyFont="1" applyFill="1" applyBorder="1" applyAlignment="1">
      <alignment vertical="center"/>
    </xf>
    <xf numFmtId="43" fontId="37" fillId="37" borderId="50" xfId="43" applyFont="1" applyFill="1" applyBorder="1" applyAlignment="1">
      <alignment vertical="center"/>
    </xf>
    <xf numFmtId="10" fontId="37" fillId="37" borderId="50" xfId="147" applyNumberFormat="1" applyFont="1" applyFill="1" applyBorder="1" applyAlignment="1">
      <alignment horizontal="right" vertical="center" indent="1"/>
    </xf>
    <xf numFmtId="4" fontId="2" fillId="36" borderId="50" xfId="0" applyNumberFormat="1" applyFont="1" applyFill="1" applyBorder="1" applyAlignment="1">
      <alignment horizontal="center" vertical="center"/>
    </xf>
    <xf numFmtId="43" fontId="2" fillId="36" borderId="50" xfId="43" applyFont="1" applyFill="1" applyBorder="1" applyAlignment="1">
      <alignment vertical="center" wrapText="1"/>
    </xf>
    <xf numFmtId="43" fontId="2" fillId="36" borderId="50" xfId="43" applyFont="1" applyFill="1" applyBorder="1" applyAlignment="1">
      <alignment vertical="center"/>
    </xf>
    <xf numFmtId="43" fontId="1" fillId="36" borderId="50" xfId="43" applyFont="1" applyFill="1" applyBorder="1" applyAlignment="1">
      <alignment vertical="center"/>
    </xf>
    <xf numFmtId="10" fontId="1" fillId="36" borderId="50" xfId="147" applyNumberFormat="1" applyFont="1" applyFill="1" applyBorder="1" applyAlignment="1">
      <alignment horizontal="right" vertical="center" indent="1"/>
    </xf>
    <xf numFmtId="4" fontId="38" fillId="37" borderId="57" xfId="0" applyNumberFormat="1" applyFont="1" applyFill="1" applyBorder="1" applyAlignment="1">
      <alignment horizontal="center" vertical="center"/>
    </xf>
    <xf numFmtId="4" fontId="38" fillId="37" borderId="57" xfId="0" applyNumberFormat="1" applyFont="1" applyFill="1" applyBorder="1" applyAlignment="1">
      <alignment vertical="center" wrapText="1"/>
    </xf>
    <xf numFmtId="43" fontId="38" fillId="37" borderId="57" xfId="43" applyFont="1" applyFill="1" applyBorder="1" applyAlignment="1">
      <alignment vertical="center"/>
    </xf>
    <xf numFmtId="43" fontId="37" fillId="37" borderId="57" xfId="43" applyFont="1" applyFill="1" applyBorder="1" applyAlignment="1">
      <alignment vertical="center"/>
    </xf>
    <xf numFmtId="10" fontId="37" fillId="37" borderId="57" xfId="147" applyNumberFormat="1" applyFont="1" applyFill="1" applyBorder="1" applyAlignment="1">
      <alignment horizontal="right" vertical="center" indent="1"/>
    </xf>
    <xf numFmtId="10" fontId="1" fillId="0" borderId="0" xfId="147" applyNumberFormat="1" applyFont="1" applyAlignment="1">
      <alignment vertical="center"/>
    </xf>
    <xf numFmtId="0" fontId="65" fillId="0" borderId="0" xfId="194" applyNumberFormat="1" applyFont="1" applyAlignment="1">
      <alignment horizontal="left"/>
    </xf>
    <xf numFmtId="2" fontId="65" fillId="0" borderId="0" xfId="194" applyNumberFormat="1" applyFont="1" applyAlignment="1">
      <alignment horizontal="left"/>
    </xf>
    <xf numFmtId="0" fontId="41" fillId="0" borderId="0" xfId="65" applyFont="1" applyAlignment="1">
      <alignment horizontal="left" vertical="center"/>
    </xf>
    <xf numFmtId="49" fontId="2" fillId="0" borderId="10" xfId="43" applyNumberFormat="1" applyFont="1" applyBorder="1" applyAlignment="1">
      <alignment vertical="center"/>
    </xf>
    <xf numFmtId="0" fontId="65" fillId="0" borderId="0" xfId="194" applyNumberFormat="1" applyFont="1"/>
    <xf numFmtId="0" fontId="21" fillId="0" borderId="0" xfId="0" applyNumberFormat="1" applyFont="1"/>
    <xf numFmtId="0" fontId="21" fillId="0" borderId="0" xfId="0" applyNumberFormat="1" applyFont="1" applyAlignment="1">
      <alignment horizontal="left"/>
    </xf>
    <xf numFmtId="0" fontId="67" fillId="39" borderId="0" xfId="194" applyNumberFormat="1" applyFont="1" applyFill="1"/>
    <xf numFmtId="0" fontId="65" fillId="0" borderId="0" xfId="194" applyNumberFormat="1" applyFont="1"/>
    <xf numFmtId="0" fontId="64" fillId="0" borderId="0" xfId="194" applyNumberFormat="1" applyFont="1"/>
    <xf numFmtId="0" fontId="21" fillId="0" borderId="0" xfId="0" applyNumberFormat="1" applyFont="1"/>
    <xf numFmtId="0" fontId="67" fillId="39" borderId="0" xfId="196" applyNumberFormat="1" applyFont="1" applyFill="1"/>
    <xf numFmtId="0" fontId="65" fillId="0" borderId="0" xfId="196" applyNumberFormat="1" applyFont="1"/>
    <xf numFmtId="0" fontId="37" fillId="0" borderId="50" xfId="151" applyFont="1" applyFill="1" applyBorder="1" applyAlignment="1">
      <alignment horizontal="center" vertical="center" wrapText="1"/>
    </xf>
    <xf numFmtId="164" fontId="37" fillId="0" borderId="50" xfId="152" applyFont="1" applyFill="1" applyBorder="1" applyAlignment="1">
      <alignment vertical="center" wrapText="1"/>
    </xf>
    <xf numFmtId="0" fontId="64" fillId="0" borderId="0" xfId="194" applyNumberFormat="1" applyFont="1"/>
    <xf numFmtId="0" fontId="65" fillId="0" borderId="0" xfId="194" applyNumberFormat="1" applyFont="1"/>
    <xf numFmtId="0" fontId="65" fillId="0" borderId="0" xfId="196" applyNumberFormat="1" applyFont="1"/>
    <xf numFmtId="0" fontId="65" fillId="0" borderId="0" xfId="196" applyNumberFormat="1" applyFont="1" applyAlignment="1">
      <alignment horizontal="left"/>
    </xf>
    <xf numFmtId="43" fontId="21" fillId="0" borderId="0" xfId="43" applyFont="1"/>
    <xf numFmtId="0" fontId="41" fillId="40" borderId="0" xfId="0" applyFont="1" applyFill="1" applyBorder="1" applyAlignment="1">
      <alignment horizontal="left" vertical="top" wrapText="1"/>
    </xf>
    <xf numFmtId="0" fontId="41" fillId="37" borderId="0" xfId="0" applyFont="1" applyFill="1" applyBorder="1" applyAlignment="1">
      <alignment horizontal="left" vertical="top" wrapText="1"/>
    </xf>
    <xf numFmtId="0" fontId="41" fillId="37" borderId="0" xfId="0" applyFont="1" applyFill="1" applyBorder="1" applyAlignment="1">
      <alignment horizontal="center" vertical="top" wrapText="1"/>
    </xf>
    <xf numFmtId="0" fontId="41" fillId="37" borderId="0" xfId="0" applyFont="1" applyFill="1" applyBorder="1" applyAlignment="1">
      <alignment horizontal="right" vertical="top" wrapText="1"/>
    </xf>
    <xf numFmtId="0" fontId="41" fillId="0" borderId="0" xfId="65" applyFont="1" applyBorder="1" applyAlignment="1">
      <alignment horizontal="left" vertical="center"/>
    </xf>
    <xf numFmtId="4" fontId="41" fillId="0" borderId="0" xfId="65" applyNumberFormat="1" applyFont="1" applyBorder="1" applyAlignment="1">
      <alignment horizontal="center" vertical="center"/>
    </xf>
    <xf numFmtId="0" fontId="41" fillId="40" borderId="0" xfId="0" applyFont="1" applyFill="1" applyBorder="1" applyAlignment="1">
      <alignment horizontal="center" vertical="top" wrapText="1"/>
    </xf>
    <xf numFmtId="0" fontId="41" fillId="40" borderId="0" xfId="0" applyFont="1" applyFill="1" applyBorder="1" applyAlignment="1">
      <alignment horizontal="right" vertical="top" wrapText="1"/>
    </xf>
    <xf numFmtId="2" fontId="41" fillId="37" borderId="0" xfId="0" applyNumberFormat="1" applyFont="1" applyFill="1" applyBorder="1" applyAlignment="1">
      <alignment horizontal="right" vertical="top" wrapText="1"/>
    </xf>
    <xf numFmtId="0" fontId="40" fillId="0" borderId="0" xfId="65" applyFont="1" applyAlignment="1">
      <alignment vertical="center"/>
    </xf>
    <xf numFmtId="0" fontId="40" fillId="0" borderId="0" xfId="65" applyFont="1" applyAlignment="1">
      <alignment horizontal="left" vertical="center"/>
    </xf>
    <xf numFmtId="4" fontId="40" fillId="0" borderId="0" xfId="65" applyNumberFormat="1" applyFont="1" applyAlignment="1">
      <alignment horizontal="center" vertical="center"/>
    </xf>
    <xf numFmtId="4" fontId="40" fillId="0" borderId="0" xfId="65" applyNumberFormat="1" applyFont="1" applyAlignment="1">
      <alignment vertical="center"/>
    </xf>
    <xf numFmtId="2" fontId="40" fillId="0" borderId="0" xfId="65" applyNumberFormat="1" applyFont="1" applyAlignment="1">
      <alignment vertical="center"/>
    </xf>
    <xf numFmtId="0" fontId="65" fillId="0" borderId="0" xfId="194" applyNumberFormat="1" applyFont="1"/>
    <xf numFmtId="0" fontId="21" fillId="0" borderId="0" xfId="0" applyNumberFormat="1" applyFont="1"/>
    <xf numFmtId="0" fontId="65" fillId="0" borderId="0" xfId="196" applyNumberFormat="1" applyFont="1"/>
    <xf numFmtId="4" fontId="34" fillId="0" borderId="41" xfId="0" applyNumberFormat="1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49" fontId="2" fillId="36" borderId="50" xfId="43" applyNumberFormat="1" applyFont="1" applyFill="1" applyBorder="1" applyAlignment="1">
      <alignment vertical="center" wrapText="1"/>
    </xf>
    <xf numFmtId="10" fontId="2" fillId="37" borderId="11" xfId="147" applyNumberFormat="1" applyFont="1" applyFill="1" applyBorder="1" applyAlignment="1">
      <alignment horizontal="right" vertical="center" indent="1"/>
    </xf>
    <xf numFmtId="10" fontId="2" fillId="37" borderId="58" xfId="147" applyNumberFormat="1" applyFont="1" applyFill="1" applyBorder="1" applyAlignment="1">
      <alignment horizontal="right" vertical="center" indent="1"/>
    </xf>
    <xf numFmtId="10" fontId="38" fillId="36" borderId="50" xfId="147" applyNumberFormat="1" applyFont="1" applyFill="1" applyBorder="1" applyAlignment="1">
      <alignment horizontal="right" vertical="center" indent="1"/>
    </xf>
    <xf numFmtId="10" fontId="2" fillId="37" borderId="50" xfId="147" applyNumberFormat="1" applyFont="1" applyFill="1" applyBorder="1" applyAlignment="1">
      <alignment horizontal="right" vertical="center" indent="1"/>
    </xf>
    <xf numFmtId="10" fontId="38" fillId="37" borderId="50" xfId="147" applyNumberFormat="1" applyFont="1" applyFill="1" applyBorder="1" applyAlignment="1">
      <alignment horizontal="right" vertical="center" indent="1"/>
    </xf>
    <xf numFmtId="10" fontId="2" fillId="36" borderId="50" xfId="147" applyNumberFormat="1" applyFont="1" applyFill="1" applyBorder="1" applyAlignment="1">
      <alignment horizontal="right" vertical="center" indent="1"/>
    </xf>
    <xf numFmtId="10" fontId="38" fillId="37" borderId="57" xfId="147" applyNumberFormat="1" applyFont="1" applyFill="1" applyBorder="1" applyAlignment="1">
      <alignment horizontal="right" vertical="center" indent="1"/>
    </xf>
    <xf numFmtId="0" fontId="65" fillId="0" borderId="0" xfId="194" applyNumberFormat="1" applyFont="1"/>
    <xf numFmtId="0" fontId="21" fillId="0" borderId="0" xfId="0" applyNumberFormat="1" applyFont="1"/>
    <xf numFmtId="183" fontId="21" fillId="0" borderId="0" xfId="43" applyNumberFormat="1" applyFont="1" applyAlignment="1">
      <alignment horizontal="right"/>
    </xf>
    <xf numFmtId="43" fontId="21" fillId="0" borderId="0" xfId="43" applyFont="1" applyAlignment="1">
      <alignment horizontal="right"/>
    </xf>
    <xf numFmtId="0" fontId="65" fillId="0" borderId="0" xfId="0" applyNumberFormat="1" applyFont="1"/>
    <xf numFmtId="43" fontId="21" fillId="0" borderId="0" xfId="0" applyNumberFormat="1" applyFont="1"/>
    <xf numFmtId="4" fontId="71" fillId="0" borderId="0" xfId="0" applyNumberFormat="1" applyFont="1" applyAlignment="1">
      <alignment vertical="center"/>
    </xf>
    <xf numFmtId="0" fontId="70" fillId="0" borderId="0" xfId="0" applyFont="1" applyFill="1" applyBorder="1" applyAlignment="1">
      <alignment vertical="center"/>
    </xf>
    <xf numFmtId="0" fontId="70" fillId="0" borderId="0" xfId="0" applyFont="1" applyAlignment="1">
      <alignment vertical="top"/>
    </xf>
    <xf numFmtId="0" fontId="71" fillId="0" borderId="29" xfId="0" applyFont="1" applyBorder="1" applyAlignment="1">
      <alignment horizontal="center" vertical="center"/>
    </xf>
    <xf numFmtId="0" fontId="71" fillId="0" borderId="19" xfId="0" applyFont="1" applyBorder="1" applyAlignment="1">
      <alignment horizontal="center" vertical="center" wrapText="1"/>
    </xf>
    <xf numFmtId="171" fontId="33" fillId="0" borderId="10" xfId="0" applyNumberFormat="1" applyFont="1" applyFill="1" applyBorder="1" applyAlignment="1">
      <alignment vertical="center" wrapText="1"/>
    </xf>
    <xf numFmtId="0" fontId="71" fillId="0" borderId="13" xfId="0" applyFont="1" applyBorder="1" applyAlignment="1">
      <alignment horizontal="center" vertical="center"/>
    </xf>
    <xf numFmtId="4" fontId="71" fillId="0" borderId="10" xfId="43" applyNumberFormat="1" applyFont="1" applyBorder="1" applyAlignment="1">
      <alignment horizontal="right" vertical="center"/>
    </xf>
    <xf numFmtId="43" fontId="71" fillId="0" borderId="10" xfId="43" applyFont="1" applyBorder="1" applyAlignment="1">
      <alignment horizontal="right" vertical="center"/>
    </xf>
    <xf numFmtId="43" fontId="71" fillId="0" borderId="30" xfId="43" applyFont="1" applyBorder="1" applyAlignment="1">
      <alignment horizontal="right" vertical="center"/>
    </xf>
    <xf numFmtId="0" fontId="71" fillId="0" borderId="0" xfId="0" applyFont="1" applyAlignment="1">
      <alignment vertical="center"/>
    </xf>
    <xf numFmtId="0" fontId="71" fillId="0" borderId="19" xfId="0" applyFont="1" applyBorder="1" applyAlignment="1">
      <alignment horizontal="center" vertical="center"/>
    </xf>
    <xf numFmtId="0" fontId="71" fillId="0" borderId="10" xfId="0" applyFont="1" applyBorder="1" applyAlignment="1">
      <alignment horizontal="center" vertical="center"/>
    </xf>
    <xf numFmtId="0" fontId="71" fillId="0" borderId="67" xfId="0" applyFont="1" applyBorder="1" applyAlignment="1">
      <alignment horizontal="center" vertical="center"/>
    </xf>
    <xf numFmtId="171" fontId="33" fillId="0" borderId="12" xfId="0" applyNumberFormat="1" applyFont="1" applyFill="1" applyBorder="1" applyAlignment="1">
      <alignment vertical="center" wrapText="1"/>
    </xf>
    <xf numFmtId="0" fontId="70" fillId="0" borderId="0" xfId="0" applyFont="1" applyAlignment="1">
      <alignment vertical="center"/>
    </xf>
    <xf numFmtId="0" fontId="71" fillId="0" borderId="31" xfId="0" applyFont="1" applyBorder="1" applyAlignment="1">
      <alignment horizontal="center" vertical="center"/>
    </xf>
    <xf numFmtId="0" fontId="71" fillId="0" borderId="68" xfId="0" applyFont="1" applyBorder="1" applyAlignment="1">
      <alignment horizontal="center" vertical="center" wrapText="1"/>
    </xf>
    <xf numFmtId="4" fontId="71" fillId="0" borderId="13" xfId="43" applyNumberFormat="1" applyFont="1" applyBorder="1" applyAlignment="1">
      <alignment horizontal="right" vertical="center"/>
    </xf>
    <xf numFmtId="43" fontId="71" fillId="0" borderId="13" xfId="43" applyFont="1" applyBorder="1" applyAlignment="1">
      <alignment horizontal="right" vertical="center"/>
    </xf>
    <xf numFmtId="43" fontId="71" fillId="0" borderId="32" xfId="43" applyFont="1" applyBorder="1" applyAlignment="1">
      <alignment horizontal="right" vertical="center"/>
    </xf>
    <xf numFmtId="43" fontId="71" fillId="0" borderId="10" xfId="43" applyFont="1" applyBorder="1" applyAlignment="1">
      <alignment vertical="center" wrapText="1"/>
    </xf>
    <xf numFmtId="43" fontId="71" fillId="0" borderId="0" xfId="0" applyNumberFormat="1" applyFont="1" applyAlignment="1">
      <alignment vertical="center"/>
    </xf>
    <xf numFmtId="43" fontId="70" fillId="0" borderId="0" xfId="0" applyNumberFormat="1" applyFont="1" applyFill="1" applyBorder="1" applyAlignment="1">
      <alignment vertical="center"/>
    </xf>
    <xf numFmtId="43" fontId="70" fillId="0" borderId="0" xfId="0" applyNumberFormat="1" applyFont="1" applyAlignment="1">
      <alignment vertical="center"/>
    </xf>
    <xf numFmtId="43" fontId="71" fillId="0" borderId="0" xfId="43" applyFont="1" applyAlignment="1">
      <alignment vertical="center"/>
    </xf>
    <xf numFmtId="0" fontId="71" fillId="0" borderId="66" xfId="0" applyFont="1" applyBorder="1" applyAlignment="1">
      <alignment horizontal="center" vertical="center" wrapText="1"/>
    </xf>
    <xf numFmtId="43" fontId="71" fillId="0" borderId="39" xfId="43" applyFont="1" applyBorder="1" applyAlignment="1">
      <alignment vertical="center" wrapText="1"/>
    </xf>
    <xf numFmtId="0" fontId="71" fillId="0" borderId="39" xfId="0" applyFont="1" applyBorder="1" applyAlignment="1">
      <alignment horizontal="center" vertical="center"/>
    </xf>
    <xf numFmtId="4" fontId="71" fillId="0" borderId="39" xfId="43" applyNumberFormat="1" applyFont="1" applyBorder="1" applyAlignment="1">
      <alignment horizontal="right" vertical="center"/>
    </xf>
    <xf numFmtId="43" fontId="71" fillId="0" borderId="39" xfId="43" applyFont="1" applyBorder="1" applyAlignment="1">
      <alignment horizontal="right" vertical="center"/>
    </xf>
    <xf numFmtId="43" fontId="71" fillId="0" borderId="10" xfId="43" applyFont="1" applyBorder="1" applyAlignment="1">
      <alignment horizontal="left" vertical="center" wrapText="1"/>
    </xf>
    <xf numFmtId="0" fontId="71" fillId="0" borderId="12" xfId="0" applyFont="1" applyBorder="1" applyAlignment="1">
      <alignment horizontal="center" vertical="center"/>
    </xf>
    <xf numFmtId="4" fontId="71" fillId="0" borderId="12" xfId="43" applyNumberFormat="1" applyFont="1" applyBorder="1" applyAlignment="1">
      <alignment horizontal="right" vertical="center"/>
    </xf>
    <xf numFmtId="0" fontId="71" fillId="37" borderId="39" xfId="0" applyFont="1" applyFill="1" applyBorder="1" applyAlignment="1">
      <alignment horizontal="center" vertical="center"/>
    </xf>
    <xf numFmtId="0" fontId="71" fillId="37" borderId="10" xfId="0" applyFont="1" applyFill="1" applyBorder="1" applyAlignment="1">
      <alignment horizontal="center" vertical="center"/>
    </xf>
    <xf numFmtId="0" fontId="71" fillId="0" borderId="19" xfId="0" applyFont="1" applyBorder="1" applyAlignment="1">
      <alignment vertical="center" wrapText="1"/>
    </xf>
    <xf numFmtId="4" fontId="71" fillId="37" borderId="10" xfId="43" applyNumberFormat="1" applyFont="1" applyFill="1" applyBorder="1" applyAlignment="1">
      <alignment horizontal="right" vertical="center"/>
    </xf>
    <xf numFmtId="43" fontId="71" fillId="37" borderId="10" xfId="43" applyFont="1" applyFill="1" applyBorder="1" applyAlignment="1">
      <alignment horizontal="right" vertical="center"/>
    </xf>
    <xf numFmtId="43" fontId="71" fillId="37" borderId="30" xfId="43" applyFont="1" applyFill="1" applyBorder="1" applyAlignment="1">
      <alignment horizontal="right" vertical="center"/>
    </xf>
    <xf numFmtId="0" fontId="71" fillId="0" borderId="10" xfId="0" applyFont="1" applyBorder="1" applyAlignment="1">
      <alignment vertical="center" wrapText="1"/>
    </xf>
    <xf numFmtId="0" fontId="71" fillId="37" borderId="13" xfId="0" applyFont="1" applyFill="1" applyBorder="1" applyAlignment="1">
      <alignment horizontal="center" vertical="center"/>
    </xf>
    <xf numFmtId="4" fontId="71" fillId="37" borderId="13" xfId="43" applyNumberFormat="1" applyFont="1" applyFill="1" applyBorder="1" applyAlignment="1">
      <alignment horizontal="right" vertical="center"/>
    </xf>
    <xf numFmtId="43" fontId="71" fillId="37" borderId="32" xfId="43" applyFont="1" applyFill="1" applyBorder="1" applyAlignment="1">
      <alignment horizontal="right" vertical="center"/>
    </xf>
    <xf numFmtId="0" fontId="71" fillId="0" borderId="0" xfId="0" applyFont="1" applyAlignment="1">
      <alignment vertical="top"/>
    </xf>
    <xf numFmtId="43" fontId="71" fillId="0" borderId="34" xfId="43" applyFont="1" applyBorder="1" applyAlignment="1">
      <alignment vertical="top"/>
    </xf>
    <xf numFmtId="43" fontId="71" fillId="0" borderId="34" xfId="43" applyFont="1" applyBorder="1" applyAlignment="1">
      <alignment vertical="center" wrapText="1"/>
    </xf>
    <xf numFmtId="0" fontId="71" fillId="0" borderId="34" xfId="0" applyFont="1" applyBorder="1" applyAlignment="1">
      <alignment horizontal="center" vertical="top"/>
    </xf>
    <xf numFmtId="4" fontId="71" fillId="0" borderId="34" xfId="0" applyNumberFormat="1" applyFont="1" applyBorder="1" applyAlignment="1">
      <alignment horizontal="right" vertical="top"/>
    </xf>
    <xf numFmtId="4" fontId="71" fillId="0" borderId="35" xfId="0" applyNumberFormat="1" applyFont="1" applyBorder="1" applyAlignment="1">
      <alignment horizontal="right" vertical="top"/>
    </xf>
    <xf numFmtId="4" fontId="71" fillId="0" borderId="23" xfId="0" applyNumberFormat="1" applyFont="1" applyBorder="1" applyAlignment="1">
      <alignment horizontal="centerContinuous" vertical="top"/>
    </xf>
    <xf numFmtId="43" fontId="71" fillId="0" borderId="23" xfId="43" applyFont="1" applyBorder="1" applyAlignment="1">
      <alignment vertical="center"/>
    </xf>
    <xf numFmtId="4" fontId="71" fillId="0" borderId="23" xfId="0" applyNumberFormat="1" applyFont="1" applyBorder="1" applyAlignment="1">
      <alignment horizontal="right" vertical="top"/>
    </xf>
    <xf numFmtId="0" fontId="71" fillId="0" borderId="0" xfId="0" applyFont="1" applyBorder="1" applyAlignment="1">
      <alignment horizontal="center" vertical="top"/>
    </xf>
    <xf numFmtId="43" fontId="71" fillId="0" borderId="0" xfId="43" applyFont="1" applyBorder="1" applyAlignment="1">
      <alignment vertical="center" wrapText="1"/>
    </xf>
    <xf numFmtId="4" fontId="71" fillId="0" borderId="0" xfId="0" applyNumberFormat="1" applyFont="1" applyBorder="1" applyAlignment="1">
      <alignment horizontal="right" vertical="top"/>
    </xf>
    <xf numFmtId="0" fontId="71" fillId="0" borderId="0" xfId="0" applyFont="1" applyAlignment="1">
      <alignment horizontal="center" vertical="top"/>
    </xf>
    <xf numFmtId="43" fontId="71" fillId="0" borderId="0" xfId="43" applyFont="1" applyAlignment="1">
      <alignment vertical="center" wrapText="1"/>
    </xf>
    <xf numFmtId="4" fontId="71" fillId="0" borderId="0" xfId="0" applyNumberFormat="1" applyFont="1" applyAlignment="1">
      <alignment horizontal="right" vertical="top"/>
    </xf>
    <xf numFmtId="171" fontId="33" fillId="0" borderId="13" xfId="0" applyNumberFormat="1" applyFont="1" applyFill="1" applyBorder="1" applyAlignment="1">
      <alignment vertical="center" wrapText="1"/>
    </xf>
    <xf numFmtId="0" fontId="70" fillId="0" borderId="73" xfId="0" applyFont="1" applyFill="1" applyBorder="1" applyAlignment="1">
      <alignment horizontal="center" vertical="top"/>
    </xf>
    <xf numFmtId="43" fontId="70" fillId="0" borderId="73" xfId="43" applyFont="1" applyFill="1" applyBorder="1" applyAlignment="1">
      <alignment vertical="center" wrapText="1"/>
    </xf>
    <xf numFmtId="4" fontId="70" fillId="0" borderId="73" xfId="43" applyNumberFormat="1" applyFont="1" applyFill="1" applyBorder="1" applyAlignment="1">
      <alignment horizontal="right" vertical="top"/>
    </xf>
    <xf numFmtId="43" fontId="70" fillId="0" borderId="73" xfId="43" applyFont="1" applyFill="1" applyBorder="1" applyAlignment="1">
      <alignment horizontal="right" vertical="top"/>
    </xf>
    <xf numFmtId="43" fontId="70" fillId="0" borderId="74" xfId="43" applyFont="1" applyFill="1" applyBorder="1" applyAlignment="1">
      <alignment horizontal="right" vertical="top"/>
    </xf>
    <xf numFmtId="0" fontId="70" fillId="0" borderId="72" xfId="0" applyFont="1" applyFill="1" applyBorder="1" applyAlignment="1">
      <alignment horizontal="center" vertical="center"/>
    </xf>
    <xf numFmtId="0" fontId="70" fillId="36" borderId="72" xfId="0" applyFont="1" applyFill="1" applyBorder="1" applyAlignment="1">
      <alignment horizontal="center" vertical="center"/>
    </xf>
    <xf numFmtId="0" fontId="70" fillId="36" borderId="73" xfId="0" applyFont="1" applyFill="1" applyBorder="1" applyAlignment="1">
      <alignment horizontal="center" vertical="top"/>
    </xf>
    <xf numFmtId="43" fontId="70" fillId="36" borderId="73" xfId="43" applyFont="1" applyFill="1" applyBorder="1" applyAlignment="1">
      <alignment vertical="center" wrapText="1"/>
    </xf>
    <xf numFmtId="4" fontId="70" fillId="36" borderId="73" xfId="43" applyNumberFormat="1" applyFont="1" applyFill="1" applyBorder="1" applyAlignment="1">
      <alignment horizontal="right" vertical="top"/>
    </xf>
    <xf numFmtId="43" fontId="70" fillId="36" borderId="73" xfId="43" applyFont="1" applyFill="1" applyBorder="1" applyAlignment="1">
      <alignment horizontal="right" vertical="top"/>
    </xf>
    <xf numFmtId="43" fontId="70" fillId="36" borderId="74" xfId="43" applyFont="1" applyFill="1" applyBorder="1" applyAlignment="1">
      <alignment horizontal="right" vertical="top"/>
    </xf>
    <xf numFmtId="43" fontId="70" fillId="0" borderId="17" xfId="43" applyFont="1" applyFill="1" applyBorder="1" applyAlignment="1">
      <alignment vertical="center" wrapText="1"/>
    </xf>
    <xf numFmtId="0" fontId="70" fillId="0" borderId="17" xfId="0" applyFont="1" applyFill="1" applyBorder="1" applyAlignment="1">
      <alignment horizontal="center" vertical="center"/>
    </xf>
    <xf numFmtId="4" fontId="70" fillId="0" borderId="17" xfId="0" applyNumberFormat="1" applyFont="1" applyFill="1" applyBorder="1" applyAlignment="1">
      <alignment horizontal="right" vertical="center"/>
    </xf>
    <xf numFmtId="0" fontId="70" fillId="0" borderId="17" xfId="0" applyFont="1" applyFill="1" applyBorder="1" applyAlignment="1">
      <alignment horizontal="right" vertical="center"/>
    </xf>
    <xf numFmtId="0" fontId="70" fillId="0" borderId="26" xfId="0" applyFont="1" applyFill="1" applyBorder="1" applyAlignment="1">
      <alignment horizontal="right" vertical="center"/>
    </xf>
    <xf numFmtId="4" fontId="74" fillId="0" borderId="22" xfId="0" applyNumberFormat="1" applyFont="1" applyBorder="1" applyAlignment="1">
      <alignment vertical="center"/>
    </xf>
    <xf numFmtId="4" fontId="74" fillId="0" borderId="34" xfId="0" applyNumberFormat="1" applyFont="1" applyBorder="1" applyAlignment="1">
      <alignment vertical="center"/>
    </xf>
    <xf numFmtId="0" fontId="70" fillId="0" borderId="25" xfId="0" applyFont="1" applyFill="1" applyBorder="1" applyAlignment="1">
      <alignment horizontal="center" vertical="center"/>
    </xf>
    <xf numFmtId="43" fontId="71" fillId="0" borderId="33" xfId="43" applyFont="1" applyBorder="1" applyAlignment="1">
      <alignment horizontal="center" vertical="center"/>
    </xf>
    <xf numFmtId="4" fontId="71" fillId="0" borderId="23" xfId="0" applyNumberFormat="1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0" fillId="0" borderId="72" xfId="0" applyFont="1" applyBorder="1" applyAlignment="1">
      <alignment horizontal="center" vertical="center"/>
    </xf>
    <xf numFmtId="0" fontId="70" fillId="0" borderId="73" xfId="0" applyFont="1" applyBorder="1" applyAlignment="1">
      <alignment horizontal="center" vertical="center"/>
    </xf>
    <xf numFmtId="171" fontId="72" fillId="0" borderId="73" xfId="0" applyNumberFormat="1" applyFont="1" applyFill="1" applyBorder="1" applyAlignment="1">
      <alignment vertical="center" wrapText="1"/>
    </xf>
    <xf numFmtId="0" fontId="71" fillId="0" borderId="73" xfId="0" applyFont="1" applyBorder="1" applyAlignment="1">
      <alignment horizontal="center" vertical="center"/>
    </xf>
    <xf numFmtId="4" fontId="71" fillId="0" borderId="73" xfId="43" applyNumberFormat="1" applyFont="1" applyBorder="1" applyAlignment="1">
      <alignment horizontal="right" vertical="center"/>
    </xf>
    <xf numFmtId="43" fontId="71" fillId="0" borderId="73" xfId="43" applyFont="1" applyBorder="1" applyAlignment="1">
      <alignment horizontal="right" vertical="center"/>
    </xf>
    <xf numFmtId="0" fontId="1" fillId="37" borderId="0" xfId="0" applyNumberFormat="1" applyFont="1" applyFill="1"/>
    <xf numFmtId="0" fontId="75" fillId="37" borderId="0" xfId="73" applyNumberFormat="1" applyFont="1" applyFill="1"/>
    <xf numFmtId="0" fontId="76" fillId="37" borderId="0" xfId="73" applyNumberFormat="1" applyFont="1" applyFill="1"/>
    <xf numFmtId="43" fontId="71" fillId="0" borderId="76" xfId="43" applyFont="1" applyBorder="1" applyAlignment="1">
      <alignment horizontal="right" vertical="center"/>
    </xf>
    <xf numFmtId="0" fontId="33" fillId="37" borderId="10" xfId="65" applyFont="1" applyFill="1" applyBorder="1" applyAlignment="1">
      <alignment horizontal="center" vertical="center"/>
    </xf>
    <xf numFmtId="0" fontId="33" fillId="37" borderId="10" xfId="65" applyFont="1" applyFill="1" applyBorder="1" applyAlignment="1">
      <alignment horizontal="left" vertical="center" wrapText="1"/>
    </xf>
    <xf numFmtId="0" fontId="70" fillId="36" borderId="73" xfId="0" applyFont="1" applyFill="1" applyBorder="1" applyAlignment="1">
      <alignment horizontal="center" vertical="center"/>
    </xf>
    <xf numFmtId="4" fontId="70" fillId="36" borderId="73" xfId="43" applyNumberFormat="1" applyFont="1" applyFill="1" applyBorder="1" applyAlignment="1">
      <alignment horizontal="right" vertical="center"/>
    </xf>
    <xf numFmtId="43" fontId="70" fillId="36" borderId="73" xfId="43" applyFont="1" applyFill="1" applyBorder="1" applyAlignment="1">
      <alignment horizontal="right" vertical="center"/>
    </xf>
    <xf numFmtId="43" fontId="70" fillId="36" borderId="74" xfId="43" applyFont="1" applyFill="1" applyBorder="1" applyAlignment="1">
      <alignment horizontal="right" vertical="center"/>
    </xf>
    <xf numFmtId="0" fontId="70" fillId="0" borderId="77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43" fontId="70" fillId="0" borderId="0" xfId="43" applyFont="1" applyFill="1" applyBorder="1" applyAlignment="1">
      <alignment vertical="center" wrapText="1"/>
    </xf>
    <xf numFmtId="4" fontId="70" fillId="0" borderId="0" xfId="0" applyNumberFormat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right" vertical="center"/>
    </xf>
    <xf numFmtId="43" fontId="70" fillId="0" borderId="78" xfId="43" applyFont="1" applyFill="1" applyBorder="1" applyAlignment="1">
      <alignment horizontal="right" vertical="center"/>
    </xf>
    <xf numFmtId="49" fontId="70" fillId="36" borderId="73" xfId="43" applyNumberFormat="1" applyFont="1" applyFill="1" applyBorder="1" applyAlignment="1">
      <alignment vertical="center" wrapText="1"/>
    </xf>
    <xf numFmtId="43" fontId="71" fillId="0" borderId="13" xfId="43" applyFont="1" applyBorder="1" applyAlignment="1">
      <alignment vertical="center" wrapText="1"/>
    </xf>
    <xf numFmtId="49" fontId="70" fillId="0" borderId="0" xfId="43" applyNumberFormat="1" applyFont="1" applyFill="1" applyBorder="1" applyAlignment="1">
      <alignment vertical="center" wrapText="1"/>
    </xf>
    <xf numFmtId="4" fontId="70" fillId="0" borderId="0" xfId="43" applyNumberFormat="1" applyFont="1" applyFill="1" applyBorder="1" applyAlignment="1">
      <alignment horizontal="right" vertical="center"/>
    </xf>
    <xf numFmtId="43" fontId="70" fillId="0" borderId="0" xfId="43" applyFont="1" applyFill="1" applyBorder="1" applyAlignment="1">
      <alignment horizontal="right" vertical="center"/>
    </xf>
    <xf numFmtId="0" fontId="1" fillId="37" borderId="0" xfId="0" applyNumberFormat="1" applyFont="1" applyFill="1"/>
    <xf numFmtId="0" fontId="76" fillId="37" borderId="0" xfId="73" applyNumberFormat="1" applyFont="1" applyFill="1"/>
    <xf numFmtId="0" fontId="71" fillId="0" borderId="79" xfId="0" applyFont="1" applyFill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 wrapText="1"/>
    </xf>
    <xf numFmtId="43" fontId="71" fillId="0" borderId="10" xfId="43" applyFont="1" applyFill="1" applyBorder="1" applyAlignment="1">
      <alignment vertical="center" wrapText="1"/>
    </xf>
    <xf numFmtId="0" fontId="71" fillId="0" borderId="10" xfId="0" applyFont="1" applyFill="1" applyBorder="1" applyAlignment="1">
      <alignment horizontal="center" vertical="center"/>
    </xf>
    <xf numFmtId="4" fontId="71" fillId="0" borderId="10" xfId="43" applyNumberFormat="1" applyFont="1" applyFill="1" applyBorder="1" applyAlignment="1">
      <alignment horizontal="right" vertical="center"/>
    </xf>
    <xf numFmtId="43" fontId="71" fillId="0" borderId="10" xfId="43" applyFont="1" applyFill="1" applyBorder="1" applyAlignment="1">
      <alignment horizontal="right" vertical="center"/>
    </xf>
    <xf numFmtId="43" fontId="71" fillId="0" borderId="74" xfId="43" applyFont="1" applyFill="1" applyBorder="1" applyAlignment="1">
      <alignment horizontal="right" vertical="center"/>
    </xf>
    <xf numFmtId="0" fontId="71" fillId="0" borderId="10" xfId="0" applyFont="1" applyBorder="1" applyAlignment="1">
      <alignment horizontal="center" vertical="center" wrapText="1"/>
    </xf>
    <xf numFmtId="0" fontId="70" fillId="0" borderId="79" xfId="0" applyFont="1" applyFill="1" applyBorder="1" applyAlignment="1">
      <alignment horizontal="center" vertical="center"/>
    </xf>
    <xf numFmtId="0" fontId="70" fillId="0" borderId="80" xfId="0" applyFont="1" applyFill="1" applyBorder="1" applyAlignment="1">
      <alignment horizontal="center" vertical="center"/>
    </xf>
    <xf numFmtId="43" fontId="70" fillId="0" borderId="80" xfId="43" applyFont="1" applyFill="1" applyBorder="1" applyAlignment="1">
      <alignment vertical="center" wrapText="1"/>
    </xf>
    <xf numFmtId="4" fontId="70" fillId="0" borderId="80" xfId="43" applyNumberFormat="1" applyFont="1" applyFill="1" applyBorder="1" applyAlignment="1">
      <alignment horizontal="right" vertical="center"/>
    </xf>
    <xf numFmtId="43" fontId="70" fillId="0" borderId="80" xfId="43" applyFont="1" applyFill="1" applyBorder="1" applyAlignment="1">
      <alignment horizontal="right" vertical="center"/>
    </xf>
    <xf numFmtId="43" fontId="70" fillId="0" borderId="81" xfId="43" applyFont="1" applyFill="1" applyBorder="1" applyAlignment="1">
      <alignment horizontal="right" vertical="center"/>
    </xf>
    <xf numFmtId="0" fontId="71" fillId="0" borderId="73" xfId="0" applyFont="1" applyFill="1" applyBorder="1" applyAlignment="1">
      <alignment horizontal="center" vertical="center"/>
    </xf>
    <xf numFmtId="4" fontId="71" fillId="0" borderId="73" xfId="43" applyNumberFormat="1" applyFont="1" applyFill="1" applyBorder="1" applyAlignment="1">
      <alignment horizontal="right" vertical="center"/>
    </xf>
    <xf numFmtId="43" fontId="71" fillId="0" borderId="73" xfId="43" applyFont="1" applyFill="1" applyBorder="1" applyAlignment="1">
      <alignment horizontal="right" vertical="center"/>
    </xf>
    <xf numFmtId="49" fontId="71" fillId="0" borderId="10" xfId="43" applyNumberFormat="1" applyFont="1" applyFill="1" applyBorder="1" applyAlignment="1">
      <alignment vertical="center" wrapText="1"/>
    </xf>
    <xf numFmtId="43" fontId="71" fillId="0" borderId="30" xfId="43" applyFont="1" applyFill="1" applyBorder="1" applyAlignment="1">
      <alignment horizontal="right" vertical="center"/>
    </xf>
    <xf numFmtId="0" fontId="70" fillId="0" borderId="10" xfId="0" applyFont="1" applyFill="1" applyBorder="1" applyAlignment="1">
      <alignment horizontal="center" vertical="center"/>
    </xf>
    <xf numFmtId="4" fontId="70" fillId="0" borderId="10" xfId="43" applyNumberFormat="1" applyFont="1" applyFill="1" applyBorder="1" applyAlignment="1">
      <alignment horizontal="right" vertical="center"/>
    </xf>
    <xf numFmtId="0" fontId="71" fillId="0" borderId="29" xfId="0" applyFont="1" applyFill="1" applyBorder="1" applyAlignment="1">
      <alignment horizontal="center" vertical="center"/>
    </xf>
    <xf numFmtId="4" fontId="70" fillId="0" borderId="10" xfId="0" applyNumberFormat="1" applyFont="1" applyFill="1" applyBorder="1" applyAlignment="1">
      <alignment horizontal="right" vertical="center"/>
    </xf>
    <xf numFmtId="0" fontId="70" fillId="0" borderId="73" xfId="0" applyFont="1" applyFill="1" applyBorder="1" applyAlignment="1">
      <alignment horizontal="center" vertical="center"/>
    </xf>
    <xf numFmtId="49" fontId="70" fillId="0" borderId="73" xfId="43" applyNumberFormat="1" applyFont="1" applyFill="1" applyBorder="1" applyAlignment="1">
      <alignment vertical="center" wrapText="1"/>
    </xf>
    <xf numFmtId="4" fontId="70" fillId="0" borderId="73" xfId="43" applyNumberFormat="1" applyFont="1" applyFill="1" applyBorder="1" applyAlignment="1">
      <alignment horizontal="right" vertical="center"/>
    </xf>
    <xf numFmtId="43" fontId="70" fillId="0" borderId="73" xfId="43" applyFont="1" applyFill="1" applyBorder="1" applyAlignment="1">
      <alignment horizontal="right" vertical="center"/>
    </xf>
    <xf numFmtId="43" fontId="70" fillId="0" borderId="74" xfId="43" applyFont="1" applyFill="1" applyBorder="1" applyAlignment="1">
      <alignment horizontal="right" vertical="center"/>
    </xf>
    <xf numFmtId="4" fontId="70" fillId="0" borderId="73" xfId="0" applyNumberFormat="1" applyFont="1" applyFill="1" applyBorder="1" applyAlignment="1">
      <alignment horizontal="right" vertical="center"/>
    </xf>
    <xf numFmtId="0" fontId="70" fillId="0" borderId="73" xfId="0" applyFont="1" applyFill="1" applyBorder="1" applyAlignment="1">
      <alignment horizontal="right" vertical="center"/>
    </xf>
    <xf numFmtId="0" fontId="71" fillId="0" borderId="72" xfId="0" applyFont="1" applyFill="1" applyBorder="1" applyAlignment="1">
      <alignment horizontal="center" vertical="center"/>
    </xf>
    <xf numFmtId="49" fontId="71" fillId="0" borderId="73" xfId="43" applyNumberFormat="1" applyFont="1" applyFill="1" applyBorder="1" applyAlignment="1">
      <alignment vertical="center" wrapText="1"/>
    </xf>
    <xf numFmtId="43" fontId="71" fillId="0" borderId="0" xfId="43" applyFont="1" applyFill="1" applyBorder="1" applyAlignment="1">
      <alignment vertical="center" wrapText="1"/>
    </xf>
    <xf numFmtId="43" fontId="71" fillId="0" borderId="10" xfId="43" applyFont="1" applyFill="1" applyBorder="1" applyAlignment="1">
      <alignment horizontal="left" vertical="center" wrapText="1"/>
    </xf>
    <xf numFmtId="0" fontId="71" fillId="0" borderId="80" xfId="0" applyFont="1" applyBorder="1" applyAlignment="1">
      <alignment horizontal="center" vertical="center"/>
    </xf>
    <xf numFmtId="4" fontId="71" fillId="0" borderId="80" xfId="43" applyNumberFormat="1" applyFont="1" applyBorder="1" applyAlignment="1">
      <alignment horizontal="right" vertical="center"/>
    </xf>
    <xf numFmtId="43" fontId="71" fillId="0" borderId="80" xfId="43" applyFont="1" applyBorder="1" applyAlignment="1">
      <alignment horizontal="right" vertical="center"/>
    </xf>
    <xf numFmtId="43" fontId="71" fillId="0" borderId="81" xfId="43" applyFont="1" applyBorder="1" applyAlignment="1">
      <alignment horizontal="right" vertical="center"/>
    </xf>
    <xf numFmtId="0" fontId="79" fillId="0" borderId="19" xfId="0" applyFont="1" applyBorder="1" applyAlignment="1">
      <alignment horizontal="center" vertical="center" wrapText="1"/>
    </xf>
    <xf numFmtId="0" fontId="71" fillId="0" borderId="10" xfId="0" applyFont="1" applyBorder="1" applyAlignment="1">
      <alignment vertical="center"/>
    </xf>
    <xf numFmtId="0" fontId="70" fillId="0" borderId="84" xfId="0" applyFont="1" applyFill="1" applyBorder="1" applyAlignment="1">
      <alignment horizontal="center" vertical="center"/>
    </xf>
    <xf numFmtId="0" fontId="70" fillId="0" borderId="85" xfId="0" applyFont="1" applyFill="1" applyBorder="1" applyAlignment="1">
      <alignment horizontal="center" vertical="center"/>
    </xf>
    <xf numFmtId="43" fontId="70" fillId="0" borderId="85" xfId="43" applyFont="1" applyFill="1" applyBorder="1" applyAlignment="1">
      <alignment vertical="center" wrapText="1"/>
    </xf>
    <xf numFmtId="4" fontId="70" fillId="0" borderId="85" xfId="0" applyNumberFormat="1" applyFont="1" applyFill="1" applyBorder="1" applyAlignment="1">
      <alignment horizontal="right" vertical="center"/>
    </xf>
    <xf numFmtId="0" fontId="70" fillId="0" borderId="85" xfId="0" applyFont="1" applyFill="1" applyBorder="1" applyAlignment="1">
      <alignment horizontal="right" vertical="center"/>
    </xf>
    <xf numFmtId="43" fontId="70" fillId="0" borderId="86" xfId="43" applyFont="1" applyFill="1" applyBorder="1" applyAlignment="1">
      <alignment horizontal="right" vertical="center"/>
    </xf>
    <xf numFmtId="0" fontId="70" fillId="0" borderId="10" xfId="0" applyFont="1" applyFill="1" applyBorder="1" applyAlignment="1">
      <alignment vertical="center"/>
    </xf>
    <xf numFmtId="0" fontId="71" fillId="0" borderId="38" xfId="0" applyFont="1" applyFill="1" applyBorder="1" applyAlignment="1">
      <alignment horizontal="center" vertical="center"/>
    </xf>
    <xf numFmtId="49" fontId="71" fillId="0" borderId="39" xfId="43" applyNumberFormat="1" applyFont="1" applyFill="1" applyBorder="1" applyAlignment="1">
      <alignment vertical="center" wrapText="1"/>
    </xf>
    <xf numFmtId="4" fontId="70" fillId="0" borderId="39" xfId="43" applyNumberFormat="1" applyFont="1" applyFill="1" applyBorder="1" applyAlignment="1">
      <alignment horizontal="right" vertical="center"/>
    </xf>
    <xf numFmtId="0" fontId="70" fillId="0" borderId="87" xfId="0" applyFont="1" applyFill="1" applyBorder="1" applyAlignment="1">
      <alignment horizontal="center" vertical="center"/>
    </xf>
    <xf numFmtId="0" fontId="70" fillId="0" borderId="88" xfId="0" applyFont="1" applyFill="1" applyBorder="1" applyAlignment="1">
      <alignment horizontal="center" vertical="center"/>
    </xf>
    <xf numFmtId="43" fontId="70" fillId="0" borderId="88" xfId="43" applyFont="1" applyFill="1" applyBorder="1" applyAlignment="1">
      <alignment vertical="center" wrapText="1"/>
    </xf>
    <xf numFmtId="4" fontId="70" fillId="0" borderId="88" xfId="0" applyNumberFormat="1" applyFont="1" applyFill="1" applyBorder="1" applyAlignment="1">
      <alignment horizontal="right" vertical="center"/>
    </xf>
    <xf numFmtId="0" fontId="70" fillId="0" borderId="88" xfId="0" applyFont="1" applyFill="1" applyBorder="1" applyAlignment="1">
      <alignment horizontal="right" vertical="center"/>
    </xf>
    <xf numFmtId="43" fontId="70" fillId="0" borderId="89" xfId="43" applyFont="1" applyFill="1" applyBorder="1" applyAlignment="1">
      <alignment horizontal="right" vertical="center"/>
    </xf>
    <xf numFmtId="0" fontId="70" fillId="37" borderId="79" xfId="0" applyFont="1" applyFill="1" applyBorder="1" applyAlignment="1">
      <alignment horizontal="center" vertical="center"/>
    </xf>
    <xf numFmtId="0" fontId="70" fillId="37" borderId="80" xfId="0" applyFont="1" applyFill="1" applyBorder="1" applyAlignment="1">
      <alignment horizontal="center" vertical="center"/>
    </xf>
    <xf numFmtId="49" fontId="70" fillId="37" borderId="80" xfId="43" applyNumberFormat="1" applyFont="1" applyFill="1" applyBorder="1" applyAlignment="1">
      <alignment vertical="center" wrapText="1"/>
    </xf>
    <xf numFmtId="4" fontId="70" fillId="37" borderId="80" xfId="43" applyNumberFormat="1" applyFont="1" applyFill="1" applyBorder="1" applyAlignment="1">
      <alignment horizontal="right" vertical="center"/>
    </xf>
    <xf numFmtId="43" fontId="70" fillId="37" borderId="80" xfId="43" applyFont="1" applyFill="1" applyBorder="1" applyAlignment="1">
      <alignment horizontal="right" vertical="center"/>
    </xf>
    <xf numFmtId="43" fontId="70" fillId="37" borderId="81" xfId="43" applyFont="1" applyFill="1" applyBorder="1" applyAlignment="1">
      <alignment horizontal="right" vertical="center"/>
    </xf>
    <xf numFmtId="0" fontId="21" fillId="0" borderId="0" xfId="0" applyNumberFormat="1" applyFont="1"/>
    <xf numFmtId="0" fontId="40" fillId="0" borderId="0" xfId="65" applyFont="1" applyFill="1" applyAlignment="1">
      <alignment vertical="center"/>
    </xf>
    <xf numFmtId="0" fontId="41" fillId="0" borderId="0" xfId="65" applyFont="1" applyFill="1" applyAlignment="1">
      <alignment horizontal="left" vertical="center"/>
    </xf>
    <xf numFmtId="0" fontId="41" fillId="0" borderId="0" xfId="65" applyFont="1" applyFill="1" applyAlignment="1">
      <alignment horizontal="center" vertical="center"/>
    </xf>
    <xf numFmtId="4" fontId="41" fillId="0" borderId="0" xfId="65" applyNumberFormat="1" applyFont="1" applyFill="1" applyAlignment="1">
      <alignment horizontal="center" vertical="center"/>
    </xf>
    <xf numFmtId="0" fontId="41" fillId="0" borderId="0" xfId="65" applyFont="1" applyFill="1" applyAlignment="1">
      <alignment vertical="center"/>
    </xf>
    <xf numFmtId="0" fontId="41" fillId="0" borderId="0" xfId="65" applyFont="1" applyAlignment="1">
      <alignment horizontal="center" vertical="center"/>
    </xf>
    <xf numFmtId="0" fontId="40" fillId="0" borderId="0" xfId="65" applyFont="1" applyAlignment="1">
      <alignment horizontal="center" vertical="center"/>
    </xf>
    <xf numFmtId="0" fontId="40" fillId="0" borderId="0" xfId="65" applyFont="1" applyAlignment="1">
      <alignment horizontal="left" vertical="center" wrapText="1"/>
    </xf>
    <xf numFmtId="0" fontId="41" fillId="0" borderId="19" xfId="65" applyFont="1" applyBorder="1" applyAlignment="1">
      <alignment vertical="center"/>
    </xf>
    <xf numFmtId="0" fontId="40" fillId="0" borderId="10" xfId="65" applyFont="1" applyBorder="1" applyAlignment="1">
      <alignment horizontal="left" vertical="center" wrapText="1"/>
    </xf>
    <xf numFmtId="4" fontId="41" fillId="0" borderId="10" xfId="65" applyNumberFormat="1" applyFont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 wrapText="1"/>
    </xf>
    <xf numFmtId="0" fontId="41" fillId="0" borderId="82" xfId="65" applyFont="1" applyBorder="1" applyAlignment="1">
      <alignment horizontal="center" vertical="center"/>
    </xf>
    <xf numFmtId="0" fontId="41" fillId="0" borderId="10" xfId="65" applyFont="1" applyBorder="1" applyAlignment="1">
      <alignment horizontal="left" vertical="center" wrapText="1"/>
    </xf>
    <xf numFmtId="2" fontId="41" fillId="0" borderId="10" xfId="65" applyNumberFormat="1" applyFont="1" applyBorder="1" applyAlignment="1">
      <alignment horizontal="center" vertical="center"/>
    </xf>
    <xf numFmtId="4" fontId="41" fillId="0" borderId="73" xfId="65" applyNumberFormat="1" applyFont="1" applyBorder="1" applyAlignment="1">
      <alignment horizontal="center" vertical="center"/>
    </xf>
    <xf numFmtId="0" fontId="41" fillId="0" borderId="73" xfId="65" applyFont="1" applyBorder="1" applyAlignment="1">
      <alignment vertical="center"/>
    </xf>
    <xf numFmtId="0" fontId="41" fillId="0" borderId="19" xfId="65" applyFont="1" applyBorder="1" applyAlignment="1">
      <alignment horizontal="right" vertical="center"/>
    </xf>
    <xf numFmtId="0" fontId="41" fillId="0" borderId="0" xfId="65" applyFont="1" applyAlignment="1">
      <alignment horizontal="center" vertical="center" wrapText="1"/>
    </xf>
    <xf numFmtId="0" fontId="40" fillId="0" borderId="82" xfId="65" applyFont="1" applyBorder="1" applyAlignment="1">
      <alignment horizontal="center" vertical="center"/>
    </xf>
    <xf numFmtId="0" fontId="41" fillId="43" borderId="0" xfId="65" applyFont="1" applyFill="1" applyAlignment="1">
      <alignment horizontal="left" vertical="center"/>
    </xf>
    <xf numFmtId="0" fontId="41" fillId="44" borderId="0" xfId="65" applyFont="1" applyFill="1" applyAlignment="1">
      <alignment vertical="center"/>
    </xf>
    <xf numFmtId="0" fontId="41" fillId="44" borderId="0" xfId="65" applyFont="1" applyFill="1" applyAlignment="1">
      <alignment horizontal="left" vertical="center"/>
    </xf>
    <xf numFmtId="0" fontId="41" fillId="44" borderId="0" xfId="65" applyFont="1" applyFill="1" applyAlignment="1">
      <alignment horizontal="center" vertical="center"/>
    </xf>
    <xf numFmtId="4" fontId="41" fillId="44" borderId="0" xfId="65" applyNumberFormat="1" applyFont="1" applyFill="1" applyAlignment="1">
      <alignment horizontal="center" vertical="center"/>
    </xf>
    <xf numFmtId="0" fontId="40" fillId="0" borderId="0" xfId="65" applyFont="1" applyFill="1" applyAlignment="1">
      <alignment horizontal="left" vertical="center"/>
    </xf>
    <xf numFmtId="0" fontId="40" fillId="0" borderId="0" xfId="65" applyFont="1" applyFill="1" applyAlignment="1">
      <alignment horizontal="center" vertical="center"/>
    </xf>
    <xf numFmtId="0" fontId="41" fillId="0" borderId="19" xfId="65" applyFont="1" applyFill="1" applyBorder="1" applyAlignment="1">
      <alignment horizontal="left" vertical="center"/>
    </xf>
    <xf numFmtId="0" fontId="41" fillId="0" borderId="10" xfId="65" applyFont="1" applyFill="1" applyBorder="1" applyAlignment="1">
      <alignment horizontal="left" vertical="center" wrapText="1"/>
    </xf>
    <xf numFmtId="0" fontId="41" fillId="0" borderId="10" xfId="65" applyFont="1" applyFill="1" applyBorder="1" applyAlignment="1">
      <alignment horizontal="center" vertical="center" wrapText="1"/>
    </xf>
    <xf numFmtId="0" fontId="41" fillId="0" borderId="10" xfId="65" applyFont="1" applyFill="1" applyBorder="1" applyAlignment="1">
      <alignment horizontal="center" vertical="center"/>
    </xf>
    <xf numFmtId="2" fontId="41" fillId="0" borderId="10" xfId="65" applyNumberFormat="1" applyFont="1" applyFill="1" applyBorder="1" applyAlignment="1">
      <alignment horizontal="center" vertical="center"/>
    </xf>
    <xf numFmtId="0" fontId="40" fillId="0" borderId="0" xfId="65" applyFont="1" applyFill="1" applyAlignment="1">
      <alignment horizontal="left" vertical="center" wrapText="1"/>
    </xf>
    <xf numFmtId="0" fontId="40" fillId="0" borderId="10" xfId="65" applyFont="1" applyBorder="1" applyAlignment="1">
      <alignment horizontal="center" vertical="center" wrapText="1"/>
    </xf>
    <xf numFmtId="184" fontId="41" fillId="0" borderId="10" xfId="65" applyNumberFormat="1" applyFont="1" applyBorder="1" applyAlignment="1">
      <alignment horizontal="center" vertical="center"/>
    </xf>
    <xf numFmtId="2" fontId="41" fillId="0" borderId="82" xfId="65" applyNumberFormat="1" applyFont="1" applyBorder="1" applyAlignment="1">
      <alignment horizontal="center" vertical="center"/>
    </xf>
    <xf numFmtId="2" fontId="40" fillId="0" borderId="82" xfId="65" applyNumberFormat="1" applyFont="1" applyBorder="1" applyAlignment="1">
      <alignment horizontal="center" vertical="center"/>
    </xf>
    <xf numFmtId="185" fontId="41" fillId="0" borderId="10" xfId="65" applyNumberFormat="1" applyFont="1" applyBorder="1" applyAlignment="1">
      <alignment horizontal="center" vertical="center"/>
    </xf>
    <xf numFmtId="186" fontId="41" fillId="0" borderId="10" xfId="65" applyNumberFormat="1" applyFont="1" applyBorder="1" applyAlignment="1">
      <alignment horizontal="center" vertical="center"/>
    </xf>
    <xf numFmtId="187" fontId="41" fillId="0" borderId="10" xfId="65" applyNumberFormat="1" applyFont="1" applyBorder="1" applyAlignment="1">
      <alignment horizontal="center" vertical="center"/>
    </xf>
    <xf numFmtId="188" fontId="41" fillId="0" borderId="10" xfId="65" applyNumberFormat="1" applyFont="1" applyBorder="1" applyAlignment="1">
      <alignment horizontal="center" vertical="center"/>
    </xf>
    <xf numFmtId="4" fontId="40" fillId="0" borderId="0" xfId="65" applyNumberFormat="1" applyFont="1" applyAlignment="1">
      <alignment horizontal="left" vertical="center"/>
    </xf>
    <xf numFmtId="4" fontId="41" fillId="0" borderId="80" xfId="65" applyNumberFormat="1" applyFont="1" applyBorder="1" applyAlignment="1">
      <alignment horizontal="center" vertical="center"/>
    </xf>
    <xf numFmtId="0" fontId="41" fillId="0" borderId="80" xfId="65" applyFont="1" applyBorder="1" applyAlignment="1">
      <alignment vertical="center"/>
    </xf>
    <xf numFmtId="0" fontId="41" fillId="0" borderId="68" xfId="65" applyFont="1" applyBorder="1" applyAlignment="1">
      <alignment horizontal="right" vertical="center"/>
    </xf>
    <xf numFmtId="2" fontId="41" fillId="0" borderId="90" xfId="65" applyNumberFormat="1" applyFont="1" applyBorder="1" applyAlignment="1">
      <alignment horizontal="center" vertical="center"/>
    </xf>
    <xf numFmtId="0" fontId="40" fillId="0" borderId="0" xfId="65" applyFont="1" applyAlignment="1">
      <alignment horizontal="left" vertical="center" wrapText="1"/>
    </xf>
    <xf numFmtId="0" fontId="41" fillId="0" borderId="73" xfId="65" applyFont="1" applyBorder="1" applyAlignment="1">
      <alignment horizontal="center" vertical="center"/>
    </xf>
    <xf numFmtId="0" fontId="41" fillId="0" borderId="73" xfId="65" applyFont="1" applyBorder="1" applyAlignment="1">
      <alignment horizontal="center" vertical="center" wrapText="1"/>
    </xf>
    <xf numFmtId="4" fontId="41" fillId="0" borderId="10" xfId="65" applyNumberFormat="1" applyFont="1" applyFill="1" applyBorder="1" applyAlignment="1">
      <alignment horizontal="center" vertical="center"/>
    </xf>
    <xf numFmtId="186" fontId="41" fillId="0" borderId="82" xfId="65" applyNumberFormat="1" applyFont="1" applyFill="1" applyBorder="1" applyAlignment="1">
      <alignment horizontal="center" vertical="center"/>
    </xf>
    <xf numFmtId="189" fontId="41" fillId="0" borderId="10" xfId="65" applyNumberFormat="1" applyFont="1" applyFill="1" applyBorder="1" applyAlignment="1">
      <alignment horizontal="center" vertical="center"/>
    </xf>
    <xf numFmtId="2" fontId="41" fillId="0" borderId="82" xfId="65" applyNumberFormat="1" applyFont="1" applyFill="1" applyBorder="1" applyAlignment="1">
      <alignment horizontal="center" vertical="center"/>
    </xf>
    <xf numFmtId="186" fontId="41" fillId="0" borderId="82" xfId="65" applyNumberFormat="1" applyFont="1" applyBorder="1" applyAlignment="1">
      <alignment horizontal="center" vertical="center"/>
    </xf>
    <xf numFmtId="190" fontId="41" fillId="0" borderId="10" xfId="65" applyNumberFormat="1" applyFont="1" applyBorder="1" applyAlignment="1">
      <alignment horizontal="center" vertical="center"/>
    </xf>
    <xf numFmtId="4" fontId="41" fillId="0" borderId="85" xfId="65" applyNumberFormat="1" applyFont="1" applyBorder="1" applyAlignment="1">
      <alignment horizontal="center" vertical="center"/>
    </xf>
    <xf numFmtId="0" fontId="41" fillId="0" borderId="0" xfId="65" applyFont="1" applyBorder="1" applyAlignment="1">
      <alignment horizontal="center" vertical="center" wrapText="1"/>
    </xf>
    <xf numFmtId="186" fontId="41" fillId="0" borderId="10" xfId="65" applyNumberFormat="1" applyFont="1" applyFill="1" applyBorder="1" applyAlignment="1">
      <alignment horizontal="center" vertical="center"/>
    </xf>
    <xf numFmtId="186" fontId="40" fillId="0" borderId="82" xfId="65" applyNumberFormat="1" applyFont="1" applyBorder="1" applyAlignment="1">
      <alignment horizontal="center" vertical="center"/>
    </xf>
    <xf numFmtId="0" fontId="41" fillId="0" borderId="68" xfId="65" applyFont="1" applyBorder="1" applyAlignment="1">
      <alignment horizontal="left" vertical="center" wrapText="1"/>
    </xf>
    <xf numFmtId="0" fontId="41" fillId="0" borderId="13" xfId="65" applyFont="1" applyBorder="1" applyAlignment="1">
      <alignment horizontal="left" vertical="center" wrapText="1"/>
    </xf>
    <xf numFmtId="4" fontId="41" fillId="0" borderId="13" xfId="65" applyNumberFormat="1" applyFont="1" applyBorder="1" applyAlignment="1">
      <alignment horizontal="center" vertical="center"/>
    </xf>
    <xf numFmtId="184" fontId="41" fillId="0" borderId="13" xfId="65" applyNumberFormat="1" applyFont="1" applyBorder="1" applyAlignment="1">
      <alignment horizontal="center" vertical="center" wrapText="1"/>
    </xf>
    <xf numFmtId="191" fontId="41" fillId="0" borderId="13" xfId="65" applyNumberFormat="1" applyFont="1" applyBorder="1" applyAlignment="1">
      <alignment horizontal="center" vertical="center" wrapText="1"/>
    </xf>
    <xf numFmtId="186" fontId="41" fillId="0" borderId="13" xfId="65" applyNumberFormat="1" applyFont="1" applyBorder="1" applyAlignment="1">
      <alignment horizontal="center" vertical="center" wrapText="1"/>
    </xf>
    <xf numFmtId="191" fontId="41" fillId="0" borderId="13" xfId="65" applyNumberFormat="1" applyFont="1" applyBorder="1" applyAlignment="1">
      <alignment horizontal="center" vertical="center" wrapText="1"/>
    </xf>
    <xf numFmtId="0" fontId="41" fillId="0" borderId="67" xfId="65" applyFont="1" applyBorder="1" applyAlignment="1">
      <alignment vertical="center" wrapText="1"/>
    </xf>
    <xf numFmtId="0" fontId="41" fillId="0" borderId="12" xfId="65" applyFont="1" applyBorder="1" applyAlignment="1">
      <alignment vertical="center" wrapText="1"/>
    </xf>
    <xf numFmtId="0" fontId="41" fillId="0" borderId="83" xfId="65" applyFont="1" applyBorder="1" applyAlignment="1">
      <alignment horizontal="center" vertical="center"/>
    </xf>
    <xf numFmtId="4" fontId="41" fillId="0" borderId="12" xfId="65" applyNumberFormat="1" applyFont="1" applyBorder="1" applyAlignment="1">
      <alignment horizontal="center" vertical="center"/>
    </xf>
    <xf numFmtId="184" fontId="41" fillId="0" borderId="12" xfId="65" applyNumberFormat="1" applyFont="1" applyBorder="1" applyAlignment="1">
      <alignment horizontal="center" vertical="center" wrapText="1"/>
    </xf>
    <xf numFmtId="2" fontId="41" fillId="0" borderId="12" xfId="65" applyNumberFormat="1" applyFont="1" applyBorder="1" applyAlignment="1">
      <alignment horizontal="center" vertical="center"/>
    </xf>
    <xf numFmtId="2" fontId="41" fillId="0" borderId="83" xfId="65" applyNumberFormat="1" applyFont="1" applyBorder="1" applyAlignment="1">
      <alignment horizontal="center" vertical="center"/>
    </xf>
    <xf numFmtId="0" fontId="41" fillId="0" borderId="19" xfId="65" applyFont="1" applyBorder="1" applyAlignment="1">
      <alignment horizontal="left" vertical="center" wrapText="1"/>
    </xf>
    <xf numFmtId="184" fontId="41" fillId="0" borderId="10" xfId="65" applyNumberFormat="1" applyFont="1" applyBorder="1" applyAlignment="1">
      <alignment horizontal="center" vertical="center" wrapText="1"/>
    </xf>
    <xf numFmtId="0" fontId="41" fillId="0" borderId="10" xfId="65" applyFont="1" applyBorder="1" applyAlignment="1">
      <alignment vertical="center" wrapText="1"/>
    </xf>
    <xf numFmtId="192" fontId="41" fillId="0" borderId="10" xfId="65" applyNumberFormat="1" applyFont="1" applyBorder="1" applyAlignment="1">
      <alignment horizontal="center" vertical="center" wrapText="1"/>
    </xf>
    <xf numFmtId="4" fontId="41" fillId="0" borderId="83" xfId="65" applyNumberFormat="1" applyFont="1" applyBorder="1" applyAlignment="1">
      <alignment horizontal="center" vertical="center"/>
    </xf>
    <xf numFmtId="0" fontId="41" fillId="0" borderId="19" xfId="65" applyFont="1" applyBorder="1" applyAlignment="1">
      <alignment vertical="center" wrapText="1"/>
    </xf>
    <xf numFmtId="0" fontId="40" fillId="0" borderId="10" xfId="65" applyFont="1" applyFill="1" applyBorder="1" applyAlignment="1">
      <alignment horizontal="left" vertical="center" wrapText="1"/>
    </xf>
    <xf numFmtId="2" fontId="41" fillId="0" borderId="10" xfId="65" applyNumberFormat="1" applyFont="1" applyBorder="1" applyAlignment="1">
      <alignment horizontal="center" vertical="center" wrapText="1"/>
    </xf>
    <xf numFmtId="0" fontId="41" fillId="0" borderId="19" xfId="65" applyFont="1" applyBorder="1" applyAlignment="1">
      <alignment horizontal="left" vertical="center"/>
    </xf>
    <xf numFmtId="0" fontId="41" fillId="0" borderId="67" xfId="65" applyFont="1" applyBorder="1" applyAlignment="1">
      <alignment horizontal="left" vertical="center" wrapText="1"/>
    </xf>
    <xf numFmtId="193" fontId="41" fillId="0" borderId="10" xfId="65" applyNumberFormat="1" applyFont="1" applyBorder="1" applyAlignment="1">
      <alignment horizontal="center" vertical="center" wrapText="1"/>
    </xf>
    <xf numFmtId="0" fontId="40" fillId="0" borderId="80" xfId="65" applyFont="1" applyBorder="1" applyAlignment="1">
      <alignment vertical="center" wrapText="1"/>
    </xf>
    <xf numFmtId="0" fontId="40" fillId="0" borderId="0" xfId="65" applyFont="1" applyAlignment="1">
      <alignment vertical="center" wrapText="1"/>
    </xf>
    <xf numFmtId="0" fontId="41" fillId="0" borderId="10" xfId="65" applyFont="1" applyBorder="1" applyAlignment="1">
      <alignment horizontal="left" vertical="center"/>
    </xf>
    <xf numFmtId="0" fontId="41" fillId="0" borderId="82" xfId="65" applyFont="1" applyBorder="1" applyAlignment="1">
      <alignment horizontal="center" vertical="center" wrapText="1"/>
    </xf>
    <xf numFmtId="0" fontId="41" fillId="0" borderId="12" xfId="65" applyFont="1" applyBorder="1" applyAlignment="1">
      <alignment horizontal="left" vertical="center" wrapText="1"/>
    </xf>
    <xf numFmtId="184" fontId="41" fillId="0" borderId="12" xfId="65" applyNumberFormat="1" applyFont="1" applyBorder="1" applyAlignment="1">
      <alignment horizontal="center" vertical="center"/>
    </xf>
    <xf numFmtId="2" fontId="41" fillId="0" borderId="82" xfId="65" applyNumberFormat="1" applyFont="1" applyBorder="1" applyAlignment="1">
      <alignment horizontal="center" vertical="center" wrapText="1"/>
    </xf>
    <xf numFmtId="0" fontId="41" fillId="0" borderId="10" xfId="65" applyFont="1" applyBorder="1" applyAlignment="1">
      <alignment horizontal="center" vertical="center"/>
    </xf>
    <xf numFmtId="0" fontId="41" fillId="0" borderId="80" xfId="65" applyFont="1" applyBorder="1" applyAlignment="1">
      <alignment horizontal="left" vertical="center"/>
    </xf>
    <xf numFmtId="0" fontId="41" fillId="0" borderId="80" xfId="65" applyFont="1" applyBorder="1" applyAlignment="1">
      <alignment horizontal="right" vertical="center"/>
    </xf>
    <xf numFmtId="0" fontId="41" fillId="0" borderId="73" xfId="65" applyFont="1" applyBorder="1" applyAlignment="1">
      <alignment horizontal="left" vertical="center"/>
    </xf>
    <xf numFmtId="0" fontId="41" fillId="36" borderId="0" xfId="65" applyFont="1" applyFill="1" applyAlignment="1">
      <alignment vertical="center"/>
    </xf>
    <xf numFmtId="0" fontId="41" fillId="36" borderId="0" xfId="65" applyFont="1" applyFill="1" applyAlignment="1">
      <alignment horizontal="left" vertical="center"/>
    </xf>
    <xf numFmtId="4" fontId="41" fillId="36" borderId="0" xfId="65" applyNumberFormat="1" applyFont="1" applyFill="1" applyAlignment="1">
      <alignment horizontal="center" vertical="center"/>
    </xf>
    <xf numFmtId="189" fontId="41" fillId="0" borderId="10" xfId="65" applyNumberFormat="1" applyFont="1" applyBorder="1" applyAlignment="1">
      <alignment horizontal="center" vertical="center"/>
    </xf>
    <xf numFmtId="0" fontId="41" fillId="0" borderId="67" xfId="65" applyFont="1" applyBorder="1" applyAlignment="1">
      <alignment horizontal="left" vertical="center"/>
    </xf>
    <xf numFmtId="0" fontId="41" fillId="44" borderId="0" xfId="65" applyFont="1" applyFill="1" applyBorder="1" applyAlignment="1">
      <alignment vertical="center"/>
    </xf>
    <xf numFmtId="2" fontId="41" fillId="44" borderId="0" xfId="65" applyNumberFormat="1" applyFont="1" applyFill="1" applyBorder="1" applyAlignment="1">
      <alignment horizontal="left" vertical="center"/>
    </xf>
    <xf numFmtId="190" fontId="41" fillId="0" borderId="10" xfId="65" applyNumberFormat="1" applyFont="1" applyFill="1" applyBorder="1" applyAlignment="1">
      <alignment horizontal="center" vertical="center"/>
    </xf>
    <xf numFmtId="184" fontId="41" fillId="0" borderId="10" xfId="65" applyNumberFormat="1" applyFont="1" applyFill="1" applyBorder="1" applyAlignment="1">
      <alignment horizontal="center" vertical="center"/>
    </xf>
    <xf numFmtId="0" fontId="76" fillId="37" borderId="0" xfId="73" applyNumberFormat="1" applyFont="1" applyFill="1" applyAlignment="1"/>
    <xf numFmtId="0" fontId="65" fillId="37" borderId="10" xfId="73" applyNumberFormat="1" applyFont="1" applyFill="1" applyBorder="1" applyAlignment="1">
      <alignment horizontal="center" vertical="center"/>
    </xf>
    <xf numFmtId="0" fontId="76" fillId="36" borderId="0" xfId="73" applyNumberFormat="1" applyFont="1" applyFill="1"/>
    <xf numFmtId="0" fontId="65" fillId="0" borderId="10" xfId="196" applyNumberFormat="1" applyFont="1" applyBorder="1" applyAlignment="1">
      <alignment horizontal="center" vertical="center"/>
    </xf>
    <xf numFmtId="0" fontId="65" fillId="0" borderId="82" xfId="196" applyNumberFormat="1" applyFont="1" applyBorder="1" applyAlignment="1">
      <alignment horizontal="center" vertical="center"/>
    </xf>
    <xf numFmtId="0" fontId="65" fillId="0" borderId="0" xfId="196" applyNumberFormat="1" applyFont="1" applyAlignment="1">
      <alignment vertical="center"/>
    </xf>
    <xf numFmtId="0" fontId="65" fillId="0" borderId="19" xfId="196" applyNumberFormat="1" applyFont="1" applyBorder="1" applyAlignment="1">
      <alignment horizontal="right" vertical="center"/>
    </xf>
    <xf numFmtId="0" fontId="65" fillId="0" borderId="19" xfId="196" applyNumberFormat="1" applyFont="1" applyBorder="1" applyAlignment="1">
      <alignment vertical="center"/>
    </xf>
    <xf numFmtId="0" fontId="65" fillId="0" borderId="0" xfId="196" applyNumberFormat="1" applyFont="1" applyAlignment="1"/>
    <xf numFmtId="0" fontId="65" fillId="0" borderId="10" xfId="196" applyNumberFormat="1" applyFont="1" applyBorder="1" applyAlignment="1">
      <alignment vertical="center" wrapText="1"/>
    </xf>
    <xf numFmtId="0" fontId="64" fillId="0" borderId="0" xfId="196" applyNumberFormat="1" applyFont="1" applyAlignment="1">
      <alignment vertical="center"/>
    </xf>
    <xf numFmtId="2" fontId="65" fillId="0" borderId="82" xfId="196" applyNumberFormat="1" applyFont="1" applyBorder="1" applyAlignment="1">
      <alignment horizontal="center" vertical="center"/>
    </xf>
    <xf numFmtId="191" fontId="65" fillId="0" borderId="10" xfId="196" applyNumberFormat="1" applyFont="1" applyBorder="1" applyAlignment="1">
      <alignment horizontal="center" vertical="center"/>
    </xf>
    <xf numFmtId="2" fontId="65" fillId="0" borderId="10" xfId="196" applyNumberFormat="1" applyFont="1" applyFill="1" applyBorder="1" applyAlignment="1">
      <alignment horizontal="center" vertical="center"/>
    </xf>
    <xf numFmtId="2" fontId="65" fillId="0" borderId="73" xfId="196" applyNumberFormat="1" applyFont="1" applyBorder="1" applyAlignment="1">
      <alignment horizontal="center" vertical="center"/>
    </xf>
    <xf numFmtId="0" fontId="65" fillId="0" borderId="0" xfId="196" applyNumberFormat="1" applyFont="1" applyAlignment="1">
      <alignment horizontal="left" vertical="center"/>
    </xf>
    <xf numFmtId="2" fontId="65" fillId="0" borderId="0" xfId="196" applyNumberFormat="1" applyFont="1" applyAlignment="1">
      <alignment horizontal="left" vertical="center"/>
    </xf>
    <xf numFmtId="0" fontId="65" fillId="0" borderId="73" xfId="196" applyNumberFormat="1" applyFont="1" applyBorder="1" applyAlignment="1">
      <alignment vertical="center"/>
    </xf>
    <xf numFmtId="2" fontId="64" fillId="0" borderId="0" xfId="196" applyNumberFormat="1" applyFont="1" applyAlignment="1">
      <alignment horizontal="left" vertical="center"/>
    </xf>
    <xf numFmtId="2" fontId="64" fillId="0" borderId="73" xfId="196" applyNumberFormat="1" applyFont="1" applyBorder="1" applyAlignment="1">
      <alignment horizontal="center" vertical="center"/>
    </xf>
    <xf numFmtId="0" fontId="40" fillId="0" borderId="0" xfId="65" applyFont="1" applyAlignment="1">
      <alignment horizontal="left" vertical="center" wrapText="1"/>
    </xf>
    <xf numFmtId="0" fontId="41" fillId="0" borderId="10" xfId="65" applyFont="1" applyBorder="1" applyAlignment="1">
      <alignment horizontal="center" vertical="center"/>
    </xf>
    <xf numFmtId="0" fontId="41" fillId="0" borderId="73" xfId="65" applyFont="1" applyBorder="1" applyAlignment="1">
      <alignment horizontal="right" vertical="center"/>
    </xf>
    <xf numFmtId="2" fontId="41" fillId="0" borderId="0" xfId="65" applyNumberFormat="1" applyFont="1" applyAlignment="1">
      <alignment horizontal="left" vertical="center"/>
    </xf>
    <xf numFmtId="2" fontId="40" fillId="0" borderId="0" xfId="65" applyNumberFormat="1" applyFont="1" applyAlignment="1">
      <alignment horizontal="left" vertical="center"/>
    </xf>
    <xf numFmtId="0" fontId="21" fillId="37" borderId="0" xfId="0" applyNumberFormat="1" applyFont="1" applyFill="1"/>
    <xf numFmtId="0" fontId="67" fillId="0" borderId="0" xfId="0" applyNumberFormat="1" applyFont="1" applyFill="1"/>
    <xf numFmtId="0" fontId="80" fillId="37" borderId="0" xfId="0" applyNumberFormat="1" applyFont="1" applyFill="1" applyAlignment="1">
      <alignment horizontal="left" vertical="center"/>
    </xf>
    <xf numFmtId="0" fontId="21" fillId="37" borderId="0" xfId="0" applyNumberFormat="1" applyFont="1" applyFill="1" applyAlignment="1"/>
    <xf numFmtId="0" fontId="64" fillId="0" borderId="0" xfId="0" applyNumberFormat="1" applyFont="1" applyAlignment="1"/>
    <xf numFmtId="0" fontId="21" fillId="0" borderId="0" xfId="0" applyNumberFormat="1" applyFont="1" applyAlignment="1"/>
    <xf numFmtId="0" fontId="76" fillId="43" borderId="0" xfId="73" applyNumberFormat="1" applyFont="1" applyFill="1"/>
    <xf numFmtId="0" fontId="65" fillId="0" borderId="19" xfId="196" applyNumberFormat="1" applyFont="1" applyBorder="1" applyAlignment="1">
      <alignment horizontal="left" vertical="center"/>
    </xf>
    <xf numFmtId="0" fontId="65" fillId="0" borderId="10" xfId="196" applyNumberFormat="1" applyFont="1" applyFill="1" applyBorder="1" applyAlignment="1">
      <alignment horizontal="center" vertical="center"/>
    </xf>
    <xf numFmtId="0" fontId="40" fillId="0" borderId="0" xfId="65" applyFont="1" applyAlignment="1">
      <alignment horizontal="center" vertical="center" wrapText="1"/>
    </xf>
    <xf numFmtId="0" fontId="41" fillId="43" borderId="0" xfId="65" applyFont="1" applyFill="1" applyAlignment="1">
      <alignment vertical="center"/>
    </xf>
    <xf numFmtId="0" fontId="33" fillId="37" borderId="10" xfId="65" applyFont="1" applyFill="1" applyBorder="1" applyAlignment="1">
      <alignment horizontal="center" vertical="center" wrapText="1"/>
    </xf>
    <xf numFmtId="0" fontId="21" fillId="0" borderId="10" xfId="0" applyNumberFormat="1" applyFont="1" applyBorder="1" applyAlignment="1">
      <alignment horizontal="center" vertical="center"/>
    </xf>
    <xf numFmtId="2" fontId="21" fillId="0" borderId="82" xfId="0" applyNumberFormat="1" applyFont="1" applyBorder="1" applyAlignment="1">
      <alignment horizontal="center" vertical="center"/>
    </xf>
    <xf numFmtId="0" fontId="21" fillId="0" borderId="13" xfId="0" applyNumberFormat="1" applyFont="1" applyBorder="1" applyAlignment="1">
      <alignment horizontal="center" vertical="center"/>
    </xf>
    <xf numFmtId="0" fontId="21" fillId="0" borderId="90" xfId="0" applyNumberFormat="1" applyFont="1" applyBorder="1" applyAlignment="1">
      <alignment horizontal="center" vertical="center"/>
    </xf>
    <xf numFmtId="0" fontId="65" fillId="37" borderId="10" xfId="73" applyNumberFormat="1" applyFont="1" applyFill="1" applyBorder="1" applyAlignment="1">
      <alignment horizontal="left" vertical="center" wrapText="1"/>
    </xf>
    <xf numFmtId="0" fontId="65" fillId="0" borderId="10" xfId="73" applyNumberFormat="1" applyFont="1" applyFill="1" applyBorder="1" applyAlignment="1">
      <alignment horizontal="left" vertical="center" wrapText="1"/>
    </xf>
    <xf numFmtId="191" fontId="65" fillId="37" borderId="10" xfId="73" applyNumberFormat="1" applyFont="1" applyFill="1" applyBorder="1" applyAlignment="1">
      <alignment horizontal="center" vertical="center"/>
    </xf>
    <xf numFmtId="0" fontId="65" fillId="0" borderId="10" xfId="73" applyNumberFormat="1" applyFont="1" applyFill="1" applyBorder="1" applyAlignment="1">
      <alignment horizontal="center" vertical="center"/>
    </xf>
    <xf numFmtId="0" fontId="65" fillId="37" borderId="82" xfId="73" applyNumberFormat="1" applyFont="1" applyFill="1" applyBorder="1" applyAlignment="1">
      <alignment horizontal="center" vertical="center"/>
    </xf>
    <xf numFmtId="2" fontId="65" fillId="0" borderId="10" xfId="73" applyNumberFormat="1" applyFont="1" applyFill="1" applyBorder="1" applyAlignment="1">
      <alignment horizontal="center" vertical="center"/>
    </xf>
    <xf numFmtId="0" fontId="65" fillId="37" borderId="0" xfId="73" applyNumberFormat="1" applyFont="1" applyFill="1"/>
    <xf numFmtId="2" fontId="21" fillId="0" borderId="10" xfId="0" applyNumberFormat="1" applyFont="1" applyBorder="1" applyAlignment="1">
      <alignment horizontal="center" vertical="center"/>
    </xf>
    <xf numFmtId="2" fontId="21" fillId="0" borderId="13" xfId="0" applyNumberFormat="1" applyFont="1" applyBorder="1" applyAlignment="1">
      <alignment horizontal="center" vertical="center"/>
    </xf>
    <xf numFmtId="2" fontId="21" fillId="0" borderId="73" xfId="0" applyNumberFormat="1" applyFont="1" applyBorder="1" applyAlignment="1">
      <alignment horizontal="center" vertical="center"/>
    </xf>
    <xf numFmtId="2" fontId="80" fillId="0" borderId="73" xfId="0" applyNumberFormat="1" applyFont="1" applyBorder="1" applyAlignment="1">
      <alignment horizontal="center" vertical="center"/>
    </xf>
    <xf numFmtId="0" fontId="21" fillId="43" borderId="0" xfId="0" applyNumberFormat="1" applyFont="1" applyFill="1"/>
    <xf numFmtId="0" fontId="64" fillId="0" borderId="0" xfId="0" applyNumberFormat="1" applyFont="1" applyAlignment="1">
      <alignment vertical="center"/>
    </xf>
    <xf numFmtId="0" fontId="21" fillId="0" borderId="0" xfId="0" applyNumberFormat="1" applyFont="1" applyAlignment="1">
      <alignment vertical="center"/>
    </xf>
    <xf numFmtId="0" fontId="80" fillId="0" borderId="0" xfId="0" applyNumberFormat="1" applyFont="1" applyAlignment="1">
      <alignment horizontal="center" vertical="center"/>
    </xf>
    <xf numFmtId="0" fontId="21" fillId="0" borderId="19" xfId="0" applyNumberFormat="1" applyFont="1" applyBorder="1" applyAlignment="1">
      <alignment horizontal="right" vertical="center"/>
    </xf>
    <xf numFmtId="0" fontId="65" fillId="0" borderId="0" xfId="0" applyNumberFormat="1" applyFont="1" applyAlignment="1">
      <alignment vertical="center"/>
    </xf>
    <xf numFmtId="2" fontId="65" fillId="0" borderId="82" xfId="194" applyNumberFormat="1" applyFont="1" applyBorder="1" applyAlignment="1">
      <alignment horizontal="center" vertical="center"/>
    </xf>
    <xf numFmtId="2" fontId="65" fillId="0" borderId="10" xfId="194" applyNumberFormat="1" applyFont="1" applyBorder="1" applyAlignment="1">
      <alignment horizontal="center" vertical="center"/>
    </xf>
    <xf numFmtId="0" fontId="65" fillId="0" borderId="19" xfId="194" applyNumberFormat="1" applyFont="1" applyBorder="1" applyAlignment="1">
      <alignment horizontal="right" vertical="center"/>
    </xf>
    <xf numFmtId="2" fontId="64" fillId="0" borderId="82" xfId="194" applyNumberFormat="1" applyFont="1" applyBorder="1" applyAlignment="1">
      <alignment horizontal="center" vertical="center"/>
    </xf>
    <xf numFmtId="0" fontId="65" fillId="0" borderId="0" xfId="194" applyNumberFormat="1" applyFont="1" applyAlignment="1"/>
    <xf numFmtId="0" fontId="65" fillId="36" borderId="0" xfId="194" applyNumberFormat="1" applyFont="1" applyFill="1"/>
    <xf numFmtId="0" fontId="65" fillId="43" borderId="0" xfId="194" applyNumberFormat="1" applyFont="1" applyFill="1"/>
    <xf numFmtId="0" fontId="64" fillId="0" borderId="0" xfId="194" applyNumberFormat="1" applyFont="1" applyAlignment="1">
      <alignment vertical="center"/>
    </xf>
    <xf numFmtId="0" fontId="64" fillId="0" borderId="0" xfId="194" applyNumberFormat="1" applyFont="1" applyAlignment="1">
      <alignment horizontal="center" vertical="center"/>
    </xf>
    <xf numFmtId="0" fontId="80" fillId="0" borderId="0" xfId="0" applyNumberFormat="1" applyFont="1" applyAlignment="1">
      <alignment vertical="center"/>
    </xf>
    <xf numFmtId="0" fontId="76" fillId="37" borderId="0" xfId="73" applyNumberFormat="1" applyFont="1" applyFill="1" applyAlignment="1">
      <alignment vertical="center"/>
    </xf>
    <xf numFmtId="0" fontId="65" fillId="37" borderId="73" xfId="73" applyNumberFormat="1" applyFont="1" applyFill="1" applyBorder="1" applyAlignment="1">
      <alignment vertical="center"/>
    </xf>
    <xf numFmtId="0" fontId="65" fillId="37" borderId="0" xfId="73" applyNumberFormat="1" applyFont="1" applyFill="1" applyAlignment="1">
      <alignment horizontal="left" vertical="center"/>
    </xf>
    <xf numFmtId="0" fontId="76" fillId="37" borderId="73" xfId="73" applyNumberFormat="1" applyFont="1" applyFill="1" applyBorder="1" applyAlignment="1">
      <alignment vertical="center"/>
    </xf>
    <xf numFmtId="0" fontId="65" fillId="0" borderId="19" xfId="73" applyNumberFormat="1" applyFont="1" applyFill="1" applyBorder="1" applyAlignment="1">
      <alignment horizontal="left" vertical="center"/>
    </xf>
    <xf numFmtId="0" fontId="65" fillId="37" borderId="0" xfId="73" applyNumberFormat="1" applyFont="1" applyFill="1" applyAlignment="1"/>
    <xf numFmtId="0" fontId="64" fillId="37" borderId="0" xfId="73" applyNumberFormat="1" applyFont="1" applyFill="1" applyAlignment="1">
      <alignment vertical="center"/>
    </xf>
    <xf numFmtId="2" fontId="65" fillId="37" borderId="82" xfId="73" applyNumberFormat="1" applyFont="1" applyFill="1" applyBorder="1" applyAlignment="1">
      <alignment horizontal="center" vertical="center"/>
    </xf>
    <xf numFmtId="2" fontId="65" fillId="37" borderId="10" xfId="73" applyNumberFormat="1" applyFont="1" applyFill="1" applyBorder="1" applyAlignment="1">
      <alignment horizontal="center" vertical="center"/>
    </xf>
    <xf numFmtId="2" fontId="64" fillId="37" borderId="0" xfId="73" applyNumberFormat="1" applyFont="1" applyFill="1" applyAlignment="1">
      <alignment horizontal="left" vertical="center"/>
    </xf>
    <xf numFmtId="0" fontId="65" fillId="37" borderId="73" xfId="73" applyNumberFormat="1" applyFont="1" applyFill="1" applyBorder="1" applyAlignment="1">
      <alignment horizontal="right" vertical="center"/>
    </xf>
    <xf numFmtId="2" fontId="64" fillId="37" borderId="82" xfId="73" applyNumberFormat="1" applyFont="1" applyFill="1" applyBorder="1" applyAlignment="1">
      <alignment horizontal="center" vertical="center"/>
    </xf>
    <xf numFmtId="186" fontId="21" fillId="0" borderId="90" xfId="0" applyNumberFormat="1" applyFont="1" applyBorder="1" applyAlignment="1">
      <alignment horizontal="center" vertical="center"/>
    </xf>
    <xf numFmtId="186" fontId="21" fillId="0" borderId="82" xfId="0" applyNumberFormat="1" applyFont="1" applyBorder="1" applyAlignment="1">
      <alignment horizontal="center" vertical="center"/>
    </xf>
    <xf numFmtId="0" fontId="21" fillId="0" borderId="68" xfId="0" applyNumberFormat="1" applyFont="1" applyBorder="1" applyAlignment="1">
      <alignment horizontal="right" vertical="center"/>
    </xf>
    <xf numFmtId="186" fontId="80" fillId="0" borderId="82" xfId="0" applyNumberFormat="1" applyFont="1" applyBorder="1" applyAlignment="1">
      <alignment horizontal="center" vertical="center"/>
    </xf>
    <xf numFmtId="0" fontId="21" fillId="0" borderId="0" xfId="0" applyNumberFormat="1" applyFont="1"/>
    <xf numFmtId="0" fontId="64" fillId="0" borderId="0" xfId="0" applyNumberFormat="1" applyFont="1" applyAlignment="1">
      <alignment vertical="center"/>
    </xf>
    <xf numFmtId="0" fontId="21" fillId="0" borderId="10" xfId="0" applyNumberFormat="1" applyFont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/>
    </xf>
    <xf numFmtId="0" fontId="65" fillId="0" borderId="10" xfId="194" applyNumberFormat="1" applyFont="1" applyBorder="1" applyAlignment="1">
      <alignment horizontal="center" vertical="center"/>
    </xf>
    <xf numFmtId="186" fontId="65" fillId="0" borderId="82" xfId="194" applyNumberFormat="1" applyFont="1" applyBorder="1" applyAlignment="1">
      <alignment horizontal="center" vertical="center"/>
    </xf>
    <xf numFmtId="0" fontId="80" fillId="0" borderId="0" xfId="0" applyNumberFormat="1" applyFont="1" applyAlignment="1">
      <alignment horizontal="left" vertical="center"/>
    </xf>
    <xf numFmtId="0" fontId="21" fillId="0" borderId="0" xfId="0" applyNumberFormat="1" applyFont="1"/>
    <xf numFmtId="0" fontId="65" fillId="0" borderId="0" xfId="194" applyNumberFormat="1" applyFont="1"/>
    <xf numFmtId="0" fontId="65" fillId="0" borderId="10" xfId="194" applyNumberFormat="1" applyFont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/>
    </xf>
    <xf numFmtId="0" fontId="65" fillId="0" borderId="82" xfId="194" applyNumberFormat="1" applyFont="1" applyBorder="1" applyAlignment="1">
      <alignment horizontal="center" vertical="center"/>
    </xf>
    <xf numFmtId="0" fontId="64" fillId="0" borderId="82" xfId="194" applyNumberFormat="1" applyFont="1" applyBorder="1" applyAlignment="1">
      <alignment horizontal="center" vertical="center"/>
    </xf>
    <xf numFmtId="0" fontId="65" fillId="0" borderId="73" xfId="196" applyNumberFormat="1" applyFont="1" applyBorder="1" applyAlignment="1">
      <alignment horizontal="left" vertical="center"/>
    </xf>
    <xf numFmtId="0" fontId="21" fillId="0" borderId="82" xfId="0" applyNumberFormat="1" applyFont="1" applyBorder="1" applyAlignment="1">
      <alignment horizontal="center"/>
    </xf>
    <xf numFmtId="0" fontId="21" fillId="0" borderId="82" xfId="0" applyNumberFormat="1" applyFont="1" applyBorder="1" applyAlignment="1">
      <alignment horizontal="center" vertical="center"/>
    </xf>
    <xf numFmtId="0" fontId="21" fillId="0" borderId="10" xfId="0" applyNumberFormat="1" applyFont="1" applyBorder="1" applyAlignment="1">
      <alignment wrapText="1"/>
    </xf>
    <xf numFmtId="0" fontId="21" fillId="0" borderId="19" xfId="0" applyNumberFormat="1" applyFont="1" applyBorder="1" applyAlignment="1">
      <alignment horizontal="right"/>
    </xf>
    <xf numFmtId="0" fontId="65" fillId="0" borderId="19" xfId="194" applyNumberFormat="1" applyFont="1" applyBorder="1" applyAlignment="1">
      <alignment vertical="center"/>
    </xf>
    <xf numFmtId="0" fontId="21" fillId="0" borderId="19" xfId="0" applyNumberFormat="1" applyFont="1" applyBorder="1" applyAlignment="1">
      <alignment vertical="center"/>
    </xf>
    <xf numFmtId="191" fontId="21" fillId="0" borderId="10" xfId="0" applyNumberFormat="1" applyFont="1" applyBorder="1" applyAlignment="1">
      <alignment horizontal="center" vertical="center"/>
    </xf>
    <xf numFmtId="0" fontId="21" fillId="0" borderId="10" xfId="0" applyNumberFormat="1" applyFont="1" applyBorder="1" applyAlignment="1">
      <alignment vertical="center" wrapText="1"/>
    </xf>
    <xf numFmtId="0" fontId="64" fillId="0" borderId="80" xfId="0" applyNumberFormat="1" applyFont="1" applyBorder="1" applyAlignment="1">
      <alignment vertical="center" wrapText="1"/>
    </xf>
    <xf numFmtId="0" fontId="65" fillId="0" borderId="10" xfId="194" applyNumberFormat="1" applyFont="1" applyBorder="1" applyAlignment="1">
      <alignment vertical="center" wrapText="1"/>
    </xf>
    <xf numFmtId="0" fontId="64" fillId="0" borderId="0" xfId="194" applyNumberFormat="1" applyFont="1" applyAlignment="1">
      <alignment vertical="top"/>
    </xf>
    <xf numFmtId="0" fontId="65" fillId="0" borderId="0" xfId="194" applyNumberFormat="1" applyFont="1"/>
    <xf numFmtId="0" fontId="21" fillId="0" borderId="0" xfId="0" applyNumberFormat="1" applyFont="1"/>
    <xf numFmtId="0" fontId="65" fillId="0" borderId="0" xfId="194" applyNumberFormat="1" applyFont="1" applyAlignment="1">
      <alignment wrapText="1"/>
    </xf>
    <xf numFmtId="0" fontId="64" fillId="0" borderId="0" xfId="0" applyNumberFormat="1" applyFont="1" applyAlignment="1">
      <alignment vertical="center"/>
    </xf>
    <xf numFmtId="0" fontId="21" fillId="0" borderId="0" xfId="0" applyNumberFormat="1" applyFont="1" applyAlignment="1">
      <alignment vertical="center"/>
    </xf>
    <xf numFmtId="0" fontId="64" fillId="0" borderId="0" xfId="194" applyNumberFormat="1" applyFont="1" applyAlignment="1">
      <alignment vertical="center"/>
    </xf>
    <xf numFmtId="0" fontId="65" fillId="0" borderId="0" xfId="194" applyNumberFormat="1" applyFont="1" applyAlignment="1">
      <alignment vertical="center"/>
    </xf>
    <xf numFmtId="0" fontId="21" fillId="0" borderId="10" xfId="0" applyNumberFormat="1" applyFont="1" applyBorder="1" applyAlignment="1">
      <alignment horizontal="center" vertical="center"/>
    </xf>
    <xf numFmtId="0" fontId="65" fillId="0" borderId="10" xfId="194" applyNumberFormat="1" applyFont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/>
    </xf>
    <xf numFmtId="0" fontId="65" fillId="45" borderId="0" xfId="194" applyNumberFormat="1" applyFont="1" applyFill="1"/>
    <xf numFmtId="186" fontId="65" fillId="0" borderId="10" xfId="194" applyNumberFormat="1" applyFont="1" applyBorder="1" applyAlignment="1">
      <alignment horizontal="center" vertical="center"/>
    </xf>
    <xf numFmtId="0" fontId="65" fillId="0" borderId="19" xfId="194" applyNumberFormat="1" applyFont="1" applyBorder="1" applyAlignment="1">
      <alignment horizontal="left" vertical="center"/>
    </xf>
    <xf numFmtId="0" fontId="65" fillId="0" borderId="10" xfId="194" applyNumberFormat="1" applyFont="1" applyBorder="1" applyAlignment="1">
      <alignment horizontal="left" vertical="center" wrapText="1"/>
    </xf>
    <xf numFmtId="0" fontId="40" fillId="0" borderId="0" xfId="65" applyFont="1" applyAlignment="1">
      <alignment horizontal="left" vertical="center" wrapText="1"/>
    </xf>
    <xf numFmtId="0" fontId="41" fillId="0" borderId="67" xfId="65" applyFont="1" applyFill="1" applyBorder="1" applyAlignment="1">
      <alignment horizontal="left" vertical="center"/>
    </xf>
    <xf numFmtId="0" fontId="41" fillId="0" borderId="10" xfId="65" applyFont="1" applyBorder="1" applyAlignment="1">
      <alignment horizontal="center" vertical="center"/>
    </xf>
    <xf numFmtId="0" fontId="41" fillId="0" borderId="12" xfId="65" applyFont="1" applyBorder="1" applyAlignment="1">
      <alignment horizontal="center" vertical="center"/>
    </xf>
    <xf numFmtId="0" fontId="67" fillId="0" borderId="0" xfId="194" applyNumberFormat="1" applyFont="1" applyFill="1"/>
    <xf numFmtId="0" fontId="65" fillId="0" borderId="10" xfId="194" applyNumberFormat="1" applyFont="1" applyBorder="1" applyAlignment="1">
      <alignment vertical="center"/>
    </xf>
    <xf numFmtId="0" fontId="41" fillId="0" borderId="73" xfId="65" applyFont="1" applyBorder="1" applyAlignment="1">
      <alignment horizontal="left" vertical="center" wrapText="1"/>
    </xf>
    <xf numFmtId="0" fontId="64" fillId="0" borderId="0" xfId="194" applyNumberFormat="1" applyFont="1" applyAlignment="1">
      <alignment vertical="center" wrapText="1"/>
    </xf>
    <xf numFmtId="186" fontId="41" fillId="0" borderId="0" xfId="65" applyNumberFormat="1" applyFont="1" applyAlignment="1">
      <alignment horizontal="left" vertical="center"/>
    </xf>
    <xf numFmtId="186" fontId="40" fillId="0" borderId="0" xfId="65" applyNumberFormat="1" applyFont="1" applyAlignment="1">
      <alignment horizontal="left" vertical="center"/>
    </xf>
    <xf numFmtId="43" fontId="21" fillId="0" borderId="82" xfId="43" applyFont="1" applyBorder="1" applyAlignment="1">
      <alignment horizontal="center" vertical="center"/>
    </xf>
    <xf numFmtId="0" fontId="41" fillId="36" borderId="34" xfId="65" applyFont="1" applyFill="1" applyBorder="1" applyAlignment="1">
      <alignment vertical="center"/>
    </xf>
    <xf numFmtId="4" fontId="41" fillId="36" borderId="34" xfId="65" applyNumberFormat="1" applyFont="1" applyFill="1" applyBorder="1" applyAlignment="1">
      <alignment horizontal="center" vertical="center"/>
    </xf>
    <xf numFmtId="0" fontId="41" fillId="36" borderId="34" xfId="65" applyFont="1" applyFill="1" applyBorder="1" applyAlignment="1">
      <alignment horizontal="left" vertical="center"/>
    </xf>
    <xf numFmtId="0" fontId="41" fillId="36" borderId="0" xfId="65" applyFont="1" applyFill="1" applyBorder="1" applyAlignment="1">
      <alignment horizontal="left" vertical="center" wrapText="1"/>
    </xf>
    <xf numFmtId="186" fontId="40" fillId="36" borderId="0" xfId="65" applyNumberFormat="1" applyFont="1" applyFill="1" applyAlignment="1">
      <alignment horizontal="left" vertical="center"/>
    </xf>
    <xf numFmtId="0" fontId="65" fillId="0" borderId="0" xfId="194" applyNumberFormat="1" applyFont="1" applyFill="1"/>
    <xf numFmtId="0" fontId="65" fillId="0" borderId="19" xfId="194" applyNumberFormat="1" applyFont="1" applyFill="1" applyBorder="1" applyAlignment="1">
      <alignment horizontal="left" vertical="center"/>
    </xf>
    <xf numFmtId="0" fontId="65" fillId="0" borderId="10" xfId="194" applyNumberFormat="1" applyFont="1" applyFill="1" applyBorder="1" applyAlignment="1">
      <alignment vertical="center" wrapText="1"/>
    </xf>
    <xf numFmtId="0" fontId="65" fillId="0" borderId="10" xfId="194" applyNumberFormat="1" applyFont="1" applyFill="1" applyBorder="1" applyAlignment="1">
      <alignment horizontal="center" vertical="center"/>
    </xf>
    <xf numFmtId="186" fontId="65" fillId="0" borderId="10" xfId="194" applyNumberFormat="1" applyFont="1" applyFill="1" applyBorder="1" applyAlignment="1">
      <alignment horizontal="center" vertical="center"/>
    </xf>
    <xf numFmtId="186" fontId="65" fillId="0" borderId="82" xfId="194" applyNumberFormat="1" applyFont="1" applyFill="1" applyBorder="1" applyAlignment="1">
      <alignment horizontal="center" vertical="center"/>
    </xf>
    <xf numFmtId="0" fontId="64" fillId="0" borderId="0" xfId="194" applyNumberFormat="1" applyFont="1" applyFill="1" applyAlignment="1"/>
    <xf numFmtId="0" fontId="65" fillId="0" borderId="0" xfId="194" applyNumberFormat="1" applyFont="1" applyFill="1" applyAlignment="1"/>
    <xf numFmtId="0" fontId="65" fillId="0" borderId="73" xfId="194" applyNumberFormat="1" applyFont="1" applyFill="1" applyBorder="1" applyAlignment="1">
      <alignment horizontal="right" vertical="center"/>
    </xf>
    <xf numFmtId="0" fontId="65" fillId="0" borderId="0" xfId="194" applyNumberFormat="1" applyFont="1" applyFill="1" applyAlignment="1">
      <alignment horizontal="left"/>
    </xf>
    <xf numFmtId="2" fontId="65" fillId="0" borderId="0" xfId="194" applyNumberFormat="1" applyFont="1" applyFill="1" applyAlignment="1">
      <alignment horizontal="left"/>
    </xf>
    <xf numFmtId="2" fontId="64" fillId="0" borderId="0" xfId="194" applyNumberFormat="1" applyFont="1" applyFill="1" applyAlignment="1">
      <alignment horizontal="left"/>
    </xf>
    <xf numFmtId="191" fontId="65" fillId="0" borderId="10" xfId="194" applyNumberFormat="1" applyFont="1" applyFill="1" applyBorder="1" applyAlignment="1">
      <alignment horizontal="center" vertical="center"/>
    </xf>
    <xf numFmtId="0" fontId="64" fillId="0" borderId="0" xfId="194" applyNumberFormat="1" applyFont="1" applyFill="1" applyAlignment="1">
      <alignment horizontal="left" vertical="center"/>
    </xf>
    <xf numFmtId="0" fontId="65" fillId="0" borderId="73" xfId="194" applyNumberFormat="1" applyFont="1" applyFill="1" applyBorder="1" applyAlignment="1">
      <alignment horizontal="left" vertical="center"/>
    </xf>
    <xf numFmtId="2" fontId="65" fillId="0" borderId="0" xfId="194" applyNumberFormat="1" applyFont="1" applyFill="1" applyAlignment="1">
      <alignment horizontal="left" vertical="center"/>
    </xf>
    <xf numFmtId="2" fontId="64" fillId="0" borderId="0" xfId="194" applyNumberFormat="1" applyFont="1" applyFill="1" applyAlignment="1">
      <alignment horizontal="left" vertical="center"/>
    </xf>
    <xf numFmtId="0" fontId="64" fillId="0" borderId="80" xfId="194" applyNumberFormat="1" applyFont="1" applyFill="1" applyBorder="1" applyAlignment="1">
      <alignment vertical="center" wrapText="1"/>
    </xf>
    <xf numFmtId="0" fontId="65" fillId="0" borderId="0" xfId="194" applyNumberFormat="1" applyFont="1" applyFill="1" applyAlignment="1">
      <alignment horizontal="left" vertical="center"/>
    </xf>
    <xf numFmtId="0" fontId="41" fillId="0" borderId="85" xfId="65" applyFont="1" applyBorder="1" applyAlignment="1">
      <alignment horizontal="left" vertical="center"/>
    </xf>
    <xf numFmtId="0" fontId="65" fillId="0" borderId="85" xfId="194" applyNumberFormat="1" applyFont="1" applyFill="1" applyBorder="1" applyAlignment="1"/>
    <xf numFmtId="0" fontId="65" fillId="0" borderId="0" xfId="194" applyNumberFormat="1" applyFont="1" applyFill="1" applyBorder="1"/>
    <xf numFmtId="0" fontId="41" fillId="0" borderId="12" xfId="65" applyFont="1" applyBorder="1" applyAlignment="1">
      <alignment horizontal="left" vertical="center" wrapText="1"/>
    </xf>
    <xf numFmtId="0" fontId="41" fillId="0" borderId="12" xfId="65" applyFont="1" applyBorder="1" applyAlignment="1">
      <alignment horizontal="center" vertical="center"/>
    </xf>
    <xf numFmtId="0" fontId="41" fillId="0" borderId="67" xfId="65" applyFont="1" applyBorder="1" applyAlignment="1">
      <alignment horizontal="left" vertical="center"/>
    </xf>
    <xf numFmtId="2" fontId="41" fillId="0" borderId="12" xfId="65" applyNumberFormat="1" applyFont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/>
    </xf>
    <xf numFmtId="184" fontId="41" fillId="0" borderId="12" xfId="65" applyNumberFormat="1" applyFont="1" applyBorder="1" applyAlignment="1">
      <alignment horizontal="center" vertical="center"/>
    </xf>
    <xf numFmtId="0" fontId="41" fillId="0" borderId="67" xfId="65" applyFont="1" applyFill="1" applyBorder="1" applyAlignment="1">
      <alignment horizontal="left" vertical="center"/>
    </xf>
    <xf numFmtId="0" fontId="41" fillId="0" borderId="68" xfId="65" applyFont="1" applyFill="1" applyBorder="1" applyAlignment="1">
      <alignment horizontal="left" vertical="center"/>
    </xf>
    <xf numFmtId="0" fontId="65" fillId="0" borderId="0" xfId="194" applyNumberFormat="1" applyFont="1"/>
    <xf numFmtId="0" fontId="65" fillId="0" borderId="0" xfId="196" applyNumberFormat="1" applyFont="1"/>
    <xf numFmtId="0" fontId="21" fillId="0" borderId="0" xfId="0" applyNumberFormat="1" applyFont="1"/>
    <xf numFmtId="0" fontId="64" fillId="0" borderId="0" xfId="194" applyNumberFormat="1" applyFont="1" applyAlignment="1">
      <alignment vertical="center"/>
    </xf>
    <xf numFmtId="0" fontId="21" fillId="0" borderId="10" xfId="0" applyNumberFormat="1" applyFont="1" applyBorder="1" applyAlignment="1">
      <alignment horizontal="center" vertical="center"/>
    </xf>
    <xf numFmtId="0" fontId="65" fillId="0" borderId="10" xfId="194" applyNumberFormat="1" applyFont="1" applyBorder="1" applyAlignment="1">
      <alignment horizontal="center" vertical="center"/>
    </xf>
    <xf numFmtId="184" fontId="41" fillId="0" borderId="12" xfId="65" applyNumberFormat="1" applyFont="1" applyFill="1" applyBorder="1" applyAlignment="1">
      <alignment horizontal="center" vertical="center"/>
    </xf>
    <xf numFmtId="4" fontId="41" fillId="0" borderId="12" xfId="65" applyNumberFormat="1" applyFont="1" applyBorder="1" applyAlignment="1">
      <alignment horizontal="center" vertical="center"/>
    </xf>
    <xf numFmtId="184" fontId="41" fillId="0" borderId="12" xfId="65" applyNumberFormat="1" applyFont="1" applyBorder="1" applyAlignment="1">
      <alignment horizontal="center" vertical="center" wrapText="1"/>
    </xf>
    <xf numFmtId="164" fontId="33" fillId="0" borderId="10" xfId="142" applyFont="1" applyFill="1" applyBorder="1" applyAlignment="1">
      <alignment horizontal="right" vertical="center"/>
    </xf>
    <xf numFmtId="4" fontId="71" fillId="0" borderId="13" xfId="43" applyNumberFormat="1" applyFont="1" applyFill="1" applyBorder="1" applyAlignment="1">
      <alignment horizontal="right" vertical="center"/>
    </xf>
    <xf numFmtId="43" fontId="71" fillId="0" borderId="13" xfId="43" applyFont="1" applyFill="1" applyBorder="1" applyAlignment="1">
      <alignment horizontal="right" vertical="center"/>
    </xf>
    <xf numFmtId="0" fontId="64" fillId="0" borderId="0" xfId="194" applyNumberFormat="1" applyFont="1" applyAlignment="1">
      <alignment horizontal="left" vertical="center"/>
    </xf>
    <xf numFmtId="0" fontId="64" fillId="0" borderId="80" xfId="194" applyNumberFormat="1" applyFont="1" applyBorder="1" applyAlignment="1">
      <alignment vertical="center" wrapText="1"/>
    </xf>
    <xf numFmtId="0" fontId="64" fillId="37" borderId="0" xfId="0" applyNumberFormat="1" applyFont="1" applyFill="1" applyAlignment="1"/>
    <xf numFmtId="0" fontId="76" fillId="0" borderId="0" xfId="73" applyNumberFormat="1" applyFont="1" applyAlignment="1"/>
    <xf numFmtId="0" fontId="65" fillId="0" borderId="0" xfId="73" applyNumberFormat="1" applyFont="1" applyAlignment="1"/>
    <xf numFmtId="0" fontId="41" fillId="0" borderId="19" xfId="65" applyFont="1" applyBorder="1" applyAlignment="1">
      <alignment horizontal="left" vertical="center"/>
    </xf>
    <xf numFmtId="0" fontId="41" fillId="0" borderId="10" xfId="65" applyFont="1" applyBorder="1" applyAlignment="1">
      <alignment horizontal="left" vertical="center" wrapText="1"/>
    </xf>
    <xf numFmtId="184" fontId="41" fillId="0" borderId="10" xfId="65" applyNumberFormat="1" applyFont="1" applyBorder="1" applyAlignment="1">
      <alignment horizontal="center" vertical="center"/>
    </xf>
    <xf numFmtId="0" fontId="40" fillId="0" borderId="0" xfId="65" applyFont="1" applyAlignment="1">
      <alignment vertical="top" wrapText="1"/>
    </xf>
    <xf numFmtId="0" fontId="41" fillId="0" borderId="19" xfId="65" applyFont="1" applyFill="1" applyBorder="1" applyAlignment="1">
      <alignment horizontal="left" vertical="center"/>
    </xf>
    <xf numFmtId="194" fontId="41" fillId="0" borderId="10" xfId="65" applyNumberFormat="1" applyFont="1" applyBorder="1" applyAlignment="1">
      <alignment horizontal="center" vertical="center"/>
    </xf>
    <xf numFmtId="0" fontId="41" fillId="0" borderId="10" xfId="65" applyFont="1" applyFill="1" applyBorder="1" applyAlignment="1">
      <alignment vertical="center" wrapText="1"/>
    </xf>
    <xf numFmtId="0" fontId="21" fillId="0" borderId="10" xfId="0" applyNumberFormat="1" applyFont="1" applyBorder="1" applyAlignment="1">
      <alignment horizontal="center" vertical="center"/>
    </xf>
    <xf numFmtId="0" fontId="21" fillId="0" borderId="0" xfId="0" applyNumberFormat="1" applyFont="1"/>
    <xf numFmtId="0" fontId="21" fillId="0" borderId="19" xfId="0" applyNumberFormat="1" applyFont="1" applyBorder="1" applyAlignment="1">
      <alignment horizontal="left" vertical="center"/>
    </xf>
    <xf numFmtId="0" fontId="41" fillId="0" borderId="10" xfId="65" applyFont="1" applyBorder="1" applyAlignment="1">
      <alignment vertical="center"/>
    </xf>
    <xf numFmtId="0" fontId="40" fillId="0" borderId="0" xfId="65" applyFont="1" applyAlignment="1">
      <alignment horizontal="left" vertical="top" wrapText="1"/>
    </xf>
    <xf numFmtId="4" fontId="40" fillId="0" borderId="0" xfId="65" applyNumberFormat="1" applyFont="1" applyAlignment="1">
      <alignment horizontal="center" vertical="top"/>
    </xf>
    <xf numFmtId="4" fontId="40" fillId="0" borderId="0" xfId="65" applyNumberFormat="1" applyFont="1" applyAlignment="1">
      <alignment horizontal="left" vertical="top"/>
    </xf>
    <xf numFmtId="43" fontId="70" fillId="36" borderId="85" xfId="43" applyFont="1" applyFill="1" applyBorder="1" applyAlignment="1">
      <alignment vertical="center" wrapText="1"/>
    </xf>
    <xf numFmtId="2" fontId="41" fillId="0" borderId="10" xfId="65" applyNumberFormat="1" applyFont="1" applyBorder="1" applyAlignment="1">
      <alignment horizontal="left" vertical="center" wrapText="1"/>
    </xf>
    <xf numFmtId="2" fontId="41" fillId="0" borderId="10" xfId="65" applyNumberFormat="1" applyFont="1" applyBorder="1" applyAlignment="1">
      <alignment horizontal="left" vertical="center"/>
    </xf>
    <xf numFmtId="0" fontId="41" fillId="0" borderId="12" xfId="65" applyFont="1" applyBorder="1" applyAlignment="1">
      <alignment horizontal="left" vertical="center"/>
    </xf>
    <xf numFmtId="2" fontId="41" fillId="0" borderId="10" xfId="65" applyNumberFormat="1" applyFont="1" applyFill="1" applyBorder="1" applyAlignment="1">
      <alignment horizontal="center" vertical="center" wrapText="1"/>
    </xf>
    <xf numFmtId="0" fontId="65" fillId="0" borderId="73" xfId="196" applyNumberFormat="1" applyFont="1" applyBorder="1" applyAlignment="1">
      <alignment horizontal="right" vertical="center"/>
    </xf>
    <xf numFmtId="0" fontId="65" fillId="0" borderId="10" xfId="196" applyNumberFormat="1" applyFont="1" applyBorder="1" applyAlignment="1">
      <alignment horizontal="left" wrapText="1"/>
    </xf>
    <xf numFmtId="186" fontId="65" fillId="0" borderId="10" xfId="196" applyNumberFormat="1" applyFont="1" applyBorder="1" applyAlignment="1">
      <alignment horizontal="center" vertical="center"/>
    </xf>
    <xf numFmtId="186" fontId="65" fillId="0" borderId="82" xfId="196" applyNumberFormat="1" applyFont="1" applyBorder="1" applyAlignment="1">
      <alignment horizontal="center" vertical="center"/>
    </xf>
    <xf numFmtId="0" fontId="64" fillId="0" borderId="82" xfId="196" applyNumberFormat="1" applyFont="1" applyBorder="1" applyAlignment="1">
      <alignment horizontal="center" vertical="center"/>
    </xf>
    <xf numFmtId="0" fontId="64" fillId="0" borderId="0" xfId="196" applyNumberFormat="1" applyFont="1" applyAlignment="1">
      <alignment horizontal="left" vertical="center"/>
    </xf>
    <xf numFmtId="0" fontId="65" fillId="43" borderId="0" xfId="196" applyNumberFormat="1" applyFont="1" applyFill="1"/>
    <xf numFmtId="0" fontId="64" fillId="0" borderId="80" xfId="196" applyNumberFormat="1" applyFont="1" applyBorder="1" applyAlignment="1">
      <alignment vertical="center" wrapText="1"/>
    </xf>
    <xf numFmtId="2" fontId="64" fillId="0" borderId="82" xfId="196" applyNumberFormat="1" applyFont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/>
    </xf>
    <xf numFmtId="184" fontId="41" fillId="0" borderId="12" xfId="65" applyNumberFormat="1" applyFont="1" applyBorder="1" applyAlignment="1">
      <alignment horizontal="center" vertical="center"/>
    </xf>
    <xf numFmtId="0" fontId="41" fillId="0" borderId="19" xfId="65" applyFont="1" applyFill="1" applyBorder="1" applyAlignment="1">
      <alignment horizontal="left" vertical="center"/>
    </xf>
    <xf numFmtId="0" fontId="41" fillId="0" borderId="12" xfId="65" applyFont="1" applyBorder="1" applyAlignment="1">
      <alignment horizontal="center" vertical="center"/>
    </xf>
    <xf numFmtId="0" fontId="21" fillId="0" borderId="12" xfId="0" applyNumberFormat="1" applyFont="1" applyBorder="1" applyAlignment="1">
      <alignment horizontal="center" vertical="center"/>
    </xf>
    <xf numFmtId="191" fontId="21" fillId="0" borderId="12" xfId="0" applyNumberFormat="1" applyFont="1" applyBorder="1" applyAlignment="1">
      <alignment horizontal="center" vertical="center"/>
    </xf>
    <xf numFmtId="0" fontId="21" fillId="0" borderId="67" xfId="0" applyNumberFormat="1" applyFont="1" applyBorder="1" applyAlignment="1">
      <alignment horizontal="left" vertical="center"/>
    </xf>
    <xf numFmtId="0" fontId="21" fillId="0" borderId="10" xfId="0" applyNumberFormat="1" applyFont="1" applyBorder="1" applyAlignment="1">
      <alignment horizontal="center" vertical="center"/>
    </xf>
    <xf numFmtId="0" fontId="21" fillId="0" borderId="0" xfId="0" applyNumberFormat="1" applyFont="1"/>
    <xf numFmtId="0" fontId="41" fillId="0" borderId="67" xfId="65" applyFont="1" applyBorder="1" applyAlignment="1">
      <alignment horizontal="left" vertical="center"/>
    </xf>
    <xf numFmtId="0" fontId="41" fillId="0" borderId="12" xfId="65" applyFont="1" applyBorder="1" applyAlignment="1">
      <alignment horizontal="left" vertical="center" wrapText="1"/>
    </xf>
    <xf numFmtId="2" fontId="41" fillId="0" borderId="12" xfId="65" applyNumberFormat="1" applyFont="1" applyBorder="1" applyAlignment="1">
      <alignment horizontal="center" vertical="center"/>
    </xf>
    <xf numFmtId="0" fontId="41" fillId="0" borderId="19" xfId="65" applyFont="1" applyBorder="1" applyAlignment="1">
      <alignment horizontal="left" vertical="center"/>
    </xf>
    <xf numFmtId="0" fontId="41" fillId="0" borderId="10" xfId="65" applyFont="1" applyBorder="1" applyAlignment="1">
      <alignment horizontal="left" vertical="center" wrapText="1"/>
    </xf>
    <xf numFmtId="184" fontId="41" fillId="0" borderId="10" xfId="65" applyNumberFormat="1" applyFont="1" applyBorder="1" applyAlignment="1">
      <alignment horizontal="center" vertical="center"/>
    </xf>
    <xf numFmtId="0" fontId="40" fillId="0" borderId="0" xfId="65" applyFont="1" applyAlignment="1">
      <alignment horizontal="left" vertical="center" wrapText="1"/>
    </xf>
    <xf numFmtId="4" fontId="41" fillId="0" borderId="12" xfId="65" applyNumberFormat="1" applyFont="1" applyBorder="1" applyAlignment="1">
      <alignment horizontal="center" vertical="center"/>
    </xf>
    <xf numFmtId="189" fontId="41" fillId="0" borderId="12" xfId="65" applyNumberFormat="1" applyFont="1" applyBorder="1" applyAlignment="1">
      <alignment horizontal="center" vertical="center"/>
    </xf>
    <xf numFmtId="184" fontId="41" fillId="0" borderId="12" xfId="65" applyNumberFormat="1" applyFont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 vertical="center"/>
    </xf>
    <xf numFmtId="2" fontId="80" fillId="0" borderId="82" xfId="0" applyNumberFormat="1" applyFont="1" applyBorder="1" applyAlignment="1">
      <alignment horizontal="center" vertical="center"/>
    </xf>
    <xf numFmtId="0" fontId="64" fillId="37" borderId="0" xfId="0" applyNumberFormat="1" applyFont="1" applyFill="1" applyBorder="1" applyAlignment="1">
      <alignment vertical="center" wrapText="1"/>
    </xf>
    <xf numFmtId="0" fontId="64" fillId="37" borderId="80" xfId="0" applyNumberFormat="1" applyFont="1" applyFill="1" applyBorder="1" applyAlignment="1">
      <alignment vertical="center" wrapText="1"/>
    </xf>
    <xf numFmtId="0" fontId="81" fillId="0" borderId="0" xfId="73" applyNumberFormat="1" applyFont="1" applyAlignment="1"/>
    <xf numFmtId="0" fontId="64" fillId="37" borderId="80" xfId="73" applyNumberFormat="1" applyFont="1" applyFill="1" applyBorder="1" applyAlignment="1">
      <alignment vertical="center" wrapText="1"/>
    </xf>
    <xf numFmtId="0" fontId="64" fillId="0" borderId="0" xfId="194" applyNumberFormat="1" applyFont="1" applyFill="1" applyAlignment="1">
      <alignment vertical="center" wrapText="1"/>
    </xf>
    <xf numFmtId="0" fontId="21" fillId="42" borderId="10" xfId="0" applyNumberFormat="1" applyFont="1" applyFill="1" applyBorder="1" applyAlignment="1">
      <alignment horizontal="center" vertical="center"/>
    </xf>
    <xf numFmtId="2" fontId="41" fillId="0" borderId="12" xfId="65" applyNumberFormat="1" applyFont="1" applyFill="1" applyBorder="1" applyAlignment="1">
      <alignment horizontal="center" vertical="center"/>
    </xf>
    <xf numFmtId="43" fontId="78" fillId="0" borderId="0" xfId="43" applyFont="1" applyFill="1" applyBorder="1" applyAlignment="1">
      <alignment vertical="center" wrapText="1"/>
    </xf>
    <xf numFmtId="0" fontId="70" fillId="0" borderId="78" xfId="0" applyFont="1" applyFill="1" applyBorder="1" applyAlignment="1">
      <alignment horizontal="right" vertical="center"/>
    </xf>
    <xf numFmtId="4" fontId="71" fillId="36" borderId="91" xfId="0" applyNumberFormat="1" applyFont="1" applyFill="1" applyBorder="1" applyAlignment="1">
      <alignment horizontal="center" vertical="center"/>
    </xf>
    <xf numFmtId="4" fontId="71" fillId="0" borderId="39" xfId="43" applyNumberFormat="1" applyFont="1" applyFill="1" applyBorder="1" applyAlignment="1">
      <alignment horizontal="right" vertical="center"/>
    </xf>
    <xf numFmtId="4" fontId="71" fillId="0" borderId="10" xfId="0" applyNumberFormat="1" applyFont="1" applyFill="1" applyBorder="1" applyAlignment="1">
      <alignment horizontal="right" vertical="center"/>
    </xf>
    <xf numFmtId="4" fontId="71" fillId="36" borderId="73" xfId="43" applyNumberFormat="1" applyFont="1" applyFill="1" applyBorder="1" applyAlignment="1">
      <alignment horizontal="right" vertical="center"/>
    </xf>
    <xf numFmtId="4" fontId="71" fillId="0" borderId="73" xfId="0" applyNumberFormat="1" applyFont="1" applyFill="1" applyBorder="1" applyAlignment="1">
      <alignment horizontal="right" vertical="center"/>
    </xf>
    <xf numFmtId="4" fontId="71" fillId="0" borderId="85" xfId="0" applyNumberFormat="1" applyFont="1" applyFill="1" applyBorder="1" applyAlignment="1">
      <alignment horizontal="right" vertical="center"/>
    </xf>
    <xf numFmtId="4" fontId="71" fillId="0" borderId="12" xfId="43" applyNumberFormat="1" applyFont="1" applyFill="1" applyBorder="1" applyAlignment="1">
      <alignment horizontal="right" vertical="center"/>
    </xf>
    <xf numFmtId="172" fontId="41" fillId="0" borderId="11" xfId="151" applyNumberFormat="1" applyFont="1" applyFill="1" applyBorder="1" applyAlignment="1">
      <alignment horizontal="center" vertical="center"/>
    </xf>
    <xf numFmtId="172" fontId="41" fillId="0" borderId="16" xfId="151" applyNumberFormat="1" applyFont="1" applyFill="1" applyBorder="1" applyAlignment="1">
      <alignment horizontal="center" vertical="center"/>
    </xf>
    <xf numFmtId="172" fontId="41" fillId="0" borderId="46" xfId="151" applyNumberFormat="1" applyFont="1" applyFill="1" applyBorder="1" applyAlignment="1">
      <alignment horizontal="center" vertical="center"/>
    </xf>
    <xf numFmtId="172" fontId="57" fillId="0" borderId="16" xfId="151" applyNumberFormat="1" applyFont="1" applyFill="1" applyBorder="1" applyAlignment="1">
      <alignment horizontal="centerContinuous" vertical="center"/>
    </xf>
    <xf numFmtId="172" fontId="57" fillId="0" borderId="17" xfId="151" applyNumberFormat="1" applyFont="1" applyFill="1" applyBorder="1" applyAlignment="1">
      <alignment horizontal="centerContinuous" vertical="center"/>
    </xf>
    <xf numFmtId="172" fontId="57" fillId="0" borderId="55" xfId="151" applyNumberFormat="1" applyFont="1" applyFill="1" applyBorder="1" applyAlignment="1">
      <alignment horizontal="centerContinuous" vertical="center"/>
    </xf>
    <xf numFmtId="0" fontId="57" fillId="0" borderId="41" xfId="151" applyFont="1" applyFill="1" applyBorder="1" applyAlignment="1">
      <alignment horizontal="centerContinuous" vertical="center"/>
    </xf>
    <xf numFmtId="0" fontId="57" fillId="0" borderId="42" xfId="151" applyFont="1" applyFill="1" applyBorder="1" applyAlignment="1">
      <alignment horizontal="centerContinuous" vertical="center"/>
    </xf>
    <xf numFmtId="172" fontId="57" fillId="0" borderId="41" xfId="151" applyNumberFormat="1" applyFont="1" applyFill="1" applyBorder="1" applyAlignment="1">
      <alignment horizontal="centerContinuous" vertical="center"/>
    </xf>
    <xf numFmtId="172" fontId="57" fillId="0" borderId="42" xfId="151" applyNumberFormat="1" applyFont="1" applyFill="1" applyBorder="1" applyAlignment="1">
      <alignment horizontal="centerContinuous" vertical="center"/>
    </xf>
    <xf numFmtId="0" fontId="21" fillId="0" borderId="12" xfId="0" applyNumberFormat="1" applyFont="1" applyBorder="1" applyAlignment="1">
      <alignment vertical="center" wrapText="1"/>
    </xf>
    <xf numFmtId="4" fontId="71" fillId="0" borderId="10" xfId="43" applyNumberFormat="1" applyFont="1" applyFill="1" applyBorder="1" applyAlignment="1">
      <alignment horizontal="center" vertical="center"/>
    </xf>
    <xf numFmtId="4" fontId="71" fillId="0" borderId="12" xfId="4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18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8" fillId="0" borderId="0" xfId="0" applyFont="1"/>
    <xf numFmtId="2" fontId="18" fillId="0" borderId="15" xfId="0" applyNumberFormat="1" applyFont="1" applyBorder="1" applyAlignment="1">
      <alignment horizontal="center"/>
    </xf>
    <xf numFmtId="0" fontId="70" fillId="0" borderId="13" xfId="0" applyFont="1" applyFill="1" applyBorder="1" applyAlignment="1">
      <alignment vertical="center"/>
    </xf>
    <xf numFmtId="0" fontId="21" fillId="0" borderId="0" xfId="0" applyFont="1"/>
    <xf numFmtId="0" fontId="18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18" fillId="0" borderId="15" xfId="0" applyFont="1" applyBorder="1" applyAlignment="1">
      <alignment horizontal="center"/>
    </xf>
    <xf numFmtId="0" fontId="41" fillId="0" borderId="13" xfId="65" applyFont="1" applyBorder="1" applyAlignment="1">
      <alignment horizontal="left" vertical="center" wrapText="1"/>
    </xf>
    <xf numFmtId="0" fontId="41" fillId="0" borderId="10" xfId="65" applyFont="1" applyBorder="1" applyAlignment="1">
      <alignment horizontal="center" vertical="center"/>
    </xf>
    <xf numFmtId="184" fontId="41" fillId="0" borderId="13" xfId="65" applyNumberFormat="1" applyFont="1" applyBorder="1" applyAlignment="1">
      <alignment horizontal="center" vertical="center"/>
    </xf>
    <xf numFmtId="0" fontId="41" fillId="0" borderId="13" xfId="65" applyFont="1" applyBorder="1" applyAlignment="1">
      <alignment horizontal="center" vertical="center" wrapText="1"/>
    </xf>
    <xf numFmtId="0" fontId="41" fillId="0" borderId="19" xfId="65" applyFont="1" applyBorder="1" applyAlignment="1">
      <alignment horizontal="left" vertical="center"/>
    </xf>
    <xf numFmtId="0" fontId="41" fillId="0" borderId="10" xfId="65" applyFont="1" applyBorder="1" applyAlignment="1">
      <alignment horizontal="left" vertical="center" wrapText="1"/>
    </xf>
    <xf numFmtId="0" fontId="41" fillId="0" borderId="68" xfId="65" applyFont="1" applyBorder="1" applyAlignment="1">
      <alignment horizontal="left" vertical="center" wrapText="1"/>
    </xf>
    <xf numFmtId="0" fontId="41" fillId="0" borderId="19" xfId="65" applyFont="1" applyFill="1" applyBorder="1" applyAlignment="1">
      <alignment horizontal="left" vertical="center"/>
    </xf>
    <xf numFmtId="184" fontId="41" fillId="0" borderId="13" xfId="65" applyNumberFormat="1" applyFont="1" applyBorder="1" applyAlignment="1">
      <alignment horizontal="center" vertical="center" wrapText="1"/>
    </xf>
    <xf numFmtId="4" fontId="41" fillId="0" borderId="13" xfId="65" applyNumberFormat="1" applyFont="1" applyBorder="1" applyAlignment="1">
      <alignment horizontal="center" vertical="center"/>
    </xf>
    <xf numFmtId="0" fontId="40" fillId="0" borderId="0" xfId="65" applyFont="1" applyAlignment="1">
      <alignment horizontal="left" vertical="center" wrapText="1"/>
    </xf>
    <xf numFmtId="191" fontId="41" fillId="0" borderId="13" xfId="65" applyNumberFormat="1" applyFont="1" applyBorder="1" applyAlignment="1">
      <alignment horizontal="center" vertical="center" wrapText="1"/>
    </xf>
    <xf numFmtId="4" fontId="70" fillId="0" borderId="13" xfId="0" applyNumberFormat="1" applyFont="1" applyFill="1" applyBorder="1" applyAlignment="1">
      <alignment horizontal="right" vertical="center"/>
    </xf>
    <xf numFmtId="4" fontId="70" fillId="0" borderId="17" xfId="0" applyNumberFormat="1" applyFont="1" applyFill="1" applyBorder="1" applyAlignment="1">
      <alignment horizontal="center" vertical="center"/>
    </xf>
    <xf numFmtId="4" fontId="70" fillId="0" borderId="0" xfId="0" applyNumberFormat="1" applyFont="1" applyFill="1" applyBorder="1" applyAlignment="1">
      <alignment horizontal="center" vertical="center"/>
    </xf>
    <xf numFmtId="4" fontId="70" fillId="36" borderId="73" xfId="43" applyNumberFormat="1" applyFont="1" applyFill="1" applyBorder="1" applyAlignment="1">
      <alignment horizontal="center" vertical="top"/>
    </xf>
    <xf numFmtId="4" fontId="70" fillId="0" borderId="73" xfId="43" applyNumberFormat="1" applyFont="1" applyFill="1" applyBorder="1" applyAlignment="1">
      <alignment horizontal="center" vertical="top"/>
    </xf>
    <xf numFmtId="4" fontId="71" fillId="0" borderId="73" xfId="43" applyNumberFormat="1" applyFont="1" applyBorder="1" applyAlignment="1">
      <alignment horizontal="center" vertical="center"/>
    </xf>
    <xf numFmtId="4" fontId="71" fillId="0" borderId="10" xfId="43" applyNumberFormat="1" applyFont="1" applyBorder="1" applyAlignment="1">
      <alignment horizontal="center" vertical="center"/>
    </xf>
    <xf numFmtId="4" fontId="70" fillId="36" borderId="73" xfId="43" applyNumberFormat="1" applyFont="1" applyFill="1" applyBorder="1" applyAlignment="1">
      <alignment horizontal="center" vertical="center"/>
    </xf>
    <xf numFmtId="4" fontId="70" fillId="0" borderId="80" xfId="43" applyNumberFormat="1" applyFont="1" applyFill="1" applyBorder="1" applyAlignment="1">
      <alignment horizontal="center" vertical="center"/>
    </xf>
    <xf numFmtId="4" fontId="71" fillId="0" borderId="73" xfId="43" applyNumberFormat="1" applyFont="1" applyFill="1" applyBorder="1" applyAlignment="1">
      <alignment horizontal="center" vertical="center"/>
    </xf>
    <xf numFmtId="4" fontId="71" fillId="0" borderId="13" xfId="43" applyNumberFormat="1" applyFont="1" applyFill="1" applyBorder="1" applyAlignment="1">
      <alignment horizontal="center" vertical="center"/>
    </xf>
    <xf numFmtId="4" fontId="70" fillId="0" borderId="0" xfId="43" applyNumberFormat="1" applyFont="1" applyFill="1" applyBorder="1" applyAlignment="1">
      <alignment horizontal="center" vertical="center"/>
    </xf>
    <xf numFmtId="4" fontId="70" fillId="0" borderId="10" xfId="43" applyNumberFormat="1" applyFont="1" applyFill="1" applyBorder="1" applyAlignment="1">
      <alignment horizontal="center" vertical="center"/>
    </xf>
    <xf numFmtId="4" fontId="70" fillId="0" borderId="73" xfId="43" applyNumberFormat="1" applyFont="1" applyFill="1" applyBorder="1" applyAlignment="1">
      <alignment horizontal="center" vertical="center"/>
    </xf>
    <xf numFmtId="4" fontId="70" fillId="0" borderId="73" xfId="0" applyNumberFormat="1" applyFont="1" applyFill="1" applyBorder="1" applyAlignment="1">
      <alignment horizontal="center" vertical="center"/>
    </xf>
    <xf numFmtId="4" fontId="70" fillId="0" borderId="10" xfId="0" applyNumberFormat="1" applyFont="1" applyFill="1" applyBorder="1" applyAlignment="1">
      <alignment horizontal="center" vertical="center"/>
    </xf>
    <xf numFmtId="4" fontId="70" fillId="0" borderId="85" xfId="0" applyNumberFormat="1" applyFont="1" applyFill="1" applyBorder="1" applyAlignment="1">
      <alignment horizontal="center" vertical="center"/>
    </xf>
    <xf numFmtId="4" fontId="71" fillId="37" borderId="10" xfId="43" applyNumberFormat="1" applyFont="1" applyFill="1" applyBorder="1" applyAlignment="1">
      <alignment horizontal="center" vertical="center"/>
    </xf>
    <xf numFmtId="4" fontId="71" fillId="37" borderId="13" xfId="43" applyNumberFormat="1" applyFont="1" applyFill="1" applyBorder="1" applyAlignment="1">
      <alignment horizontal="center" vertical="center"/>
    </xf>
    <xf numFmtId="4" fontId="71" fillId="0" borderId="12" xfId="43" applyNumberFormat="1" applyFont="1" applyBorder="1" applyAlignment="1">
      <alignment horizontal="center" vertical="center"/>
    </xf>
    <xf numFmtId="4" fontId="71" fillId="0" borderId="13" xfId="43" applyNumberFormat="1" applyFont="1" applyBorder="1" applyAlignment="1">
      <alignment horizontal="center" vertical="center"/>
    </xf>
    <xf numFmtId="4" fontId="71" fillId="0" borderId="80" xfId="43" applyNumberFormat="1" applyFont="1" applyBorder="1" applyAlignment="1">
      <alignment horizontal="center" vertical="center"/>
    </xf>
    <xf numFmtId="4" fontId="70" fillId="37" borderId="80" xfId="43" applyNumberFormat="1" applyFont="1" applyFill="1" applyBorder="1" applyAlignment="1">
      <alignment horizontal="center" vertical="center"/>
    </xf>
    <xf numFmtId="4" fontId="70" fillId="0" borderId="39" xfId="43" applyNumberFormat="1" applyFont="1" applyFill="1" applyBorder="1" applyAlignment="1">
      <alignment horizontal="center" vertical="center"/>
    </xf>
    <xf numFmtId="4" fontId="70" fillId="0" borderId="88" xfId="0" applyNumberFormat="1" applyFont="1" applyFill="1" applyBorder="1" applyAlignment="1">
      <alignment horizontal="center" vertical="center"/>
    </xf>
    <xf numFmtId="4" fontId="71" fillId="0" borderId="34" xfId="0" applyNumberFormat="1" applyFont="1" applyBorder="1" applyAlignment="1">
      <alignment horizontal="center" vertical="top"/>
    </xf>
    <xf numFmtId="4" fontId="71" fillId="0" borderId="23" xfId="0" applyNumberFormat="1" applyFont="1" applyBorder="1" applyAlignment="1">
      <alignment horizontal="center" vertical="top"/>
    </xf>
    <xf numFmtId="4" fontId="71" fillId="0" borderId="0" xfId="0" applyNumberFormat="1" applyFont="1" applyBorder="1" applyAlignment="1">
      <alignment horizontal="center" vertical="top"/>
    </xf>
    <xf numFmtId="4" fontId="71" fillId="0" borderId="0" xfId="0" applyNumberFormat="1" applyFont="1" applyAlignment="1">
      <alignment horizontal="center" vertical="top"/>
    </xf>
    <xf numFmtId="0" fontId="41" fillId="0" borderId="19" xfId="65" applyFont="1" applyFill="1" applyBorder="1" applyAlignment="1">
      <alignment horizontal="left" vertical="center"/>
    </xf>
    <xf numFmtId="0" fontId="41" fillId="0" borderId="10" xfId="65" applyFont="1" applyBorder="1" applyAlignment="1">
      <alignment horizontal="center" vertical="center"/>
    </xf>
    <xf numFmtId="0" fontId="41" fillId="0" borderId="12" xfId="65" applyFont="1" applyBorder="1" applyAlignment="1">
      <alignment horizontal="center" vertical="center"/>
    </xf>
    <xf numFmtId="2" fontId="41" fillId="0" borderId="12" xfId="65" applyNumberFormat="1" applyFont="1" applyBorder="1" applyAlignment="1">
      <alignment horizontal="center" vertical="center"/>
    </xf>
    <xf numFmtId="0" fontId="41" fillId="0" borderId="10" xfId="65" applyFont="1" applyBorder="1" applyAlignment="1">
      <alignment horizontal="left" vertical="center" wrapText="1"/>
    </xf>
    <xf numFmtId="0" fontId="41" fillId="0" borderId="67" xfId="65" applyFont="1" applyBorder="1" applyAlignment="1">
      <alignment horizontal="left" vertical="center"/>
    </xf>
    <xf numFmtId="0" fontId="41" fillId="0" borderId="19" xfId="65" applyFont="1" applyBorder="1" applyAlignment="1">
      <alignment horizontal="left" vertical="center"/>
    </xf>
    <xf numFmtId="0" fontId="65" fillId="0" borderId="0" xfId="194" applyNumberFormat="1" applyFont="1"/>
    <xf numFmtId="0" fontId="21" fillId="0" borderId="0" xfId="0" applyNumberFormat="1" applyFont="1"/>
    <xf numFmtId="0" fontId="21" fillId="0" borderId="19" xfId="0" applyNumberFormat="1" applyFont="1" applyBorder="1" applyAlignment="1">
      <alignment horizontal="left" vertical="center"/>
    </xf>
    <xf numFmtId="0" fontId="21" fillId="0" borderId="10" xfId="0" applyNumberFormat="1" applyFont="1" applyBorder="1" applyAlignment="1">
      <alignment horizontal="center" vertical="center"/>
    </xf>
    <xf numFmtId="0" fontId="65" fillId="0" borderId="10" xfId="194" applyNumberFormat="1" applyFont="1" applyBorder="1" applyAlignment="1">
      <alignment horizontal="center" vertical="center"/>
    </xf>
    <xf numFmtId="4" fontId="41" fillId="0" borderId="12" xfId="65" applyNumberFormat="1" applyFont="1" applyBorder="1" applyAlignment="1">
      <alignment horizontal="center" vertical="center"/>
    </xf>
    <xf numFmtId="0" fontId="40" fillId="0" borderId="0" xfId="65" applyFont="1" applyAlignment="1">
      <alignment horizontal="left" vertical="center" wrapText="1"/>
    </xf>
    <xf numFmtId="0" fontId="71" fillId="0" borderId="10" xfId="0" applyFont="1" applyFill="1" applyBorder="1" applyAlignment="1">
      <alignment vertical="center"/>
    </xf>
    <xf numFmtId="0" fontId="21" fillId="0" borderId="68" xfId="0" applyFont="1" applyBorder="1" applyAlignment="1">
      <alignment horizontal="left" vertical="center" wrapText="1"/>
    </xf>
    <xf numFmtId="0" fontId="71" fillId="0" borderId="0" xfId="0" applyFont="1" applyFill="1" applyBorder="1" applyAlignment="1">
      <alignment vertical="center"/>
    </xf>
    <xf numFmtId="4" fontId="71" fillId="0" borderId="39" xfId="43" applyNumberFormat="1" applyFont="1" applyFill="1" applyBorder="1" applyAlignment="1">
      <alignment horizontal="center" vertical="center"/>
    </xf>
    <xf numFmtId="2" fontId="71" fillId="0" borderId="10" xfId="0" applyNumberFormat="1" applyFont="1" applyBorder="1" applyAlignment="1">
      <alignment horizontal="center" vertical="center"/>
    </xf>
    <xf numFmtId="2" fontId="73" fillId="0" borderId="10" xfId="0" applyNumberFormat="1" applyFont="1" applyBorder="1" applyAlignment="1">
      <alignment horizontal="right" vertical="center"/>
    </xf>
    <xf numFmtId="0" fontId="41" fillId="0" borderId="0" xfId="65" applyFont="1" applyFill="1" applyBorder="1" applyAlignment="1">
      <alignment vertical="center"/>
    </xf>
    <xf numFmtId="2" fontId="41" fillId="0" borderId="0" xfId="65" applyNumberFormat="1" applyFont="1" applyFill="1" applyBorder="1" applyAlignment="1">
      <alignment horizontal="left" vertical="center"/>
    </xf>
    <xf numFmtId="184" fontId="41" fillId="0" borderId="0" xfId="65" applyNumberFormat="1" applyFont="1" applyAlignment="1">
      <alignment vertical="center"/>
    </xf>
    <xf numFmtId="0" fontId="21" fillId="0" borderId="0" xfId="0" applyNumberFormat="1" applyFont="1" applyBorder="1" applyAlignment="1">
      <alignment horizontal="right" vertical="center"/>
    </xf>
    <xf numFmtId="2" fontId="21" fillId="0" borderId="0" xfId="0" applyNumberFormat="1" applyFont="1" applyBorder="1" applyAlignment="1">
      <alignment horizontal="right" vertical="center"/>
    </xf>
    <xf numFmtId="0" fontId="41" fillId="0" borderId="0" xfId="65" applyFont="1" applyAlignment="1">
      <alignment horizontal="right" vertical="center"/>
    </xf>
    <xf numFmtId="184" fontId="41" fillId="0" borderId="0" xfId="65" applyNumberFormat="1" applyFont="1" applyAlignment="1">
      <alignment horizontal="right" vertical="center"/>
    </xf>
    <xf numFmtId="184" fontId="65" fillId="0" borderId="10" xfId="194" applyNumberFormat="1" applyFont="1" applyBorder="1" applyAlignment="1">
      <alignment horizontal="center" vertical="center"/>
    </xf>
    <xf numFmtId="0" fontId="65" fillId="0" borderId="68" xfId="194" applyNumberFormat="1" applyFont="1" applyBorder="1" applyAlignment="1">
      <alignment horizontal="right" vertical="center"/>
    </xf>
    <xf numFmtId="2" fontId="65" fillId="0" borderId="90" xfId="194" applyNumberFormat="1" applyFont="1" applyBorder="1" applyAlignment="1">
      <alignment horizontal="center" vertical="center"/>
    </xf>
    <xf numFmtId="49" fontId="71" fillId="0" borderId="10" xfId="43" applyNumberFormat="1" applyFont="1" applyBorder="1" applyAlignment="1">
      <alignment vertical="center" wrapText="1"/>
    </xf>
    <xf numFmtId="2" fontId="71" fillId="0" borderId="30" xfId="0" applyNumberFormat="1" applyFont="1" applyBorder="1" applyAlignment="1">
      <alignment vertical="center"/>
    </xf>
    <xf numFmtId="0" fontId="21" fillId="0" borderId="0" xfId="0" applyFont="1" applyAlignment="1">
      <alignment horizontal="center"/>
    </xf>
    <xf numFmtId="186" fontId="18" fillId="0" borderId="0" xfId="0" applyNumberFormat="1" applyFont="1" applyAlignment="1">
      <alignment horizontal="center"/>
    </xf>
    <xf numFmtId="4" fontId="71" fillId="0" borderId="10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43" fontId="71" fillId="0" borderId="80" xfId="43" applyFont="1" applyFill="1" applyBorder="1" applyAlignment="1">
      <alignment vertical="center" wrapText="1"/>
    </xf>
    <xf numFmtId="4" fontId="71" fillId="0" borderId="80" xfId="43" applyNumberFormat="1" applyFont="1" applyFill="1" applyBorder="1" applyAlignment="1">
      <alignment horizontal="center" vertical="center"/>
    </xf>
    <xf numFmtId="4" fontId="71" fillId="0" borderId="80" xfId="43" applyNumberFormat="1" applyFont="1" applyFill="1" applyBorder="1" applyAlignment="1">
      <alignment horizontal="right" vertical="center"/>
    </xf>
    <xf numFmtId="43" fontId="71" fillId="0" borderId="80" xfId="43" applyFont="1" applyFill="1" applyBorder="1" applyAlignment="1">
      <alignment horizontal="right" vertical="center"/>
    </xf>
    <xf numFmtId="43" fontId="71" fillId="0" borderId="81" xfId="43" applyFont="1" applyFill="1" applyBorder="1" applyAlignment="1">
      <alignment horizontal="right" vertical="center"/>
    </xf>
    <xf numFmtId="0" fontId="18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43" fontId="71" fillId="0" borderId="73" xfId="43" applyFont="1" applyFill="1" applyBorder="1" applyAlignment="1">
      <alignment vertical="center" wrapText="1"/>
    </xf>
    <xf numFmtId="189" fontId="18" fillId="0" borderId="0" xfId="0" applyNumberFormat="1" applyFont="1"/>
    <xf numFmtId="1" fontId="0" fillId="0" borderId="0" xfId="0" applyNumberFormat="1" applyAlignment="1">
      <alignment horizontal="center"/>
    </xf>
    <xf numFmtId="184" fontId="18" fillId="0" borderId="0" xfId="0" applyNumberFormat="1" applyFont="1" applyAlignment="1">
      <alignment horizontal="center"/>
    </xf>
    <xf numFmtId="43" fontId="71" fillId="0" borderId="82" xfId="43" applyFont="1" applyFill="1" applyBorder="1" applyAlignment="1">
      <alignment vertical="center" wrapText="1"/>
    </xf>
    <xf numFmtId="0" fontId="70" fillId="0" borderId="82" xfId="0" applyFont="1" applyFill="1" applyBorder="1" applyAlignment="1">
      <alignment horizontal="center" vertical="center"/>
    </xf>
    <xf numFmtId="2" fontId="21" fillId="0" borderId="0" xfId="0" applyNumberFormat="1" applyFont="1" applyAlignment="1">
      <alignment horizontal="left" vertical="center"/>
    </xf>
    <xf numFmtId="0" fontId="71" fillId="0" borderId="82" xfId="0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0" fontId="41" fillId="0" borderId="12" xfId="65" applyFont="1" applyBorder="1" applyAlignment="1">
      <alignment horizontal="left" vertical="center" wrapText="1"/>
    </xf>
    <xf numFmtId="0" fontId="41" fillId="0" borderId="10" xfId="65" applyFont="1" applyBorder="1" applyAlignment="1">
      <alignment horizontal="center" vertical="center"/>
    </xf>
    <xf numFmtId="0" fontId="41" fillId="0" borderId="13" xfId="65" applyFont="1" applyBorder="1" applyAlignment="1">
      <alignment horizontal="center" vertical="center" wrapText="1"/>
    </xf>
    <xf numFmtId="0" fontId="41" fillId="0" borderId="67" xfId="65" applyFont="1" applyBorder="1" applyAlignment="1">
      <alignment horizontal="left" vertical="center"/>
    </xf>
    <xf numFmtId="0" fontId="41" fillId="0" borderId="12" xfId="65" applyFont="1" applyBorder="1" applyAlignment="1">
      <alignment horizontal="center" vertical="center"/>
    </xf>
    <xf numFmtId="184" fontId="41" fillId="0" borderId="13" xfId="65" applyNumberFormat="1" applyFont="1" applyFill="1" applyBorder="1" applyAlignment="1">
      <alignment horizontal="center" vertical="center"/>
    </xf>
    <xf numFmtId="0" fontId="41" fillId="0" borderId="19" xfId="65" applyFont="1" applyBorder="1" applyAlignment="1">
      <alignment horizontal="left" vertical="center"/>
    </xf>
    <xf numFmtId="0" fontId="40" fillId="0" borderId="0" xfId="65" applyFont="1" applyAlignment="1">
      <alignment horizontal="left" vertical="center" wrapText="1"/>
    </xf>
    <xf numFmtId="0" fontId="21" fillId="0" borderId="0" xfId="0" applyFont="1" applyAlignment="1">
      <alignment horizontal="right"/>
    </xf>
    <xf numFmtId="0" fontId="86" fillId="0" borderId="0" xfId="0" applyFont="1" applyAlignment="1">
      <alignment horizontal="right"/>
    </xf>
    <xf numFmtId="2" fontId="18" fillId="0" borderId="0" xfId="0" applyNumberFormat="1" applyFont="1"/>
    <xf numFmtId="2" fontId="18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46" borderId="0" xfId="0" applyFill="1"/>
    <xf numFmtId="2" fontId="18" fillId="0" borderId="0" xfId="0" applyNumberFormat="1" applyFont="1" applyAlignment="1">
      <alignment horizontal="right"/>
    </xf>
    <xf numFmtId="0" fontId="83" fillId="0" borderId="0" xfId="0" applyFont="1" applyAlignment="1">
      <alignment horizontal="right"/>
    </xf>
    <xf numFmtId="0" fontId="0" fillId="41" borderId="0" xfId="0" applyFill="1"/>
    <xf numFmtId="0" fontId="0" fillId="47" borderId="98" xfId="0" applyFill="1" applyBorder="1"/>
    <xf numFmtId="0" fontId="0" fillId="47" borderId="0" xfId="0" applyFill="1"/>
    <xf numFmtId="0" fontId="0" fillId="47" borderId="0" xfId="0" applyFill="1" applyAlignment="1">
      <alignment horizontal="right"/>
    </xf>
    <xf numFmtId="2" fontId="0" fillId="41" borderId="0" xfId="0" applyNumberFormat="1" applyFill="1" applyAlignment="1">
      <alignment vertical="center"/>
    </xf>
    <xf numFmtId="184" fontId="0" fillId="0" borderId="0" xfId="0" applyNumberFormat="1"/>
    <xf numFmtId="184" fontId="18" fillId="0" borderId="0" xfId="0" applyNumberFormat="1" applyFont="1"/>
    <xf numFmtId="184" fontId="0" fillId="0" borderId="0" xfId="0" applyNumberFormat="1" applyAlignment="1">
      <alignment horizontal="right"/>
    </xf>
    <xf numFmtId="0" fontId="18" fillId="0" borderId="0" xfId="0" applyFont="1" applyAlignment="1">
      <alignment horizontal="right"/>
    </xf>
    <xf numFmtId="195" fontId="0" fillId="0" borderId="0" xfId="0" applyNumberFormat="1" applyAlignment="1">
      <alignment horizontal="center"/>
    </xf>
    <xf numFmtId="186" fontId="18" fillId="0" borderId="0" xfId="0" applyNumberFormat="1" applyFont="1"/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/>
    </xf>
    <xf numFmtId="0" fontId="65" fillId="0" borderId="10" xfId="194" applyNumberFormat="1" applyFont="1" applyBorder="1" applyAlignment="1">
      <alignment horizontal="center" vertical="center"/>
    </xf>
    <xf numFmtId="0" fontId="21" fillId="0" borderId="67" xfId="0" applyNumberFormat="1" applyFont="1" applyBorder="1" applyAlignment="1">
      <alignment horizontal="left" vertical="center"/>
    </xf>
    <xf numFmtId="0" fontId="21" fillId="0" borderId="12" xfId="0" applyNumberFormat="1" applyFont="1" applyBorder="1" applyAlignment="1">
      <alignment horizontal="center" vertical="center"/>
    </xf>
    <xf numFmtId="191" fontId="21" fillId="0" borderId="12" xfId="0" applyNumberFormat="1" applyFont="1" applyBorder="1" applyAlignment="1">
      <alignment horizontal="center" vertical="center"/>
    </xf>
    <xf numFmtId="0" fontId="41" fillId="0" borderId="67" xfId="65" applyFont="1" applyBorder="1" applyAlignment="1">
      <alignment horizontal="left" vertical="center"/>
    </xf>
    <xf numFmtId="0" fontId="41" fillId="0" borderId="12" xfId="65" applyFont="1" applyBorder="1" applyAlignment="1">
      <alignment horizontal="left" vertical="center" wrapText="1"/>
    </xf>
    <xf numFmtId="184" fontId="41" fillId="0" borderId="12" xfId="65" applyNumberFormat="1" applyFont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/>
    </xf>
    <xf numFmtId="0" fontId="41" fillId="0" borderId="12" xfId="65" applyFont="1" applyBorder="1" applyAlignment="1">
      <alignment horizontal="center" vertical="center"/>
    </xf>
    <xf numFmtId="0" fontId="41" fillId="0" borderId="19" xfId="65" applyFont="1" applyBorder="1" applyAlignment="1">
      <alignment horizontal="left" vertical="center"/>
    </xf>
    <xf numFmtId="0" fontId="65" fillId="0" borderId="0" xfId="194" applyNumberFormat="1" applyFont="1"/>
    <xf numFmtId="0" fontId="64" fillId="0" borderId="0" xfId="0" applyNumberFormat="1" applyFont="1" applyAlignment="1">
      <alignment vertical="center"/>
    </xf>
    <xf numFmtId="0" fontId="21" fillId="0" borderId="0" xfId="0" applyNumberFormat="1" applyFont="1"/>
    <xf numFmtId="0" fontId="21" fillId="0" borderId="10" xfId="0" applyNumberFormat="1" applyFont="1" applyBorder="1" applyAlignment="1">
      <alignment horizontal="center" vertical="center"/>
    </xf>
    <xf numFmtId="189" fontId="41" fillId="0" borderId="12" xfId="65" applyNumberFormat="1" applyFont="1" applyBorder="1" applyAlignment="1">
      <alignment horizontal="center" vertical="center"/>
    </xf>
    <xf numFmtId="4" fontId="41" fillId="0" borderId="12" xfId="65" applyNumberFormat="1" applyFont="1" applyBorder="1" applyAlignment="1">
      <alignment horizontal="center" vertical="center"/>
    </xf>
    <xf numFmtId="0" fontId="40" fillId="0" borderId="0" xfId="65" applyFont="1" applyAlignment="1">
      <alignment horizontal="left" vertical="center" wrapText="1"/>
    </xf>
    <xf numFmtId="186" fontId="0" fillId="0" borderId="0" xfId="0" applyNumberFormat="1" applyFont="1"/>
    <xf numFmtId="186" fontId="18" fillId="0" borderId="15" xfId="0" applyNumberFormat="1" applyFont="1" applyBorder="1"/>
    <xf numFmtId="186" fontId="71" fillId="0" borderId="10" xfId="0" applyNumberFormat="1" applyFont="1" applyFill="1" applyBorder="1" applyAlignment="1">
      <alignment horizontal="center" vertical="center"/>
    </xf>
    <xf numFmtId="186" fontId="71" fillId="0" borderId="10" xfId="0" applyNumberFormat="1" applyFont="1" applyFill="1" applyBorder="1" applyAlignment="1">
      <alignment vertical="center"/>
    </xf>
    <xf numFmtId="0" fontId="18" fillId="0" borderId="15" xfId="0" applyFont="1" applyBorder="1"/>
    <xf numFmtId="0" fontId="0" fillId="0" borderId="0" xfId="0" applyFont="1"/>
    <xf numFmtId="2" fontId="71" fillId="0" borderId="10" xfId="0" applyNumberFormat="1" applyFont="1" applyFill="1" applyBorder="1" applyAlignment="1">
      <alignment horizontal="right" vertical="center"/>
    </xf>
    <xf numFmtId="0" fontId="21" fillId="0" borderId="68" xfId="0" applyFont="1" applyFill="1" applyBorder="1" applyAlignment="1">
      <alignment horizontal="left" vertical="center" wrapText="1"/>
    </xf>
    <xf numFmtId="0" fontId="71" fillId="0" borderId="19" xfId="0" applyFont="1" applyFill="1" applyBorder="1" applyAlignment="1">
      <alignment horizontal="center" vertical="center" wrapText="1"/>
    </xf>
    <xf numFmtId="0" fontId="71" fillId="0" borderId="39" xfId="0" applyFont="1" applyFill="1" applyBorder="1" applyAlignment="1">
      <alignment horizontal="center" vertical="center"/>
    </xf>
    <xf numFmtId="184" fontId="0" fillId="0" borderId="0" xfId="0" applyNumberFormat="1" applyFont="1" applyAlignment="1">
      <alignment horizontal="center"/>
    </xf>
    <xf numFmtId="0" fontId="21" fillId="0" borderId="13" xfId="0" applyNumberFormat="1" applyFont="1" applyBorder="1" applyAlignment="1">
      <alignment horizontal="center" vertical="center"/>
    </xf>
    <xf numFmtId="2" fontId="21" fillId="0" borderId="13" xfId="0" applyNumberFormat="1" applyFont="1" applyBorder="1" applyAlignment="1">
      <alignment horizontal="center" vertical="center"/>
    </xf>
    <xf numFmtId="184" fontId="41" fillId="0" borderId="13" xfId="65" applyNumberFormat="1" applyFont="1" applyBorder="1" applyAlignment="1">
      <alignment horizontal="center" vertical="center"/>
    </xf>
    <xf numFmtId="0" fontId="41" fillId="0" borderId="19" xfId="65" applyFont="1" applyFill="1" applyBorder="1" applyAlignment="1">
      <alignment horizontal="left" vertical="center"/>
    </xf>
    <xf numFmtId="0" fontId="41" fillId="0" borderId="10" xfId="65" applyFont="1" applyBorder="1" applyAlignment="1">
      <alignment horizontal="center" vertical="center"/>
    </xf>
    <xf numFmtId="0" fontId="41" fillId="0" borderId="13" xfId="65" applyFont="1" applyBorder="1" applyAlignment="1">
      <alignment horizontal="center" vertical="center" wrapText="1"/>
    </xf>
    <xf numFmtId="0" fontId="41" fillId="0" borderId="19" xfId="65" applyFont="1" applyBorder="1" applyAlignment="1">
      <alignment horizontal="left" vertical="center"/>
    </xf>
    <xf numFmtId="0" fontId="41" fillId="0" borderId="10" xfId="65" applyFont="1" applyBorder="1" applyAlignment="1">
      <alignment horizontal="left" vertical="center" wrapText="1"/>
    </xf>
    <xf numFmtId="184" fontId="41" fillId="0" borderId="10" xfId="65" applyNumberFormat="1" applyFont="1" applyBorder="1" applyAlignment="1">
      <alignment horizontal="center" vertical="center"/>
    </xf>
    <xf numFmtId="0" fontId="64" fillId="0" borderId="0" xfId="0" applyNumberFormat="1" applyFont="1" applyAlignment="1">
      <alignment vertical="center"/>
    </xf>
    <xf numFmtId="0" fontId="21" fillId="0" borderId="0" xfId="0" applyNumberFormat="1" applyFont="1" applyAlignment="1">
      <alignment vertical="center"/>
    </xf>
    <xf numFmtId="0" fontId="21" fillId="0" borderId="0" xfId="0" applyNumberFormat="1" applyFont="1"/>
    <xf numFmtId="0" fontId="21" fillId="0" borderId="10" xfId="0" applyNumberFormat="1" applyFont="1" applyBorder="1" applyAlignment="1">
      <alignment horizontal="center" vertical="center"/>
    </xf>
    <xf numFmtId="4" fontId="71" fillId="0" borderId="39" xfId="43" applyNumberFormat="1" applyFont="1" applyBorder="1" applyAlignment="1">
      <alignment horizontal="center" vertical="center"/>
    </xf>
    <xf numFmtId="164" fontId="33" fillId="42" borderId="10" xfId="142" applyFont="1" applyFill="1" applyBorder="1" applyAlignment="1">
      <alignment horizontal="right" vertical="center"/>
    </xf>
    <xf numFmtId="164" fontId="33" fillId="0" borderId="10" xfId="142" applyFont="1" applyFill="1" applyBorder="1" applyAlignment="1">
      <alignment horizontal="center" vertical="center"/>
    </xf>
    <xf numFmtId="0" fontId="71" fillId="0" borderId="10" xfId="0" applyFont="1" applyFill="1" applyBorder="1" applyAlignment="1">
      <alignment vertical="center" wrapText="1"/>
    </xf>
    <xf numFmtId="4" fontId="79" fillId="36" borderId="91" xfId="0" applyNumberFormat="1" applyFont="1" applyFill="1" applyBorder="1" applyAlignment="1">
      <alignment horizontal="center" vertical="center"/>
    </xf>
    <xf numFmtId="0" fontId="41" fillId="0" borderId="13" xfId="65" applyFont="1" applyBorder="1" applyAlignment="1">
      <alignment vertical="center" wrapText="1"/>
    </xf>
    <xf numFmtId="0" fontId="21" fillId="0" borderId="68" xfId="0" applyFont="1" applyBorder="1" applyAlignment="1">
      <alignment vertical="center" wrapText="1"/>
    </xf>
    <xf numFmtId="2" fontId="64" fillId="0" borderId="82" xfId="194" applyNumberFormat="1" applyFont="1" applyFill="1" applyBorder="1" applyAlignment="1">
      <alignment horizontal="center" vertical="center"/>
    </xf>
    <xf numFmtId="0" fontId="64" fillId="0" borderId="82" xfId="194" applyNumberFormat="1" applyFont="1" applyFill="1" applyBorder="1" applyAlignment="1">
      <alignment horizontal="center" vertical="center"/>
    </xf>
    <xf numFmtId="2" fontId="70" fillId="0" borderId="0" xfId="0" applyNumberFormat="1" applyFont="1" applyAlignment="1">
      <alignment vertical="center"/>
    </xf>
    <xf numFmtId="0" fontId="80" fillId="0" borderId="80" xfId="0" applyNumberFormat="1" applyFont="1" applyBorder="1" applyAlignment="1">
      <alignment vertical="center" wrapText="1"/>
    </xf>
    <xf numFmtId="0" fontId="21" fillId="0" borderId="0" xfId="0" applyFont="1" applyAlignment="1">
      <alignment horizontal="center" vertical="top" wrapText="1"/>
    </xf>
    <xf numFmtId="0" fontId="71" fillId="0" borderId="80" xfId="0" applyFont="1" applyFill="1" applyBorder="1" applyAlignment="1">
      <alignment horizontal="center" vertical="center"/>
    </xf>
    <xf numFmtId="194" fontId="0" fillId="0" borderId="0" xfId="0" applyNumberFormat="1" applyAlignment="1">
      <alignment horizontal="center"/>
    </xf>
    <xf numFmtId="189" fontId="18" fillId="0" borderId="0" xfId="0" applyNumberFormat="1" applyFont="1" applyAlignment="1">
      <alignment horizontal="center"/>
    </xf>
    <xf numFmtId="0" fontId="41" fillId="0" borderId="19" xfId="65" applyFont="1" applyBorder="1" applyAlignment="1">
      <alignment horizontal="left" vertical="center"/>
    </xf>
    <xf numFmtId="0" fontId="41" fillId="0" borderId="10" xfId="65" applyFont="1" applyBorder="1" applyAlignment="1">
      <alignment horizontal="left" vertical="center" wrapText="1"/>
    </xf>
    <xf numFmtId="0" fontId="41" fillId="0" borderId="10" xfId="65" applyFont="1" applyBorder="1" applyAlignment="1">
      <alignment horizontal="center" vertical="center"/>
    </xf>
    <xf numFmtId="184" fontId="41" fillId="0" borderId="10" xfId="65" applyNumberFormat="1" applyFont="1" applyBorder="1" applyAlignment="1">
      <alignment horizontal="center" vertical="center"/>
    </xf>
    <xf numFmtId="0" fontId="41" fillId="0" borderId="19" xfId="65" applyFont="1" applyBorder="1" applyAlignment="1">
      <alignment horizontal="left" vertical="center"/>
    </xf>
    <xf numFmtId="0" fontId="41" fillId="0" borderId="10" xfId="65" applyFont="1" applyBorder="1" applyAlignment="1">
      <alignment horizontal="left" vertical="center" wrapText="1"/>
    </xf>
    <xf numFmtId="0" fontId="41" fillId="0" borderId="12" xfId="65" applyFont="1" applyBorder="1" applyAlignment="1">
      <alignment horizontal="left" vertical="center" wrapText="1"/>
    </xf>
    <xf numFmtId="0" fontId="41" fillId="0" borderId="10" xfId="65" applyFont="1" applyBorder="1" applyAlignment="1">
      <alignment horizontal="center" vertical="center"/>
    </xf>
    <xf numFmtId="0" fontId="41" fillId="0" borderId="67" xfId="65" applyFont="1" applyBorder="1" applyAlignment="1">
      <alignment horizontal="left" vertical="center"/>
    </xf>
    <xf numFmtId="0" fontId="41" fillId="0" borderId="12" xfId="65" applyFont="1" applyBorder="1" applyAlignment="1">
      <alignment horizontal="center" vertical="center"/>
    </xf>
    <xf numFmtId="0" fontId="41" fillId="0" borderId="19" xfId="65" applyFont="1" applyFill="1" applyBorder="1" applyAlignment="1">
      <alignment horizontal="left" vertical="center"/>
    </xf>
    <xf numFmtId="0" fontId="40" fillId="0" borderId="0" xfId="65" applyFont="1" applyAlignment="1">
      <alignment horizontal="left" vertical="center" wrapText="1"/>
    </xf>
    <xf numFmtId="4" fontId="70" fillId="0" borderId="10" xfId="43" applyNumberFormat="1" applyFont="1" applyFill="1" applyBorder="1" applyAlignment="1">
      <alignment horizontal="center" vertical="top"/>
    </xf>
    <xf numFmtId="4" fontId="70" fillId="0" borderId="10" xfId="43" applyNumberFormat="1" applyFont="1" applyFill="1" applyBorder="1" applyAlignment="1">
      <alignment horizontal="right" vertical="top"/>
    </xf>
    <xf numFmtId="0" fontId="79" fillId="0" borderId="10" xfId="0" applyFont="1" applyBorder="1" applyAlignment="1">
      <alignment horizontal="center" vertical="center" wrapText="1"/>
    </xf>
    <xf numFmtId="4" fontId="71" fillId="0" borderId="10" xfId="43" applyNumberFormat="1" applyFont="1" applyFill="1" applyBorder="1" applyAlignment="1">
      <alignment horizontal="right" vertical="top"/>
    </xf>
    <xf numFmtId="4" fontId="41" fillId="0" borderId="10" xfId="65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84" fontId="41" fillId="0" borderId="13" xfId="65" applyNumberFormat="1" applyFont="1" applyBorder="1" applyAlignment="1">
      <alignment horizontal="center" vertical="center"/>
    </xf>
    <xf numFmtId="0" fontId="41" fillId="0" borderId="13" xfId="65" applyFont="1" applyBorder="1" applyAlignment="1">
      <alignment horizontal="left" vertical="center" wrapText="1"/>
    </xf>
    <xf numFmtId="189" fontId="41" fillId="0" borderId="13" xfId="65" applyNumberFormat="1" applyFont="1" applyBorder="1" applyAlignment="1">
      <alignment horizontal="center" vertical="center"/>
    </xf>
    <xf numFmtId="0" fontId="41" fillId="0" borderId="19" xfId="65" applyFont="1" applyBorder="1" applyAlignment="1">
      <alignment horizontal="left" vertical="center"/>
    </xf>
    <xf numFmtId="0" fontId="41" fillId="0" borderId="10" xfId="65" applyFont="1" applyBorder="1" applyAlignment="1">
      <alignment horizontal="left" vertical="center" wrapText="1"/>
    </xf>
    <xf numFmtId="0" fontId="41" fillId="0" borderId="10" xfId="65" applyFont="1" applyBorder="1" applyAlignment="1">
      <alignment horizontal="center" vertical="center"/>
    </xf>
    <xf numFmtId="184" fontId="41" fillId="0" borderId="10" xfId="65" applyNumberFormat="1" applyFont="1" applyBorder="1" applyAlignment="1">
      <alignment horizontal="center" vertical="center"/>
    </xf>
    <xf numFmtId="0" fontId="21" fillId="0" borderId="68" xfId="0" applyFont="1" applyBorder="1" applyAlignment="1">
      <alignment horizontal="left" vertical="center" wrapText="1"/>
    </xf>
    <xf numFmtId="0" fontId="41" fillId="0" borderId="13" xfId="65" applyFont="1" applyBorder="1" applyAlignment="1">
      <alignment horizontal="center" vertical="center" wrapText="1"/>
    </xf>
    <xf numFmtId="0" fontId="65" fillId="0" borderId="0" xfId="194" applyNumberFormat="1" applyFont="1" applyAlignment="1">
      <alignment vertical="center"/>
    </xf>
    <xf numFmtId="0" fontId="65" fillId="0" borderId="19" xfId="194" applyNumberFormat="1" applyFont="1" applyBorder="1" applyAlignment="1">
      <alignment horizontal="left" vertical="center"/>
    </xf>
    <xf numFmtId="0" fontId="65" fillId="0" borderId="10" xfId="194" applyNumberFormat="1" applyFont="1" applyBorder="1" applyAlignment="1">
      <alignment horizontal="center" vertical="center"/>
    </xf>
    <xf numFmtId="0" fontId="41" fillId="0" borderId="19" xfId="65" applyFont="1" applyFill="1" applyBorder="1" applyAlignment="1">
      <alignment horizontal="left" vertical="center"/>
    </xf>
    <xf numFmtId="0" fontId="65" fillId="0" borderId="0" xfId="194" applyNumberFormat="1" applyFont="1"/>
    <xf numFmtId="0" fontId="64" fillId="0" borderId="0" xfId="0" applyNumberFormat="1" applyFont="1" applyAlignment="1">
      <alignment vertical="center"/>
    </xf>
    <xf numFmtId="0" fontId="21" fillId="0" borderId="0" xfId="0" applyNumberFormat="1" applyFont="1"/>
    <xf numFmtId="0" fontId="37" fillId="0" borderId="51" xfId="151" applyFont="1" applyFill="1" applyBorder="1" applyAlignment="1">
      <alignment horizontal="left" vertical="center"/>
    </xf>
    <xf numFmtId="2" fontId="37" fillId="0" borderId="51" xfId="151" applyNumberFormat="1" applyFont="1" applyFill="1" applyBorder="1" applyAlignment="1">
      <alignment horizontal="center" vertical="center"/>
    </xf>
    <xf numFmtId="2" fontId="37" fillId="0" borderId="50" xfId="151" applyNumberFormat="1" applyFont="1" applyFill="1" applyBorder="1" applyAlignment="1">
      <alignment horizontal="center" vertical="center"/>
    </xf>
    <xf numFmtId="4" fontId="37" fillId="0" borderId="18" xfId="151" applyNumberFormat="1" applyFont="1" applyFill="1" applyBorder="1" applyAlignment="1">
      <alignment vertical="center"/>
    </xf>
    <xf numFmtId="0" fontId="71" fillId="0" borderId="13" xfId="0" applyFont="1" applyFill="1" applyBorder="1" applyAlignment="1">
      <alignment horizontal="center" vertical="center"/>
    </xf>
    <xf numFmtId="191" fontId="41" fillId="0" borderId="10" xfId="65" applyNumberFormat="1" applyFont="1" applyFill="1" applyBorder="1" applyAlignment="1">
      <alignment horizontal="center" vertical="center"/>
    </xf>
    <xf numFmtId="186" fontId="41" fillId="0" borderId="90" xfId="65" applyNumberFormat="1" applyFont="1" applyBorder="1" applyAlignment="1">
      <alignment horizontal="center" vertical="center"/>
    </xf>
    <xf numFmtId="0" fontId="41" fillId="0" borderId="19" xfId="65" applyFont="1" applyBorder="1" applyAlignment="1">
      <alignment horizontal="left" vertical="center"/>
    </xf>
    <xf numFmtId="0" fontId="41" fillId="0" borderId="10" xfId="65" applyFont="1" applyBorder="1" applyAlignment="1">
      <alignment horizontal="left" vertical="center" wrapText="1"/>
    </xf>
    <xf numFmtId="0" fontId="21" fillId="0" borderId="10" xfId="0" applyNumberFormat="1" applyFont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/>
    </xf>
    <xf numFmtId="0" fontId="65" fillId="0" borderId="10" xfId="194" applyNumberFormat="1" applyFont="1" applyBorder="1" applyAlignment="1">
      <alignment horizontal="center" vertical="center"/>
    </xf>
    <xf numFmtId="0" fontId="65" fillId="0" borderId="13" xfId="194" applyNumberFormat="1" applyFont="1" applyBorder="1" applyAlignment="1">
      <alignment horizontal="center" vertical="center"/>
    </xf>
    <xf numFmtId="0" fontId="21" fillId="0" borderId="0" xfId="0" applyNumberFormat="1" applyFont="1"/>
    <xf numFmtId="0" fontId="65" fillId="0" borderId="0" xfId="194" applyNumberFormat="1" applyFont="1"/>
    <xf numFmtId="0" fontId="21" fillId="0" borderId="10" xfId="0" applyNumberFormat="1" applyFont="1" applyBorder="1" applyAlignment="1">
      <alignment horizontal="left" vertical="center" wrapText="1"/>
    </xf>
    <xf numFmtId="0" fontId="64" fillId="0" borderId="0" xfId="0" applyNumberFormat="1" applyFont="1" applyAlignment="1">
      <alignment vertical="center"/>
    </xf>
    <xf numFmtId="0" fontId="21" fillId="0" borderId="0" xfId="0" applyNumberFormat="1" applyFont="1" applyAlignment="1">
      <alignment vertical="center"/>
    </xf>
    <xf numFmtId="0" fontId="41" fillId="0" borderId="19" xfId="65" applyFont="1" applyFill="1" applyBorder="1" applyAlignment="1">
      <alignment horizontal="left" vertical="center"/>
    </xf>
    <xf numFmtId="0" fontId="65" fillId="0" borderId="68" xfId="194" applyNumberFormat="1" applyFont="1" applyBorder="1" applyAlignment="1">
      <alignment horizontal="left" vertical="center"/>
    </xf>
    <xf numFmtId="0" fontId="65" fillId="0" borderId="13" xfId="194" applyNumberFormat="1" applyFont="1" applyBorder="1" applyAlignment="1">
      <alignment horizontal="left" vertical="center" wrapText="1"/>
    </xf>
    <xf numFmtId="184" fontId="65" fillId="0" borderId="13" xfId="194" applyNumberFormat="1" applyFont="1" applyBorder="1" applyAlignment="1">
      <alignment horizontal="center" vertical="center"/>
    </xf>
    <xf numFmtId="0" fontId="65" fillId="0" borderId="19" xfId="194" applyNumberFormat="1" applyFont="1" applyBorder="1" applyAlignment="1">
      <alignment horizontal="left" vertical="center"/>
    </xf>
    <xf numFmtId="0" fontId="64" fillId="0" borderId="80" xfId="194" applyNumberFormat="1" applyFont="1" applyFill="1" applyBorder="1" applyAlignment="1">
      <alignment vertical="top" wrapText="1"/>
    </xf>
    <xf numFmtId="0" fontId="40" fillId="0" borderId="0" xfId="65" applyFont="1" applyAlignment="1">
      <alignment horizontal="center" vertical="top" wrapText="1"/>
    </xf>
    <xf numFmtId="0" fontId="64" fillId="0" borderId="0" xfId="194" applyNumberFormat="1" applyFont="1" applyAlignment="1">
      <alignment horizontal="center" vertical="top"/>
    </xf>
    <xf numFmtId="0" fontId="64" fillId="0" borderId="0" xfId="194" applyNumberFormat="1" applyFont="1" applyAlignment="1">
      <alignment horizontal="center" vertical="top" wrapText="1"/>
    </xf>
    <xf numFmtId="191" fontId="65" fillId="0" borderId="10" xfId="194" applyNumberFormat="1" applyFont="1" applyBorder="1" applyAlignment="1">
      <alignment horizontal="center" vertical="center"/>
    </xf>
    <xf numFmtId="0" fontId="64" fillId="0" borderId="0" xfId="194" applyNumberFormat="1" applyFont="1" applyAlignment="1"/>
    <xf numFmtId="43" fontId="71" fillId="0" borderId="39" xfId="43" applyFont="1" applyFill="1" applyBorder="1" applyAlignment="1">
      <alignment horizontal="right" vertical="center"/>
    </xf>
    <xf numFmtId="0" fontId="71" fillId="0" borderId="66" xfId="0" applyFont="1" applyFill="1" applyBorder="1" applyAlignment="1">
      <alignment horizontal="center" vertical="center"/>
    </xf>
    <xf numFmtId="0" fontId="80" fillId="0" borderId="0" xfId="0" applyNumberFormat="1" applyFont="1" applyAlignment="1">
      <alignment vertical="top"/>
    </xf>
    <xf numFmtId="0" fontId="21" fillId="0" borderId="19" xfId="0" applyNumberFormat="1" applyFont="1" applyBorder="1"/>
    <xf numFmtId="0" fontId="21" fillId="0" borderId="10" xfId="0" applyNumberFormat="1" applyFont="1" applyBorder="1"/>
    <xf numFmtId="0" fontId="21" fillId="0" borderId="10" xfId="0" applyNumberFormat="1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0" fontId="80" fillId="0" borderId="82" xfId="0" applyNumberFormat="1" applyFont="1" applyBorder="1" applyAlignment="1">
      <alignment horizontal="center"/>
    </xf>
    <xf numFmtId="0" fontId="21" fillId="0" borderId="85" xfId="0" applyNumberFormat="1" applyFont="1" applyBorder="1"/>
    <xf numFmtId="0" fontId="21" fillId="0" borderId="0" xfId="0" applyNumberFormat="1" applyFont="1" applyBorder="1"/>
    <xf numFmtId="186" fontId="80" fillId="0" borderId="0" xfId="0" applyNumberFormat="1" applyFont="1" applyAlignment="1">
      <alignment horizontal="left"/>
    </xf>
    <xf numFmtId="43" fontId="71" fillId="0" borderId="77" xfId="43" applyFont="1" applyBorder="1" applyAlignment="1">
      <alignment horizontal="left" vertical="center"/>
    </xf>
    <xf numFmtId="2" fontId="21" fillId="0" borderId="90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186" fontId="21" fillId="0" borderId="10" xfId="0" applyNumberFormat="1" applyFont="1" applyBorder="1" applyAlignment="1">
      <alignment horizontal="center" vertical="center"/>
    </xf>
    <xf numFmtId="0" fontId="71" fillId="42" borderId="0" xfId="0" applyFont="1" applyFill="1" applyAlignment="1">
      <alignment horizontal="left" vertical="center"/>
    </xf>
    <xf numFmtId="0" fontId="71" fillId="0" borderId="0" xfId="0" applyFont="1" applyFill="1" applyAlignment="1">
      <alignment vertical="center"/>
    </xf>
    <xf numFmtId="186" fontId="71" fillId="0" borderId="10" xfId="0" applyNumberFormat="1" applyFont="1" applyFill="1" applyBorder="1" applyAlignment="1">
      <alignment horizontal="right" vertical="center"/>
    </xf>
    <xf numFmtId="0" fontId="64" fillId="0" borderId="80" xfId="0" applyNumberFormat="1" applyFont="1" applyFill="1" applyBorder="1" applyAlignment="1">
      <alignment vertical="center" wrapText="1"/>
    </xf>
    <xf numFmtId="2" fontId="21" fillId="0" borderId="82" xfId="0" applyNumberFormat="1" applyFont="1" applyBorder="1" applyAlignment="1">
      <alignment horizontal="center"/>
    </xf>
    <xf numFmtId="2" fontId="80" fillId="0" borderId="82" xfId="0" applyNumberFormat="1" applyFont="1" applyBorder="1" applyAlignment="1">
      <alignment horizontal="center"/>
    </xf>
    <xf numFmtId="0" fontId="65" fillId="0" borderId="0" xfId="194" applyNumberFormat="1" applyFont="1" applyBorder="1" applyAlignment="1">
      <alignment horizontal="left" vertical="center"/>
    </xf>
    <xf numFmtId="0" fontId="65" fillId="0" borderId="0" xfId="194" applyNumberFormat="1" applyFont="1" applyBorder="1" applyAlignment="1">
      <alignment vertical="center"/>
    </xf>
    <xf numFmtId="0" fontId="65" fillId="0" borderId="0" xfId="194" applyNumberFormat="1" applyFont="1" applyBorder="1" applyAlignment="1">
      <alignment horizontal="center" vertical="center"/>
    </xf>
    <xf numFmtId="43" fontId="33" fillId="0" borderId="10" xfId="43" applyFont="1" applyBorder="1" applyAlignment="1">
      <alignment vertical="center" wrapText="1"/>
    </xf>
    <xf numFmtId="43" fontId="71" fillId="0" borderId="30" xfId="43" applyNumberFormat="1" applyFont="1" applyBorder="1" applyAlignment="1">
      <alignment horizontal="right" vertical="center"/>
    </xf>
    <xf numFmtId="43" fontId="71" fillId="0" borderId="30" xfId="0" applyNumberFormat="1" applyFont="1" applyBorder="1" applyAlignment="1">
      <alignment vertical="center"/>
    </xf>
    <xf numFmtId="2" fontId="71" fillId="0" borderId="10" xfId="0" applyNumberFormat="1" applyFont="1" applyBorder="1" applyAlignment="1">
      <alignment horizontal="right" vertical="center"/>
    </xf>
    <xf numFmtId="2" fontId="71" fillId="0" borderId="10" xfId="0" applyNumberFormat="1" applyFont="1" applyBorder="1" applyAlignment="1">
      <alignment vertical="center"/>
    </xf>
    <xf numFmtId="43" fontId="71" fillId="0" borderId="40" xfId="43" applyFont="1" applyFill="1" applyBorder="1" applyAlignment="1">
      <alignment horizontal="right" vertical="center"/>
    </xf>
    <xf numFmtId="0" fontId="71" fillId="0" borderId="10" xfId="0" applyFont="1" applyFill="1" applyBorder="1" applyAlignment="1">
      <alignment horizontal="center" vertical="top" wrapText="1"/>
    </xf>
    <xf numFmtId="0" fontId="41" fillId="0" borderId="10" xfId="65" applyFont="1" applyBorder="1" applyAlignment="1">
      <alignment horizontal="left" vertical="center" wrapText="1"/>
    </xf>
    <xf numFmtId="0" fontId="41" fillId="0" borderId="10" xfId="65" applyFont="1" applyBorder="1" applyAlignment="1">
      <alignment horizontal="center" vertical="center"/>
    </xf>
    <xf numFmtId="0" fontId="65" fillId="0" borderId="0" xfId="196" applyNumberFormat="1" applyFont="1"/>
    <xf numFmtId="0" fontId="0" fillId="42" borderId="0" xfId="0" applyFill="1" applyAlignment="1">
      <alignment horizontal="right"/>
    </xf>
    <xf numFmtId="0" fontId="18" fillId="42" borderId="0" xfId="0" applyFont="1" applyFill="1" applyAlignment="1">
      <alignment horizontal="center"/>
    </xf>
    <xf numFmtId="0" fontId="18" fillId="42" borderId="0" xfId="0" applyFont="1" applyFill="1"/>
    <xf numFmtId="0" fontId="21" fillId="42" borderId="0" xfId="0" applyFont="1" applyFill="1"/>
    <xf numFmtId="0" fontId="0" fillId="42" borderId="0" xfId="0" applyFill="1"/>
    <xf numFmtId="0" fontId="0" fillId="42" borderId="0" xfId="0" applyFill="1" applyAlignment="1">
      <alignment horizontal="center"/>
    </xf>
    <xf numFmtId="2" fontId="18" fillId="42" borderId="0" xfId="0" applyNumberFormat="1" applyFont="1" applyFill="1" applyAlignment="1">
      <alignment horizontal="center"/>
    </xf>
    <xf numFmtId="2" fontId="0" fillId="42" borderId="0" xfId="0" applyNumberFormat="1" applyFill="1" applyAlignment="1">
      <alignment horizontal="center"/>
    </xf>
    <xf numFmtId="2" fontId="18" fillId="42" borderId="15" xfId="0" applyNumberFormat="1" applyFont="1" applyFill="1" applyBorder="1" applyAlignment="1">
      <alignment horizontal="center"/>
    </xf>
    <xf numFmtId="184" fontId="0" fillId="42" borderId="0" xfId="0" applyNumberFormat="1" applyFill="1" applyAlignment="1">
      <alignment horizontal="center"/>
    </xf>
    <xf numFmtId="0" fontId="0" fillId="42" borderId="0" xfId="0" applyFont="1" applyFill="1" applyAlignment="1">
      <alignment horizontal="center"/>
    </xf>
    <xf numFmtId="43" fontId="20" fillId="36" borderId="11" xfId="43" applyFont="1" applyFill="1" applyBorder="1" applyAlignment="1">
      <alignment vertical="center"/>
    </xf>
    <xf numFmtId="4" fontId="20" fillId="36" borderId="11" xfId="0" applyNumberFormat="1" applyFont="1" applyFill="1" applyBorder="1" applyAlignment="1">
      <alignment horizontal="center" vertical="center"/>
    </xf>
    <xf numFmtId="10" fontId="2" fillId="36" borderId="11" xfId="147" applyNumberFormat="1" applyFont="1" applyFill="1" applyBorder="1" applyAlignment="1">
      <alignment horizontal="center" vertical="center"/>
    </xf>
    <xf numFmtId="0" fontId="41" fillId="0" borderId="12" xfId="65" applyFont="1" applyBorder="1" applyAlignment="1">
      <alignment horizontal="left" vertical="center" wrapText="1"/>
    </xf>
    <xf numFmtId="0" fontId="41" fillId="0" borderId="10" xfId="65" applyFont="1" applyBorder="1" applyAlignment="1">
      <alignment horizontal="center" vertical="center"/>
    </xf>
    <xf numFmtId="184" fontId="41" fillId="0" borderId="12" xfId="65" applyNumberFormat="1" applyFont="1" applyBorder="1" applyAlignment="1">
      <alignment horizontal="center" vertical="center"/>
    </xf>
    <xf numFmtId="0" fontId="41" fillId="0" borderId="12" xfId="65" applyFont="1" applyBorder="1" applyAlignment="1">
      <alignment horizontal="center" vertical="center"/>
    </xf>
    <xf numFmtId="0" fontId="64" fillId="0" borderId="0" xfId="194" applyNumberFormat="1" applyFont="1" applyAlignment="1">
      <alignment vertical="center"/>
    </xf>
    <xf numFmtId="189" fontId="41" fillId="0" borderId="12" xfId="65" applyNumberFormat="1" applyFont="1" applyBorder="1" applyAlignment="1">
      <alignment horizontal="center" vertical="center"/>
    </xf>
    <xf numFmtId="2" fontId="41" fillId="0" borderId="12" xfId="65" applyNumberFormat="1" applyFont="1" applyBorder="1" applyAlignment="1">
      <alignment horizontal="center" vertical="center"/>
    </xf>
    <xf numFmtId="0" fontId="41" fillId="0" borderId="19" xfId="65" applyFont="1" applyFill="1" applyBorder="1" applyAlignment="1">
      <alignment horizontal="left" vertical="center"/>
    </xf>
    <xf numFmtId="0" fontId="41" fillId="0" borderId="10" xfId="65" applyFont="1" applyBorder="1" applyAlignment="1">
      <alignment horizontal="left" vertical="center" wrapText="1"/>
    </xf>
    <xf numFmtId="0" fontId="41" fillId="0" borderId="67" xfId="65" applyFont="1" applyBorder="1" applyAlignment="1">
      <alignment horizontal="left" vertical="center"/>
    </xf>
    <xf numFmtId="0" fontId="41" fillId="0" borderId="19" xfId="65" applyFont="1" applyBorder="1" applyAlignment="1">
      <alignment horizontal="left" vertical="center"/>
    </xf>
    <xf numFmtId="0" fontId="64" fillId="0" borderId="80" xfId="0" applyNumberFormat="1" applyFont="1" applyBorder="1" applyAlignment="1">
      <alignment horizontal="left" vertical="center" wrapText="1"/>
    </xf>
    <xf numFmtId="0" fontId="21" fillId="0" borderId="0" xfId="0" applyNumberFormat="1" applyFont="1"/>
    <xf numFmtId="0" fontId="21" fillId="0" borderId="10" xfId="0" applyNumberFormat="1" applyFont="1" applyBorder="1" applyAlignment="1">
      <alignment horizontal="center" vertical="center"/>
    </xf>
    <xf numFmtId="4" fontId="41" fillId="0" borderId="12" xfId="65" applyNumberFormat="1" applyFont="1" applyBorder="1" applyAlignment="1">
      <alignment horizontal="center" vertical="center"/>
    </xf>
    <xf numFmtId="186" fontId="65" fillId="0" borderId="10" xfId="196" applyNumberFormat="1" applyFont="1" applyFill="1" applyBorder="1" applyAlignment="1">
      <alignment horizontal="center" vertical="center"/>
    </xf>
    <xf numFmtId="186" fontId="65" fillId="0" borderId="73" xfId="196" applyNumberFormat="1" applyFont="1" applyBorder="1" applyAlignment="1">
      <alignment horizontal="center" vertical="center"/>
    </xf>
    <xf numFmtId="186" fontId="64" fillId="0" borderId="73" xfId="196" applyNumberFormat="1" applyFont="1" applyBorder="1" applyAlignment="1">
      <alignment horizontal="center" vertical="center"/>
    </xf>
    <xf numFmtId="186" fontId="65" fillId="0" borderId="0" xfId="196" applyNumberFormat="1" applyFont="1" applyAlignment="1">
      <alignment horizontal="left" vertical="center"/>
    </xf>
    <xf numFmtId="186" fontId="64" fillId="0" borderId="0" xfId="196" applyNumberFormat="1" applyFont="1" applyAlignment="1">
      <alignment horizontal="left" vertical="center"/>
    </xf>
    <xf numFmtId="0" fontId="41" fillId="0" borderId="12" xfId="65" applyFont="1" applyBorder="1" applyAlignment="1">
      <alignment horizontal="left" vertical="center" wrapText="1"/>
    </xf>
    <xf numFmtId="0" fontId="41" fillId="0" borderId="67" xfId="65" applyFont="1" applyBorder="1" applyAlignment="1">
      <alignment horizontal="left" vertical="center"/>
    </xf>
    <xf numFmtId="2" fontId="41" fillId="0" borderId="12" xfId="65" applyNumberFormat="1" applyFont="1" applyBorder="1" applyAlignment="1">
      <alignment horizontal="center" vertical="center"/>
    </xf>
    <xf numFmtId="0" fontId="41" fillId="0" borderId="12" xfId="65" applyFont="1" applyBorder="1" applyAlignment="1">
      <alignment horizontal="center" vertical="center"/>
    </xf>
    <xf numFmtId="0" fontId="41" fillId="0" borderId="19" xfId="65" applyFont="1" applyBorder="1" applyAlignment="1">
      <alignment horizontal="left" vertical="center"/>
    </xf>
    <xf numFmtId="0" fontId="41" fillId="0" borderId="10" xfId="65" applyFont="1" applyBorder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21" fillId="0" borderId="0" xfId="0" applyNumberFormat="1" applyFont="1"/>
    <xf numFmtId="4" fontId="41" fillId="0" borderId="12" xfId="65" applyNumberFormat="1" applyFont="1" applyBorder="1" applyAlignment="1">
      <alignment horizontal="center" vertical="center"/>
    </xf>
    <xf numFmtId="0" fontId="64" fillId="0" borderId="80" xfId="0" applyNumberFormat="1" applyFont="1" applyBorder="1" applyAlignment="1">
      <alignment vertical="top" wrapText="1"/>
    </xf>
    <xf numFmtId="0" fontId="64" fillId="0" borderId="80" xfId="0" applyNumberFormat="1" applyFont="1" applyBorder="1" applyAlignment="1">
      <alignment horizontal="center" vertical="top" wrapText="1"/>
    </xf>
    <xf numFmtId="189" fontId="21" fillId="0" borderId="10" xfId="0" applyNumberFormat="1" applyFont="1" applyBorder="1" applyAlignment="1">
      <alignment horizontal="center" vertical="center"/>
    </xf>
    <xf numFmtId="0" fontId="64" fillId="0" borderId="80" xfId="194" applyNumberFormat="1" applyFont="1" applyBorder="1" applyAlignment="1">
      <alignment horizontal="center" vertical="top" wrapText="1"/>
    </xf>
    <xf numFmtId="0" fontId="64" fillId="0" borderId="0" xfId="194" applyNumberFormat="1" applyFont="1" applyAlignment="1">
      <alignment horizontal="left" vertical="top"/>
    </xf>
    <xf numFmtId="2" fontId="41" fillId="0" borderId="0" xfId="65" applyNumberFormat="1" applyFont="1" applyAlignment="1">
      <alignment vertical="center"/>
    </xf>
    <xf numFmtId="49" fontId="33" fillId="0" borderId="10" xfId="43" applyNumberFormat="1" applyFont="1" applyBorder="1" applyAlignment="1">
      <alignment vertical="center" wrapText="1"/>
    </xf>
    <xf numFmtId="0" fontId="64" fillId="0" borderId="0" xfId="0" applyNumberFormat="1" applyFont="1" applyFill="1" applyAlignment="1"/>
    <xf numFmtId="186" fontId="41" fillId="0" borderId="10" xfId="65" applyNumberFormat="1" applyFont="1" applyBorder="1" applyAlignment="1">
      <alignment horizontal="center" vertical="center" wrapText="1"/>
    </xf>
    <xf numFmtId="186" fontId="41" fillId="0" borderId="82" xfId="65" applyNumberFormat="1" applyFont="1" applyBorder="1" applyAlignment="1">
      <alignment horizontal="center" vertical="center" wrapText="1"/>
    </xf>
    <xf numFmtId="0" fontId="41" fillId="0" borderId="0" xfId="65" applyFont="1" applyBorder="1" applyAlignment="1">
      <alignment horizontal="center" vertical="center"/>
    </xf>
    <xf numFmtId="0" fontId="65" fillId="0" borderId="0" xfId="194" applyNumberFormat="1" applyFont="1" applyBorder="1"/>
    <xf numFmtId="0" fontId="64" fillId="0" borderId="0" xfId="194" applyNumberFormat="1" applyFont="1" applyAlignment="1">
      <alignment vertical="top" wrapText="1"/>
    </xf>
    <xf numFmtId="186" fontId="0" fillId="0" borderId="0" xfId="0" applyNumberFormat="1"/>
    <xf numFmtId="0" fontId="41" fillId="0" borderId="13" xfId="65" applyFont="1" applyFill="1" applyBorder="1" applyAlignment="1">
      <alignment horizontal="left" vertical="center" wrapText="1"/>
    </xf>
    <xf numFmtId="0" fontId="40" fillId="0" borderId="0" xfId="65" applyFont="1" applyAlignment="1">
      <alignment horizontal="left" vertical="center" wrapText="1"/>
    </xf>
    <xf numFmtId="2" fontId="71" fillId="0" borderId="10" xfId="0" applyNumberFormat="1" applyFont="1" applyFill="1" applyBorder="1" applyAlignment="1">
      <alignment vertical="center"/>
    </xf>
    <xf numFmtId="0" fontId="64" fillId="0" borderId="0" xfId="0" applyNumberFormat="1" applyFont="1" applyAlignment="1">
      <alignment vertical="center"/>
    </xf>
    <xf numFmtId="0" fontId="21" fillId="0" borderId="0" xfId="0" applyNumberFormat="1" applyFont="1" applyAlignment="1">
      <alignment vertical="center"/>
    </xf>
    <xf numFmtId="49" fontId="41" fillId="0" borderId="0" xfId="65" applyNumberFormat="1" applyFont="1" applyAlignment="1">
      <alignment vertical="center"/>
    </xf>
    <xf numFmtId="2" fontId="41" fillId="0" borderId="0" xfId="65" applyNumberFormat="1" applyFont="1" applyAlignment="1">
      <alignment horizontal="center" vertical="center"/>
    </xf>
    <xf numFmtId="186" fontId="37" fillId="0" borderId="50" xfId="151" applyNumberFormat="1" applyFont="1" applyFill="1" applyBorder="1" applyAlignment="1">
      <alignment horizontal="center" vertical="center"/>
    </xf>
    <xf numFmtId="1" fontId="61" fillId="0" borderId="11" xfId="151" applyNumberFormat="1" applyFont="1" applyFill="1" applyBorder="1" applyAlignment="1">
      <alignment horizontal="center" vertical="center"/>
    </xf>
    <xf numFmtId="10" fontId="61" fillId="0" borderId="11" xfId="151" applyNumberFormat="1" applyFont="1" applyFill="1" applyBorder="1" applyAlignment="1">
      <alignment horizontal="right" vertical="center"/>
    </xf>
    <xf numFmtId="0" fontId="37" fillId="0" borderId="57" xfId="151" applyFont="1" applyFill="1" applyBorder="1" applyAlignment="1">
      <alignment horizontal="center" vertical="center"/>
    </xf>
    <xf numFmtId="164" fontId="37" fillId="0" borderId="57" xfId="152" applyFont="1" applyFill="1" applyBorder="1" applyAlignment="1">
      <alignment vertical="center"/>
    </xf>
    <xf numFmtId="1" fontId="37" fillId="0" borderId="57" xfId="151" applyNumberFormat="1" applyFont="1" applyFill="1" applyBorder="1" applyAlignment="1">
      <alignment horizontal="center" vertical="center"/>
    </xf>
    <xf numFmtId="37" fontId="37" fillId="0" borderId="57" xfId="151" applyNumberFormat="1" applyFont="1" applyFill="1" applyBorder="1" applyAlignment="1">
      <alignment horizontal="center" vertical="center"/>
    </xf>
    <xf numFmtId="39" fontId="37" fillId="0" borderId="57" xfId="151" applyNumberFormat="1" applyFont="1" applyFill="1" applyBorder="1" applyAlignment="1">
      <alignment horizontal="center" vertical="center"/>
    </xf>
    <xf numFmtId="1" fontId="70" fillId="0" borderId="0" xfId="0" applyNumberFormat="1" applyFont="1" applyFill="1" applyBorder="1" applyAlignment="1">
      <alignment vertical="center"/>
    </xf>
    <xf numFmtId="0" fontId="70" fillId="36" borderId="25" xfId="0" applyFont="1" applyFill="1" applyBorder="1" applyAlignment="1">
      <alignment horizontal="center" vertical="center"/>
    </xf>
    <xf numFmtId="0" fontId="70" fillId="36" borderId="18" xfId="0" applyFont="1" applyFill="1" applyBorder="1" applyAlignment="1">
      <alignment horizontal="center" vertical="center"/>
    </xf>
    <xf numFmtId="49" fontId="70" fillId="36" borderId="17" xfId="43" applyNumberFormat="1" applyFont="1" applyFill="1" applyBorder="1" applyAlignment="1">
      <alignment vertical="center" wrapText="1"/>
    </xf>
    <xf numFmtId="43" fontId="70" fillId="36" borderId="26" xfId="43" applyFont="1" applyFill="1" applyBorder="1" applyAlignment="1">
      <alignment horizontal="right" vertical="center"/>
    </xf>
    <xf numFmtId="4" fontId="70" fillId="36" borderId="18" xfId="43" applyNumberFormat="1" applyFont="1" applyFill="1" applyBorder="1" applyAlignment="1">
      <alignment horizontal="center" vertical="center"/>
    </xf>
    <xf numFmtId="4" fontId="70" fillId="36" borderId="18" xfId="43" applyNumberFormat="1" applyFont="1" applyFill="1" applyBorder="1" applyAlignment="1">
      <alignment horizontal="right" vertical="center"/>
    </xf>
    <xf numFmtId="43" fontId="70" fillId="36" borderId="18" xfId="43" applyFont="1" applyFill="1" applyBorder="1" applyAlignment="1">
      <alignment horizontal="right" vertical="center"/>
    </xf>
    <xf numFmtId="43" fontId="71" fillId="0" borderId="12" xfId="43" applyFont="1" applyFill="1" applyBorder="1" applyAlignment="1">
      <alignment horizontal="right" vertical="center"/>
    </xf>
    <xf numFmtId="0" fontId="71" fillId="0" borderId="68" xfId="0" applyFont="1" applyFill="1" applyBorder="1" applyAlignment="1">
      <alignment horizontal="center" vertical="center"/>
    </xf>
    <xf numFmtId="0" fontId="89" fillId="0" borderId="0" xfId="197"/>
    <xf numFmtId="196" fontId="0" fillId="0" borderId="0" xfId="0" applyNumberFormat="1"/>
    <xf numFmtId="6" fontId="0" fillId="0" borderId="0" xfId="0" applyNumberFormat="1"/>
    <xf numFmtId="8" fontId="0" fillId="0" borderId="0" xfId="0" applyNumberFormat="1"/>
    <xf numFmtId="196" fontId="0" fillId="0" borderId="15" xfId="0" applyNumberFormat="1" applyBorder="1"/>
    <xf numFmtId="49" fontId="42" fillId="0" borderId="47" xfId="151" applyNumberFormat="1" applyFont="1" applyFill="1" applyBorder="1" applyAlignment="1">
      <alignment horizontal="center" vertical="center"/>
    </xf>
    <xf numFmtId="49" fontId="62" fillId="0" borderId="15" xfId="151" applyNumberFormat="1" applyFont="1" applyFill="1" applyBorder="1" applyAlignment="1">
      <alignment horizontal="center" vertical="center"/>
    </xf>
    <xf numFmtId="164" fontId="42" fillId="0" borderId="15" xfId="152" applyFont="1" applyFill="1" applyBorder="1" applyAlignment="1">
      <alignment horizontal="left" vertical="center"/>
    </xf>
    <xf numFmtId="172" fontId="57" fillId="0" borderId="15" xfId="151" applyNumberFormat="1" applyFont="1" applyFill="1" applyBorder="1" applyAlignment="1">
      <alignment horizontal="right" vertical="center"/>
    </xf>
    <xf numFmtId="4" fontId="57" fillId="0" borderId="15" xfId="151" applyNumberFormat="1" applyFont="1" applyFill="1" applyBorder="1" applyAlignment="1">
      <alignment vertical="center"/>
    </xf>
    <xf numFmtId="4" fontId="57" fillId="0" borderId="53" xfId="151" applyNumberFormat="1" applyFont="1" applyFill="1" applyBorder="1" applyAlignment="1">
      <alignment vertical="center"/>
    </xf>
    <xf numFmtId="49" fontId="37" fillId="0" borderId="58" xfId="151" applyNumberFormat="1" applyFont="1" applyFill="1" applyBorder="1" applyAlignment="1">
      <alignment horizontal="center" vertical="center"/>
    </xf>
    <xf numFmtId="164" fontId="38" fillId="0" borderId="58" xfId="152" applyFont="1" applyFill="1" applyBorder="1" applyAlignment="1">
      <alignment horizontal="left" vertical="center"/>
    </xf>
    <xf numFmtId="172" fontId="37" fillId="0" borderId="58" xfId="151" applyNumberFormat="1" applyFont="1" applyFill="1" applyBorder="1" applyAlignment="1">
      <alignment horizontal="right" vertical="center"/>
    </xf>
    <xf numFmtId="172" fontId="37" fillId="0" borderId="58" xfId="151" applyNumberFormat="1" applyFont="1" applyFill="1" applyBorder="1" applyAlignment="1">
      <alignment horizontal="center" vertical="center"/>
    </xf>
    <xf numFmtId="4" fontId="37" fillId="0" borderId="58" xfId="151" applyNumberFormat="1" applyFont="1" applyFill="1" applyBorder="1" applyAlignment="1">
      <alignment vertical="center"/>
    </xf>
    <xf numFmtId="164" fontId="37" fillId="0" borderId="101" xfId="152" applyFont="1" applyFill="1" applyBorder="1" applyAlignment="1">
      <alignment vertical="center"/>
    </xf>
    <xf numFmtId="1" fontId="37" fillId="0" borderId="102" xfId="151" applyNumberFormat="1" applyFont="1" applyFill="1" applyBorder="1" applyAlignment="1">
      <alignment horizontal="center" vertical="center"/>
    </xf>
    <xf numFmtId="37" fontId="37" fillId="0" borderId="102" xfId="151" applyNumberFormat="1" applyFont="1" applyFill="1" applyBorder="1" applyAlignment="1">
      <alignment horizontal="center" vertical="center"/>
    </xf>
    <xf numFmtId="0" fontId="37" fillId="0" borderId="102" xfId="151" applyFont="1" applyFill="1" applyBorder="1" applyAlignment="1">
      <alignment horizontal="center" vertical="center"/>
    </xf>
    <xf numFmtId="186" fontId="37" fillId="0" borderId="102" xfId="151" applyNumberFormat="1" applyFont="1" applyFill="1" applyBorder="1" applyAlignment="1">
      <alignment horizontal="center" vertical="center"/>
    </xf>
    <xf numFmtId="39" fontId="37" fillId="0" borderId="102" xfId="151" applyNumberFormat="1" applyFont="1" applyFill="1" applyBorder="1" applyAlignment="1">
      <alignment horizontal="center" vertical="center"/>
    </xf>
    <xf numFmtId="4" fontId="37" fillId="0" borderId="103" xfId="151" applyNumberFormat="1" applyFont="1" applyFill="1" applyBorder="1" applyAlignment="1">
      <alignment horizontal="center" vertical="center"/>
    </xf>
    <xf numFmtId="164" fontId="37" fillId="0" borderId="14" xfId="152" applyFont="1" applyFill="1" applyBorder="1" applyAlignment="1">
      <alignment vertical="center"/>
    </xf>
    <xf numFmtId="1" fontId="37" fillId="0" borderId="10" xfId="151" applyNumberFormat="1" applyFont="1" applyFill="1" applyBorder="1" applyAlignment="1">
      <alignment horizontal="center" vertical="center"/>
    </xf>
    <xf numFmtId="37" fontId="37" fillId="0" borderId="10" xfId="151" applyNumberFormat="1" applyFont="1" applyFill="1" applyBorder="1" applyAlignment="1">
      <alignment horizontal="center" vertical="center"/>
    </xf>
    <xf numFmtId="0" fontId="37" fillId="0" borderId="10" xfId="151" applyFont="1" applyFill="1" applyBorder="1" applyAlignment="1">
      <alignment horizontal="center" vertical="center"/>
    </xf>
    <xf numFmtId="4" fontId="37" fillId="0" borderId="10" xfId="151" applyNumberFormat="1" applyFont="1" applyFill="1" applyBorder="1" applyAlignment="1">
      <alignment vertical="center"/>
    </xf>
    <xf numFmtId="39" fontId="37" fillId="0" borderId="10" xfId="151" applyNumberFormat="1" applyFont="1" applyFill="1" applyBorder="1" applyAlignment="1">
      <alignment horizontal="center" vertical="center"/>
    </xf>
    <xf numFmtId="4" fontId="37" fillId="0" borderId="63" xfId="151" applyNumberFormat="1" applyFont="1" applyFill="1" applyBorder="1" applyAlignment="1">
      <alignment horizontal="center" vertical="center"/>
    </xf>
    <xf numFmtId="0" fontId="37" fillId="0" borderId="91" xfId="151" applyFont="1" applyFill="1" applyBorder="1" applyAlignment="1">
      <alignment horizontal="center" vertical="center"/>
    </xf>
    <xf numFmtId="4" fontId="37" fillId="0" borderId="91" xfId="151" applyNumberFormat="1" applyFont="1" applyFill="1" applyBorder="1" applyAlignment="1">
      <alignment vertical="center"/>
    </xf>
    <xf numFmtId="39" fontId="37" fillId="0" borderId="91" xfId="151" applyNumberFormat="1" applyFont="1" applyFill="1" applyBorder="1" applyAlignment="1">
      <alignment horizontal="center" vertical="center"/>
    </xf>
    <xf numFmtId="4" fontId="37" fillId="0" borderId="105" xfId="151" applyNumberFormat="1" applyFont="1" applyFill="1" applyBorder="1" applyAlignment="1">
      <alignment horizontal="center" vertical="center"/>
    </xf>
    <xf numFmtId="49" fontId="37" fillId="0" borderId="101" xfId="151" applyNumberFormat="1" applyFont="1" applyFill="1" applyBorder="1" applyAlignment="1">
      <alignment horizontal="center" vertical="center"/>
    </xf>
    <xf numFmtId="0" fontId="37" fillId="0" borderId="63" xfId="151" applyFont="1" applyFill="1" applyBorder="1" applyAlignment="1">
      <alignment horizontal="center" vertical="center" wrapText="1"/>
    </xf>
    <xf numFmtId="49" fontId="37" fillId="0" borderId="104" xfId="151" applyNumberFormat="1" applyFont="1" applyFill="1" applyBorder="1" applyAlignment="1">
      <alignment vertical="center"/>
    </xf>
    <xf numFmtId="49" fontId="37" fillId="0" borderId="63" xfId="151" applyNumberFormat="1" applyFont="1" applyFill="1" applyBorder="1" applyAlignment="1">
      <alignment horizontal="center" vertical="center"/>
    </xf>
    <xf numFmtId="2" fontId="0" fillId="0" borderId="0" xfId="0" applyNumberFormat="1"/>
    <xf numFmtId="2" fontId="18" fillId="0" borderId="15" xfId="0" applyNumberFormat="1" applyFont="1" applyBorder="1"/>
    <xf numFmtId="164" fontId="37" fillId="0" borderId="104" xfId="152" applyFont="1" applyFill="1" applyBorder="1" applyAlignment="1">
      <alignment vertical="center"/>
    </xf>
    <xf numFmtId="0" fontId="37" fillId="0" borderId="105" xfId="151" applyFont="1" applyFill="1" applyBorder="1" applyAlignment="1">
      <alignment horizontal="center" vertical="center" wrapText="1"/>
    </xf>
    <xf numFmtId="0" fontId="41" fillId="0" borderId="13" xfId="65" applyFont="1" applyBorder="1" applyAlignment="1">
      <alignment horizontal="left" vertical="center" wrapText="1"/>
    </xf>
    <xf numFmtId="0" fontId="41" fillId="0" borderId="10" xfId="65" applyFont="1" applyBorder="1" applyAlignment="1">
      <alignment horizontal="center" vertical="center"/>
    </xf>
    <xf numFmtId="184" fontId="41" fillId="0" borderId="13" xfId="65" applyNumberFormat="1" applyFont="1" applyBorder="1" applyAlignment="1">
      <alignment horizontal="center" vertical="center"/>
    </xf>
    <xf numFmtId="0" fontId="41" fillId="0" borderId="13" xfId="65" applyFont="1" applyBorder="1" applyAlignment="1">
      <alignment horizontal="center" vertical="center" wrapText="1"/>
    </xf>
    <xf numFmtId="0" fontId="21" fillId="0" borderId="68" xfId="0" applyFont="1" applyBorder="1" applyAlignment="1">
      <alignment horizontal="left" vertical="center" wrapText="1"/>
    </xf>
    <xf numFmtId="0" fontId="41" fillId="0" borderId="19" xfId="65" applyFont="1" applyFill="1" applyBorder="1" applyAlignment="1">
      <alignment horizontal="left" vertical="center"/>
    </xf>
    <xf numFmtId="0" fontId="41" fillId="0" borderId="19" xfId="65" applyFont="1" applyBorder="1" applyAlignment="1">
      <alignment horizontal="left" vertical="center"/>
    </xf>
    <xf numFmtId="4" fontId="71" fillId="42" borderId="10" xfId="43" applyNumberFormat="1" applyFont="1" applyFill="1" applyBorder="1" applyAlignment="1">
      <alignment horizontal="center" vertical="center"/>
    </xf>
    <xf numFmtId="0" fontId="41" fillId="0" borderId="13" xfId="65" applyFont="1" applyBorder="1" applyAlignment="1">
      <alignment horizontal="left" vertical="center" wrapText="1"/>
    </xf>
    <xf numFmtId="0" fontId="41" fillId="0" borderId="10" xfId="65" applyFont="1" applyBorder="1" applyAlignment="1">
      <alignment horizontal="center" vertical="center"/>
    </xf>
    <xf numFmtId="0" fontId="41" fillId="0" borderId="13" xfId="65" applyFont="1" applyBorder="1" applyAlignment="1">
      <alignment horizontal="center" vertical="center" wrapText="1"/>
    </xf>
    <xf numFmtId="0" fontId="21" fillId="0" borderId="68" xfId="0" applyFont="1" applyBorder="1" applyAlignment="1">
      <alignment horizontal="left" vertical="center" wrapText="1"/>
    </xf>
    <xf numFmtId="0" fontId="41" fillId="0" borderId="19" xfId="65" applyFont="1" applyFill="1" applyBorder="1" applyAlignment="1">
      <alignment horizontal="left" vertical="center"/>
    </xf>
    <xf numFmtId="0" fontId="41" fillId="0" borderId="19" xfId="65" applyFont="1" applyBorder="1" applyAlignment="1">
      <alignment horizontal="left" vertical="center"/>
    </xf>
    <xf numFmtId="0" fontId="41" fillId="0" borderId="13" xfId="65" applyFont="1" applyBorder="1" applyAlignment="1">
      <alignment horizontal="left" vertical="center" wrapText="1"/>
    </xf>
    <xf numFmtId="0" fontId="41" fillId="0" borderId="13" xfId="65" applyFont="1" applyBorder="1" applyAlignment="1">
      <alignment horizontal="center" vertical="center" wrapText="1"/>
    </xf>
    <xf numFmtId="184" fontId="41" fillId="0" borderId="13" xfId="65" applyNumberFormat="1" applyFont="1" applyBorder="1" applyAlignment="1">
      <alignment horizontal="center" vertical="center"/>
    </xf>
    <xf numFmtId="184" fontId="41" fillId="0" borderId="13" xfId="65" applyNumberFormat="1" applyFont="1" applyFill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/>
    </xf>
    <xf numFmtId="189" fontId="41" fillId="0" borderId="13" xfId="65" applyNumberFormat="1" applyFont="1" applyFill="1" applyBorder="1" applyAlignment="1">
      <alignment horizontal="center" vertical="center"/>
    </xf>
    <xf numFmtId="0" fontId="41" fillId="0" borderId="19" xfId="65" applyFont="1" applyBorder="1" applyAlignment="1">
      <alignment horizontal="left" vertical="center"/>
    </xf>
    <xf numFmtId="0" fontId="41" fillId="0" borderId="10" xfId="65" applyFont="1" applyBorder="1" applyAlignment="1">
      <alignment horizontal="left" vertical="center" wrapText="1"/>
    </xf>
    <xf numFmtId="184" fontId="41" fillId="0" borderId="10" xfId="65" applyNumberFormat="1" applyFont="1" applyBorder="1" applyAlignment="1">
      <alignment horizontal="center" vertical="center"/>
    </xf>
    <xf numFmtId="0" fontId="21" fillId="0" borderId="68" xfId="0" applyFont="1" applyBorder="1" applyAlignment="1">
      <alignment horizontal="left" vertical="center" wrapText="1"/>
    </xf>
    <xf numFmtId="0" fontId="41" fillId="0" borderId="19" xfId="65" applyFont="1" applyFill="1" applyBorder="1" applyAlignment="1">
      <alignment horizontal="left" vertical="center"/>
    </xf>
    <xf numFmtId="0" fontId="40" fillId="0" borderId="0" xfId="65" applyFont="1" applyAlignment="1">
      <alignment horizontal="left" vertical="center" wrapText="1"/>
    </xf>
    <xf numFmtId="49" fontId="37" fillId="0" borderId="106" xfId="151" applyNumberFormat="1" applyFont="1" applyFill="1" applyBorder="1" applyAlignment="1">
      <alignment vertical="center"/>
    </xf>
    <xf numFmtId="49" fontId="37" fillId="0" borderId="82" xfId="151" applyNumberFormat="1" applyFont="1" applyFill="1" applyBorder="1" applyAlignment="1">
      <alignment vertical="center"/>
    </xf>
    <xf numFmtId="49" fontId="37" fillId="0" borderId="56" xfId="151" applyNumberFormat="1" applyFont="1" applyFill="1" applyBorder="1" applyAlignment="1">
      <alignment vertical="center"/>
    </xf>
    <xf numFmtId="49" fontId="37" fillId="0" borderId="73" xfId="151" applyNumberFormat="1" applyFont="1" applyFill="1" applyBorder="1" applyAlignment="1">
      <alignment vertical="center"/>
    </xf>
    <xf numFmtId="0" fontId="37" fillId="0" borderId="56" xfId="151" applyFont="1" applyFill="1" applyBorder="1" applyAlignment="1">
      <alignment vertical="center"/>
    </xf>
    <xf numFmtId="0" fontId="37" fillId="0" borderId="73" xfId="151" applyFont="1" applyFill="1" applyBorder="1" applyAlignment="1">
      <alignment vertical="center"/>
    </xf>
    <xf numFmtId="172" fontId="37" fillId="0" borderId="56" xfId="151" applyNumberFormat="1" applyFont="1" applyFill="1" applyBorder="1" applyAlignment="1">
      <alignment vertical="center"/>
    </xf>
    <xf numFmtId="4" fontId="37" fillId="0" borderId="56" xfId="151" applyNumberFormat="1" applyFont="1" applyFill="1" applyBorder="1" applyAlignment="1">
      <alignment vertical="center"/>
    </xf>
    <xf numFmtId="172" fontId="37" fillId="0" borderId="73" xfId="151" applyNumberFormat="1" applyFont="1" applyFill="1" applyBorder="1" applyAlignment="1">
      <alignment vertical="center"/>
    </xf>
    <xf numFmtId="4" fontId="37" fillId="0" borderId="73" xfId="151" applyNumberFormat="1" applyFont="1" applyFill="1" applyBorder="1" applyAlignment="1">
      <alignment vertical="center"/>
    </xf>
    <xf numFmtId="4" fontId="38" fillId="0" borderId="0" xfId="151" applyNumberFormat="1" applyFont="1" applyFill="1" applyAlignment="1">
      <alignment vertical="center"/>
    </xf>
    <xf numFmtId="0" fontId="33" fillId="0" borderId="10" xfId="65" applyFont="1" applyFill="1" applyBorder="1" applyAlignment="1">
      <alignment horizontal="left" vertical="center" wrapText="1"/>
    </xf>
    <xf numFmtId="4" fontId="90" fillId="0" borderId="85" xfId="0" applyNumberFormat="1" applyFont="1" applyFill="1" applyBorder="1" applyAlignment="1">
      <alignment horizontal="right" vertical="center"/>
    </xf>
    <xf numFmtId="4" fontId="71" fillId="0" borderId="73" xfId="0" applyNumberFormat="1" applyFont="1" applyFill="1" applyBorder="1" applyAlignment="1">
      <alignment horizontal="center" vertical="center"/>
    </xf>
    <xf numFmtId="43" fontId="70" fillId="0" borderId="73" xfId="43" applyFont="1" applyFill="1" applyBorder="1" applyAlignment="1">
      <alignment horizontal="right" vertical="center" wrapText="1"/>
    </xf>
    <xf numFmtId="0" fontId="71" fillId="0" borderId="73" xfId="0" applyFont="1" applyFill="1" applyBorder="1" applyAlignment="1">
      <alignment horizontal="center" vertical="center" wrapText="1"/>
    </xf>
    <xf numFmtId="0" fontId="71" fillId="0" borderId="72" xfId="0" applyFont="1" applyBorder="1" applyAlignment="1">
      <alignment horizontal="center" vertical="center"/>
    </xf>
    <xf numFmtId="0" fontId="71" fillId="0" borderId="73" xfId="0" applyFont="1" applyBorder="1" applyAlignment="1">
      <alignment vertical="center"/>
    </xf>
    <xf numFmtId="2" fontId="71" fillId="0" borderId="73" xfId="0" applyNumberFormat="1" applyFont="1" applyBorder="1" applyAlignment="1">
      <alignment horizontal="right" vertical="center"/>
    </xf>
    <xf numFmtId="0" fontId="70" fillId="0" borderId="73" xfId="0" applyFont="1" applyBorder="1" applyAlignment="1">
      <alignment horizontal="right" vertical="center"/>
    </xf>
    <xf numFmtId="43" fontId="70" fillId="0" borderId="74" xfId="0" applyNumberFormat="1" applyFont="1" applyBorder="1" applyAlignment="1">
      <alignment vertical="center"/>
    </xf>
    <xf numFmtId="0" fontId="71" fillId="0" borderId="73" xfId="0" applyFont="1" applyBorder="1" applyAlignment="1">
      <alignment horizontal="center" vertical="center" wrapText="1"/>
    </xf>
    <xf numFmtId="2" fontId="71" fillId="0" borderId="80" xfId="0" applyNumberFormat="1" applyFont="1" applyBorder="1" applyAlignment="1">
      <alignment horizontal="center" vertical="center"/>
    </xf>
    <xf numFmtId="0" fontId="71" fillId="0" borderId="80" xfId="0" applyFont="1" applyBorder="1" applyAlignment="1">
      <alignment vertical="center"/>
    </xf>
    <xf numFmtId="186" fontId="71" fillId="0" borderId="80" xfId="0" applyNumberFormat="1" applyFont="1" applyFill="1" applyBorder="1" applyAlignment="1">
      <alignment horizontal="right" vertical="center"/>
    </xf>
    <xf numFmtId="0" fontId="70" fillId="0" borderId="73" xfId="0" applyFont="1" applyBorder="1" applyAlignment="1">
      <alignment horizontal="right" vertical="center" wrapText="1"/>
    </xf>
    <xf numFmtId="43" fontId="70" fillId="0" borderId="80" xfId="43" applyFont="1" applyFill="1" applyBorder="1" applyAlignment="1">
      <alignment horizontal="right" vertical="center" wrapText="1"/>
    </xf>
    <xf numFmtId="0" fontId="79" fillId="0" borderId="73" xfId="0" applyFont="1" applyBorder="1" applyAlignment="1">
      <alignment horizontal="center" vertical="center" wrapText="1"/>
    </xf>
    <xf numFmtId="43" fontId="70" fillId="0" borderId="73" xfId="43" applyFont="1" applyBorder="1" applyAlignment="1">
      <alignment horizontal="right" vertical="center" wrapText="1"/>
    </xf>
    <xf numFmtId="0" fontId="71" fillId="0" borderId="79" xfId="0" applyFont="1" applyBorder="1" applyAlignment="1">
      <alignment horizontal="center" vertical="center"/>
    </xf>
    <xf numFmtId="43" fontId="71" fillId="0" borderId="0" xfId="43" applyFont="1" applyBorder="1" applyAlignment="1">
      <alignment horizontal="left" vertical="center"/>
    </xf>
    <xf numFmtId="43" fontId="70" fillId="0" borderId="73" xfId="43" applyFont="1" applyBorder="1" applyAlignment="1">
      <alignment horizontal="right" vertical="center"/>
    </xf>
    <xf numFmtId="43" fontId="70" fillId="0" borderId="74" xfId="43" applyFont="1" applyBorder="1" applyAlignment="1">
      <alignment horizontal="right" vertical="center"/>
    </xf>
    <xf numFmtId="43" fontId="70" fillId="0" borderId="81" xfId="43" applyFont="1" applyBorder="1" applyAlignment="1">
      <alignment horizontal="right" vertical="center"/>
    </xf>
    <xf numFmtId="186" fontId="70" fillId="0" borderId="81" xfId="0" applyNumberFormat="1" applyFont="1" applyBorder="1" applyAlignment="1">
      <alignment vertical="center"/>
    </xf>
    <xf numFmtId="0" fontId="71" fillId="37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91" fillId="0" borderId="0" xfId="0" applyFont="1" applyAlignment="1">
      <alignment horizontal="center"/>
    </xf>
    <xf numFmtId="4" fontId="71" fillId="0" borderId="13" xfId="0" applyNumberFormat="1" applyFont="1" applyFill="1" applyBorder="1" applyAlignment="1">
      <alignment horizontal="right" vertical="center"/>
    </xf>
    <xf numFmtId="6" fontId="41" fillId="0" borderId="0" xfId="65" applyNumberFormat="1" applyFont="1" applyAlignment="1">
      <alignment vertical="center"/>
    </xf>
    <xf numFmtId="8" fontId="41" fillId="0" borderId="0" xfId="65" applyNumberFormat="1" applyFont="1" applyAlignment="1">
      <alignment vertical="center"/>
    </xf>
    <xf numFmtId="184" fontId="41" fillId="0" borderId="80" xfId="65" applyNumberFormat="1" applyFont="1" applyBorder="1" applyAlignment="1">
      <alignment horizontal="right" vertical="center"/>
    </xf>
    <xf numFmtId="184" fontId="41" fillId="0" borderId="19" xfId="65" applyNumberFormat="1" applyFont="1" applyBorder="1" applyAlignment="1">
      <alignment horizontal="right" vertical="center"/>
    </xf>
    <xf numFmtId="184" fontId="41" fillId="0" borderId="0" xfId="65" applyNumberFormat="1" applyFont="1" applyAlignment="1">
      <alignment horizontal="left" vertical="center"/>
    </xf>
    <xf numFmtId="4" fontId="70" fillId="0" borderId="107" xfId="0" applyNumberFormat="1" applyFont="1" applyBorder="1" applyAlignment="1">
      <alignment vertical="center" wrapText="1"/>
    </xf>
    <xf numFmtId="4" fontId="70" fillId="0" borderId="35" xfId="0" applyNumberFormat="1" applyFont="1" applyBorder="1" applyAlignment="1">
      <alignment horizontal="centerContinuous" vertical="center"/>
    </xf>
    <xf numFmtId="43" fontId="71" fillId="0" borderId="13" xfId="43" applyFont="1" applyFill="1" applyBorder="1" applyAlignment="1">
      <alignment vertical="center" wrapText="1"/>
    </xf>
    <xf numFmtId="43" fontId="71" fillId="0" borderId="19" xfId="43" applyFont="1" applyFill="1" applyBorder="1" applyAlignment="1">
      <alignment vertical="center" wrapText="1"/>
    </xf>
    <xf numFmtId="49" fontId="33" fillId="0" borderId="10" xfId="43" applyNumberFormat="1" applyFont="1" applyFill="1" applyBorder="1" applyAlignment="1">
      <alignment vertical="center" wrapText="1"/>
    </xf>
    <xf numFmtId="184" fontId="41" fillId="0" borderId="13" xfId="65" applyNumberFormat="1" applyFont="1" applyBorder="1" applyAlignment="1">
      <alignment horizontal="center" vertical="center"/>
    </xf>
    <xf numFmtId="4" fontId="2" fillId="0" borderId="50" xfId="0" applyNumberFormat="1" applyFont="1" applyFill="1" applyBorder="1" applyAlignment="1">
      <alignment horizontal="center" vertical="center"/>
    </xf>
    <xf numFmtId="49" fontId="2" fillId="0" borderId="50" xfId="43" applyNumberFormat="1" applyFont="1" applyFill="1" applyBorder="1" applyAlignment="1">
      <alignment vertical="center" wrapText="1"/>
    </xf>
    <xf numFmtId="43" fontId="2" fillId="0" borderId="50" xfId="43" applyFont="1" applyFill="1" applyBorder="1" applyAlignment="1">
      <alignment vertical="center"/>
    </xf>
    <xf numFmtId="10" fontId="2" fillId="0" borderId="50" xfId="147" applyNumberFormat="1" applyFont="1" applyFill="1" applyBorder="1" applyAlignment="1">
      <alignment horizontal="right" vertical="center" indent="1"/>
    </xf>
    <xf numFmtId="43" fontId="1" fillId="0" borderId="50" xfId="43" applyFont="1" applyFill="1" applyBorder="1" applyAlignment="1">
      <alignment vertical="center"/>
    </xf>
    <xf numFmtId="10" fontId="1" fillId="0" borderId="50" xfId="147" applyNumberFormat="1" applyFont="1" applyFill="1" applyBorder="1" applyAlignment="1">
      <alignment horizontal="right" vertical="center" indent="1"/>
    </xf>
    <xf numFmtId="43" fontId="58" fillId="0" borderId="45" xfId="43" applyFont="1" applyBorder="1" applyAlignment="1">
      <alignment horizontal="centerContinuous" vertical="top"/>
    </xf>
    <xf numFmtId="43" fontId="58" fillId="0" borderId="0" xfId="43" applyFont="1" applyBorder="1" applyAlignment="1">
      <alignment horizontal="centerContinuous" vertical="top"/>
    </xf>
    <xf numFmtId="4" fontId="1" fillId="0" borderId="0" xfId="0" applyNumberFormat="1" applyFont="1" applyBorder="1" applyAlignment="1">
      <alignment vertical="top"/>
    </xf>
    <xf numFmtId="43" fontId="1" fillId="37" borderId="11" xfId="43" applyFont="1" applyFill="1" applyBorder="1" applyAlignment="1">
      <alignment vertical="center"/>
    </xf>
    <xf numFmtId="10" fontId="1" fillId="37" borderId="11" xfId="147" applyNumberFormat="1" applyFont="1" applyFill="1" applyBorder="1" applyAlignment="1">
      <alignment horizontal="right" vertical="center" indent="1"/>
    </xf>
    <xf numFmtId="0" fontId="41" fillId="0" borderId="13" xfId="65" applyFont="1" applyBorder="1" applyAlignment="1">
      <alignment horizontal="left" vertical="center" wrapText="1"/>
    </xf>
    <xf numFmtId="0" fontId="41" fillId="0" borderId="10" xfId="65" applyFont="1" applyBorder="1" applyAlignment="1">
      <alignment horizontal="center" vertical="center"/>
    </xf>
    <xf numFmtId="184" fontId="41" fillId="0" borderId="13" xfId="65" applyNumberFormat="1" applyFont="1" applyBorder="1" applyAlignment="1">
      <alignment horizontal="center" vertical="center"/>
    </xf>
    <xf numFmtId="0" fontId="41" fillId="0" borderId="13" xfId="65" applyFont="1" applyBorder="1" applyAlignment="1">
      <alignment horizontal="center" vertical="center" wrapText="1"/>
    </xf>
    <xf numFmtId="0" fontId="21" fillId="0" borderId="68" xfId="0" applyFont="1" applyBorder="1" applyAlignment="1">
      <alignment horizontal="left" vertical="center" wrapText="1"/>
    </xf>
    <xf numFmtId="184" fontId="41" fillId="0" borderId="10" xfId="65" applyNumberFormat="1" applyFont="1" applyBorder="1" applyAlignment="1">
      <alignment horizontal="center" vertical="center"/>
    </xf>
    <xf numFmtId="0" fontId="41" fillId="0" borderId="19" xfId="65" applyFont="1" applyBorder="1" applyAlignment="1">
      <alignment horizontal="left" vertical="center"/>
    </xf>
    <xf numFmtId="0" fontId="40" fillId="0" borderId="0" xfId="65" applyFont="1" applyAlignment="1">
      <alignment horizontal="left" vertical="center" wrapText="1"/>
    </xf>
    <xf numFmtId="186" fontId="71" fillId="0" borderId="0" xfId="0" applyNumberFormat="1" applyFont="1" applyAlignment="1">
      <alignment horizontal="center" vertical="center"/>
    </xf>
    <xf numFmtId="0" fontId="64" fillId="0" borderId="0" xfId="73" applyNumberFormat="1" applyFont="1" applyAlignment="1">
      <alignment vertical="center"/>
    </xf>
    <xf numFmtId="0" fontId="37" fillId="0" borderId="103" xfId="151" applyFont="1" applyFill="1" applyBorder="1" applyAlignment="1">
      <alignment horizontal="center" vertical="center"/>
    </xf>
    <xf numFmtId="0" fontId="37" fillId="0" borderId="0" xfId="151" applyFont="1" applyFill="1" applyAlignment="1">
      <alignment horizontal="right" vertical="center"/>
    </xf>
    <xf numFmtId="4" fontId="38" fillId="0" borderId="0" xfId="151" applyNumberFormat="1" applyFont="1" applyFill="1" applyBorder="1" applyAlignment="1">
      <alignment vertical="center"/>
    </xf>
    <xf numFmtId="49" fontId="37" fillId="0" borderId="90" xfId="151" applyNumberFormat="1" applyFont="1" applyFill="1" applyBorder="1" applyAlignment="1">
      <alignment vertical="center"/>
    </xf>
    <xf numFmtId="49" fontId="37" fillId="0" borderId="80" xfId="151" applyNumberFormat="1" applyFont="1" applyFill="1" applyBorder="1" applyAlignment="1">
      <alignment vertical="center"/>
    </xf>
    <xf numFmtId="0" fontId="37" fillId="0" borderId="80" xfId="151" applyFont="1" applyFill="1" applyBorder="1" applyAlignment="1">
      <alignment vertical="center"/>
    </xf>
    <xf numFmtId="172" fontId="37" fillId="0" borderId="80" xfId="151" applyNumberFormat="1" applyFont="1" applyFill="1" applyBorder="1" applyAlignment="1">
      <alignment vertical="center"/>
    </xf>
    <xf numFmtId="4" fontId="37" fillId="0" borderId="80" xfId="151" applyNumberFormat="1" applyFont="1" applyFill="1" applyBorder="1" applyAlignment="1">
      <alignment vertical="center"/>
    </xf>
    <xf numFmtId="49" fontId="37" fillId="0" borderId="14" xfId="151" applyNumberFormat="1" applyFont="1" applyFill="1" applyBorder="1" applyAlignment="1">
      <alignment horizontal="center" vertical="center"/>
    </xf>
    <xf numFmtId="49" fontId="37" fillId="0" borderId="108" xfId="151" applyNumberFormat="1" applyFont="1" applyFill="1" applyBorder="1" applyAlignment="1">
      <alignment horizontal="center" vertical="center"/>
    </xf>
    <xf numFmtId="164" fontId="38" fillId="0" borderId="108" xfId="152" applyFont="1" applyFill="1" applyBorder="1" applyAlignment="1">
      <alignment horizontal="left" vertical="center"/>
    </xf>
    <xf numFmtId="172" fontId="37" fillId="0" borderId="108" xfId="151" applyNumberFormat="1" applyFont="1" applyFill="1" applyBorder="1" applyAlignment="1">
      <alignment horizontal="right" vertical="center"/>
    </xf>
    <xf numFmtId="172" fontId="37" fillId="0" borderId="108" xfId="151" applyNumberFormat="1" applyFont="1" applyFill="1" applyBorder="1" applyAlignment="1">
      <alignment horizontal="center" vertical="center"/>
    </xf>
    <xf numFmtId="3" fontId="37" fillId="0" borderId="108" xfId="151" applyNumberFormat="1" applyFont="1" applyFill="1" applyBorder="1" applyAlignment="1">
      <alignment horizontal="center" vertical="center"/>
    </xf>
    <xf numFmtId="3" fontId="37" fillId="0" borderId="108" xfId="151" applyNumberFormat="1" applyFont="1" applyFill="1" applyBorder="1" applyAlignment="1">
      <alignment vertical="center"/>
    </xf>
    <xf numFmtId="4" fontId="37" fillId="0" borderId="108" xfId="151" applyNumberFormat="1" applyFont="1" applyFill="1" applyBorder="1" applyAlignment="1">
      <alignment vertical="center"/>
    </xf>
    <xf numFmtId="49" fontId="42" fillId="0" borderId="41" xfId="151" applyNumberFormat="1" applyFont="1" applyFill="1" applyBorder="1" applyAlignment="1">
      <alignment horizontal="center" vertical="center"/>
    </xf>
    <xf numFmtId="49" fontId="62" fillId="0" borderId="18" xfId="151" applyNumberFormat="1" applyFont="1" applyFill="1" applyBorder="1" applyAlignment="1">
      <alignment horizontal="center" vertical="center"/>
    </xf>
    <xf numFmtId="164" fontId="42" fillId="0" borderId="18" xfId="152" applyFont="1" applyFill="1" applyBorder="1" applyAlignment="1">
      <alignment horizontal="left" vertical="center"/>
    </xf>
    <xf numFmtId="172" fontId="57" fillId="0" borderId="18" xfId="151" applyNumberFormat="1" applyFont="1" applyFill="1" applyBorder="1" applyAlignment="1">
      <alignment horizontal="right" vertical="center"/>
    </xf>
    <xf numFmtId="4" fontId="57" fillId="0" borderId="18" xfId="151" applyNumberFormat="1" applyFont="1" applyFill="1" applyBorder="1" applyAlignment="1">
      <alignment horizontal="right" vertical="center"/>
    </xf>
    <xf numFmtId="4" fontId="57" fillId="0" borderId="18" xfId="151" applyNumberFormat="1" applyFont="1" applyFill="1" applyBorder="1" applyAlignment="1">
      <alignment vertical="center"/>
    </xf>
    <xf numFmtId="4" fontId="43" fillId="0" borderId="42" xfId="151" applyNumberFormat="1" applyFont="1" applyFill="1" applyBorder="1" applyAlignment="1">
      <alignment vertical="center"/>
    </xf>
    <xf numFmtId="164" fontId="37" fillId="0" borderId="11" xfId="152" applyFont="1" applyFill="1" applyBorder="1" applyAlignment="1">
      <alignment horizontal="right" vertical="center"/>
    </xf>
    <xf numFmtId="164" fontId="37" fillId="0" borderId="11" xfId="152" applyFont="1" applyFill="1" applyBorder="1" applyAlignment="1">
      <alignment vertical="center"/>
    </xf>
    <xf numFmtId="10" fontId="93" fillId="0" borderId="11" xfId="151" applyNumberFormat="1" applyFont="1" applyFill="1" applyBorder="1" applyAlignment="1">
      <alignment horizontal="right" vertical="center"/>
    </xf>
    <xf numFmtId="49" fontId="37" fillId="0" borderId="11" xfId="151" applyNumberFormat="1" applyFont="1" applyFill="1" applyBorder="1" applyAlignment="1">
      <alignment vertical="center"/>
    </xf>
    <xf numFmtId="0" fontId="41" fillId="0" borderId="10" xfId="65" applyFont="1" applyFill="1" applyBorder="1" applyAlignment="1">
      <alignment horizontal="left" vertical="center"/>
    </xf>
    <xf numFmtId="1" fontId="0" fillId="48" borderId="0" xfId="0" applyNumberFormat="1" applyFont="1" applyFill="1" applyAlignment="1">
      <alignment horizontal="center"/>
    </xf>
    <xf numFmtId="184" fontId="0" fillId="0" borderId="0" xfId="0" applyNumberFormat="1" applyAlignment="1">
      <alignment horizontal="left"/>
    </xf>
    <xf numFmtId="0" fontId="0" fillId="48" borderId="0" xfId="0" applyFill="1"/>
    <xf numFmtId="0" fontId="0" fillId="48" borderId="0" xfId="0" applyFill="1" applyAlignment="1">
      <alignment horizontal="right"/>
    </xf>
    <xf numFmtId="2" fontId="0" fillId="48" borderId="0" xfId="0" applyNumberFormat="1" applyFill="1"/>
    <xf numFmtId="0" fontId="71" fillId="37" borderId="73" xfId="0" applyFont="1" applyFill="1" applyBorder="1" applyAlignment="1">
      <alignment horizontal="center" vertical="center" wrapText="1"/>
    </xf>
    <xf numFmtId="0" fontId="71" fillId="37" borderId="73" xfId="0" applyFont="1" applyFill="1" applyBorder="1" applyAlignment="1">
      <alignment horizontal="center" vertical="center"/>
    </xf>
    <xf numFmtId="4" fontId="71" fillId="37" borderId="73" xfId="43" applyNumberFormat="1" applyFont="1" applyFill="1" applyBorder="1" applyAlignment="1">
      <alignment horizontal="right" vertical="center"/>
    </xf>
    <xf numFmtId="43" fontId="70" fillId="37" borderId="74" xfId="43" applyFont="1" applyFill="1" applyBorder="1" applyAlignment="1">
      <alignment horizontal="right" vertical="center"/>
    </xf>
    <xf numFmtId="2" fontId="71" fillId="0" borderId="73" xfId="0" applyNumberFormat="1" applyFont="1" applyFill="1" applyBorder="1" applyAlignment="1">
      <alignment horizontal="right" vertical="center"/>
    </xf>
    <xf numFmtId="0" fontId="71" fillId="0" borderId="84" xfId="0" applyFont="1" applyFill="1" applyBorder="1" applyAlignment="1">
      <alignment horizontal="center" vertical="center"/>
    </xf>
    <xf numFmtId="0" fontId="71" fillId="0" borderId="85" xfId="0" applyFont="1" applyFill="1" applyBorder="1" applyAlignment="1">
      <alignment horizontal="center" vertical="center"/>
    </xf>
    <xf numFmtId="4" fontId="71" fillId="0" borderId="85" xfId="0" applyNumberFormat="1" applyFont="1" applyFill="1" applyBorder="1" applyAlignment="1">
      <alignment horizontal="center" vertical="center"/>
    </xf>
    <xf numFmtId="2" fontId="71" fillId="0" borderId="85" xfId="0" applyNumberFormat="1" applyFont="1" applyFill="1" applyBorder="1" applyAlignment="1">
      <alignment horizontal="right" vertical="center"/>
    </xf>
    <xf numFmtId="0" fontId="71" fillId="0" borderId="80" xfId="0" applyFont="1" applyFill="1" applyBorder="1" applyAlignment="1">
      <alignment horizontal="center" vertical="center" wrapText="1"/>
    </xf>
    <xf numFmtId="0" fontId="71" fillId="0" borderId="80" xfId="0" applyFont="1" applyBorder="1" applyAlignment="1">
      <alignment horizontal="center" vertical="center" wrapText="1"/>
    </xf>
    <xf numFmtId="0" fontId="33" fillId="37" borderId="73" xfId="65" applyFont="1" applyFill="1" applyBorder="1" applyAlignment="1">
      <alignment horizontal="center" vertical="center" wrapText="1"/>
    </xf>
    <xf numFmtId="0" fontId="33" fillId="37" borderId="73" xfId="65" applyFont="1" applyFill="1" applyBorder="1" applyAlignment="1">
      <alignment horizontal="center" vertical="center"/>
    </xf>
    <xf numFmtId="164" fontId="33" fillId="0" borderId="73" xfId="142" applyFont="1" applyFill="1" applyBorder="1" applyAlignment="1">
      <alignment horizontal="center" vertical="center"/>
    </xf>
    <xf numFmtId="164" fontId="33" fillId="0" borderId="73" xfId="142" applyFont="1" applyFill="1" applyBorder="1" applyAlignment="1">
      <alignment horizontal="right" vertical="center"/>
    </xf>
    <xf numFmtId="43" fontId="71" fillId="37" borderId="73" xfId="43" applyFont="1" applyFill="1" applyBorder="1" applyAlignment="1">
      <alignment horizontal="right" vertical="center"/>
    </xf>
    <xf numFmtId="0" fontId="71" fillId="0" borderId="85" xfId="0" applyFont="1" applyBorder="1" applyAlignment="1">
      <alignment horizontal="center" vertical="center"/>
    </xf>
    <xf numFmtId="4" fontId="71" fillId="0" borderId="85" xfId="43" applyNumberFormat="1" applyFont="1" applyFill="1" applyBorder="1" applyAlignment="1">
      <alignment horizontal="center" vertical="center"/>
    </xf>
    <xf numFmtId="4" fontId="71" fillId="0" borderId="85" xfId="43" applyNumberFormat="1" applyFont="1" applyFill="1" applyBorder="1" applyAlignment="1">
      <alignment horizontal="right" vertical="center"/>
    </xf>
    <xf numFmtId="43" fontId="70" fillId="0" borderId="32" xfId="43" applyFont="1" applyBorder="1" applyAlignment="1">
      <alignment horizontal="right" vertical="center"/>
    </xf>
    <xf numFmtId="2" fontId="18" fillId="0" borderId="0" xfId="0" applyNumberFormat="1" applyFont="1" applyBorder="1" applyAlignment="1">
      <alignment horizontal="center"/>
    </xf>
    <xf numFmtId="0" fontId="21" fillId="0" borderId="19" xfId="0" applyFont="1" applyBorder="1" applyAlignment="1">
      <alignment horizontal="left" vertical="center" wrapText="1"/>
    </xf>
    <xf numFmtId="0" fontId="94" fillId="0" borderId="10" xfId="0" applyFont="1" applyFill="1" applyBorder="1" applyAlignment="1">
      <alignment horizontal="center" vertical="center" wrapText="1"/>
    </xf>
    <xf numFmtId="43" fontId="71" fillId="0" borderId="15" xfId="43" applyFont="1" applyBorder="1" applyAlignment="1">
      <alignment horizontal="center" vertical="top"/>
    </xf>
    <xf numFmtId="0" fontId="71" fillId="0" borderId="0" xfId="0" applyFont="1" applyAlignment="1">
      <alignment horizontal="right" vertical="top"/>
    </xf>
    <xf numFmtId="0" fontId="41" fillId="0" borderId="13" xfId="65" applyFont="1" applyBorder="1" applyAlignment="1">
      <alignment horizontal="left" vertical="center" wrapText="1"/>
    </xf>
    <xf numFmtId="0" fontId="41" fillId="0" borderId="10" xfId="65" applyFont="1" applyBorder="1" applyAlignment="1">
      <alignment horizontal="center" vertical="center"/>
    </xf>
    <xf numFmtId="184" fontId="41" fillId="0" borderId="13" xfId="65" applyNumberFormat="1" applyFont="1" applyBorder="1" applyAlignment="1">
      <alignment horizontal="center" vertical="center"/>
    </xf>
    <xf numFmtId="0" fontId="41" fillId="0" borderId="13" xfId="65" applyFont="1" applyBorder="1" applyAlignment="1">
      <alignment horizontal="center" vertical="center" wrapText="1"/>
    </xf>
    <xf numFmtId="0" fontId="41" fillId="0" borderId="19" xfId="65" applyFont="1" applyBorder="1" applyAlignment="1">
      <alignment horizontal="left" vertical="center"/>
    </xf>
    <xf numFmtId="0" fontId="21" fillId="0" borderId="68" xfId="0" applyFont="1" applyBorder="1" applyAlignment="1">
      <alignment horizontal="left" vertical="center" wrapText="1"/>
    </xf>
    <xf numFmtId="0" fontId="40" fillId="0" borderId="0" xfId="65" applyFont="1" applyAlignment="1">
      <alignment horizontal="left" vertical="center" wrapText="1"/>
    </xf>
    <xf numFmtId="43" fontId="71" fillId="0" borderId="36" xfId="43" applyFont="1" applyBorder="1" applyAlignment="1">
      <alignment vertical="top"/>
    </xf>
    <xf numFmtId="43" fontId="71" fillId="0" borderId="15" xfId="43" applyFont="1" applyBorder="1" applyAlignment="1">
      <alignment vertical="top"/>
    </xf>
    <xf numFmtId="43" fontId="71" fillId="0" borderId="37" xfId="43" applyFont="1" applyBorder="1" applyAlignment="1">
      <alignment vertical="top"/>
    </xf>
    <xf numFmtId="43" fontId="79" fillId="0" borderId="15" xfId="43" applyFont="1" applyBorder="1" applyAlignment="1">
      <alignment horizontal="left" vertical="top"/>
    </xf>
    <xf numFmtId="4" fontId="41" fillId="0" borderId="0" xfId="65" applyNumberFormat="1" applyFont="1" applyAlignment="1">
      <alignment horizontal="left" vertical="center"/>
    </xf>
    <xf numFmtId="3" fontId="71" fillId="0" borderId="10" xfId="0" applyNumberFormat="1" applyFont="1" applyFill="1" applyBorder="1" applyAlignment="1">
      <alignment horizontal="center" vertical="center" wrapText="1"/>
    </xf>
    <xf numFmtId="43" fontId="79" fillId="0" borderId="15" xfId="43" applyFont="1" applyBorder="1" applyAlignment="1">
      <alignment vertical="top"/>
    </xf>
    <xf numFmtId="0" fontId="41" fillId="0" borderId="10" xfId="65" applyFont="1" applyBorder="1" applyAlignment="1">
      <alignment horizontal="center" vertical="center"/>
    </xf>
    <xf numFmtId="0" fontId="21" fillId="0" borderId="12" xfId="0" applyNumberFormat="1" applyFont="1" applyBorder="1" applyAlignment="1">
      <alignment horizontal="center" vertical="center"/>
    </xf>
    <xf numFmtId="191" fontId="21" fillId="0" borderId="12" xfId="0" applyNumberFormat="1" applyFont="1" applyBorder="1" applyAlignment="1">
      <alignment horizontal="center" vertical="center"/>
    </xf>
    <xf numFmtId="0" fontId="21" fillId="0" borderId="67" xfId="0" applyNumberFormat="1" applyFont="1" applyBorder="1" applyAlignment="1">
      <alignment horizontal="left" vertical="center"/>
    </xf>
    <xf numFmtId="0" fontId="41" fillId="0" borderId="19" xfId="65" applyFont="1" applyBorder="1" applyAlignment="1">
      <alignment horizontal="left" vertical="center"/>
    </xf>
    <xf numFmtId="0" fontId="64" fillId="0" borderId="0" xfId="0" applyNumberFormat="1" applyFont="1" applyAlignment="1">
      <alignment vertical="center"/>
    </xf>
    <xf numFmtId="0" fontId="21" fillId="0" borderId="0" xfId="0" applyNumberFormat="1" applyFont="1"/>
    <xf numFmtId="4" fontId="41" fillId="0" borderId="12" xfId="65" applyNumberFormat="1" applyFont="1" applyBorder="1" applyAlignment="1">
      <alignment horizontal="center" vertical="center"/>
    </xf>
    <xf numFmtId="4" fontId="88" fillId="0" borderId="47" xfId="0" applyNumberFormat="1" applyFont="1" applyBorder="1" applyAlignment="1">
      <alignment horizontal="center" vertical="center" wrapText="1"/>
    </xf>
    <xf numFmtId="4" fontId="88" fillId="0" borderId="53" xfId="0" applyNumberFormat="1" applyFont="1" applyBorder="1" applyAlignment="1">
      <alignment horizontal="center" vertical="center" wrapText="1"/>
    </xf>
    <xf numFmtId="4" fontId="88" fillId="0" borderId="45" xfId="0" applyNumberFormat="1" applyFont="1" applyBorder="1" applyAlignment="1">
      <alignment horizontal="center" vertical="center" wrapText="1"/>
    </xf>
    <xf numFmtId="4" fontId="88" fillId="0" borderId="59" xfId="0" applyNumberFormat="1" applyFont="1" applyBorder="1" applyAlignment="1">
      <alignment horizontal="center" vertical="center" wrapText="1"/>
    </xf>
    <xf numFmtId="4" fontId="74" fillId="0" borderId="75" xfId="0" applyNumberFormat="1" applyFont="1" applyBorder="1" applyAlignment="1">
      <alignment horizontal="center" vertical="center" wrapText="1"/>
    </xf>
    <xf numFmtId="4" fontId="74" fillId="0" borderId="23" xfId="0" applyNumberFormat="1" applyFont="1" applyBorder="1" applyAlignment="1">
      <alignment horizontal="center" vertical="center" wrapText="1"/>
    </xf>
    <xf numFmtId="4" fontId="74" fillId="0" borderId="24" xfId="0" applyNumberFormat="1" applyFont="1" applyBorder="1" applyAlignment="1">
      <alignment horizontal="center" vertical="center" wrapText="1"/>
    </xf>
    <xf numFmtId="4" fontId="74" fillId="0" borderId="33" xfId="0" applyNumberFormat="1" applyFont="1" applyBorder="1" applyAlignment="1">
      <alignment horizontal="center" vertical="center" wrapText="1"/>
    </xf>
    <xf numFmtId="4" fontId="74" fillId="0" borderId="34" xfId="0" applyNumberFormat="1" applyFont="1" applyBorder="1" applyAlignment="1">
      <alignment horizontal="center" vertical="center" wrapText="1"/>
    </xf>
    <xf numFmtId="4" fontId="74" fillId="0" borderId="35" xfId="0" applyNumberFormat="1" applyFont="1" applyBorder="1" applyAlignment="1">
      <alignment horizontal="center" vertical="center" wrapText="1"/>
    </xf>
    <xf numFmtId="43" fontId="71" fillId="0" borderId="27" xfId="43" applyFont="1" applyBorder="1" applyAlignment="1">
      <alignment horizontal="center" vertical="center" wrapText="1"/>
    </xf>
    <xf numFmtId="43" fontId="71" fillId="0" borderId="18" xfId="43" applyFont="1" applyBorder="1" applyAlignment="1">
      <alignment horizontal="center" vertical="center" wrapText="1"/>
    </xf>
    <xf numFmtId="43" fontId="71" fillId="0" borderId="28" xfId="43" applyFont="1" applyBorder="1" applyAlignment="1">
      <alignment horizontal="center" vertical="center" wrapText="1"/>
    </xf>
    <xf numFmtId="4" fontId="71" fillId="0" borderId="75" xfId="0" applyNumberFormat="1" applyFont="1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5" xfId="0" applyBorder="1" applyAlignment="1">
      <alignment wrapText="1"/>
    </xf>
    <xf numFmtId="0" fontId="38" fillId="0" borderId="0" xfId="65" applyFont="1" applyBorder="1" applyAlignment="1">
      <alignment horizontal="center" vertical="center" wrapText="1"/>
    </xf>
    <xf numFmtId="0" fontId="71" fillId="36" borderId="92" xfId="0" applyFont="1" applyFill="1" applyBorder="1" applyAlignment="1">
      <alignment horizontal="center" vertical="center"/>
    </xf>
    <xf numFmtId="0" fontId="71" fillId="36" borderId="69" xfId="0" applyFont="1" applyFill="1" applyBorder="1" applyAlignment="1">
      <alignment horizontal="center" vertical="center"/>
    </xf>
    <xf numFmtId="0" fontId="71" fillId="36" borderId="93" xfId="0" applyFont="1" applyFill="1" applyBorder="1" applyAlignment="1">
      <alignment horizontal="center" vertical="center"/>
    </xf>
    <xf numFmtId="0" fontId="71" fillId="36" borderId="70" xfId="0" applyFont="1" applyFill="1" applyBorder="1" applyAlignment="1">
      <alignment horizontal="center" vertical="center"/>
    </xf>
    <xf numFmtId="197" fontId="92" fillId="36" borderId="93" xfId="43" applyNumberFormat="1" applyFont="1" applyFill="1" applyBorder="1" applyAlignment="1">
      <alignment horizontal="left" vertical="center" wrapText="1"/>
    </xf>
    <xf numFmtId="197" fontId="92" fillId="36" borderId="70" xfId="43" applyNumberFormat="1" applyFont="1" applyFill="1" applyBorder="1" applyAlignment="1">
      <alignment horizontal="left" vertical="center" wrapText="1"/>
    </xf>
    <xf numFmtId="0" fontId="71" fillId="36" borderId="93" xfId="0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4" fontId="71" fillId="36" borderId="93" xfId="0" applyNumberFormat="1" applyFont="1" applyFill="1" applyBorder="1" applyAlignment="1">
      <alignment horizontal="right" vertical="center" wrapText="1"/>
    </xf>
    <xf numFmtId="4" fontId="71" fillId="36" borderId="70" xfId="0" applyNumberFormat="1" applyFont="1" applyFill="1" applyBorder="1" applyAlignment="1">
      <alignment horizontal="right" vertical="center" wrapText="1"/>
    </xf>
    <xf numFmtId="4" fontId="71" fillId="36" borderId="94" xfId="0" applyNumberFormat="1" applyFont="1" applyFill="1" applyBorder="1" applyAlignment="1">
      <alignment horizontal="center" vertical="center"/>
    </xf>
    <xf numFmtId="4" fontId="71" fillId="36" borderId="71" xfId="0" applyNumberFormat="1" applyFont="1" applyFill="1" applyBorder="1" applyAlignment="1">
      <alignment horizontal="center" vertical="center"/>
    </xf>
    <xf numFmtId="4" fontId="71" fillId="36" borderId="96" xfId="0" applyNumberFormat="1" applyFont="1" applyFill="1" applyBorder="1" applyAlignment="1">
      <alignment horizontal="center" vertical="center" wrapText="1"/>
    </xf>
    <xf numFmtId="4" fontId="71" fillId="36" borderId="15" xfId="0" applyNumberFormat="1" applyFont="1" applyFill="1" applyBorder="1" applyAlignment="1">
      <alignment horizontal="center" vertical="center" wrapText="1"/>
    </xf>
    <xf numFmtId="4" fontId="71" fillId="36" borderId="95" xfId="0" applyNumberFormat="1" applyFont="1" applyFill="1" applyBorder="1" applyAlignment="1">
      <alignment horizontal="center" vertical="center" wrapText="1"/>
    </xf>
    <xf numFmtId="43" fontId="70" fillId="36" borderId="73" xfId="43" applyFont="1" applyFill="1" applyBorder="1" applyAlignment="1">
      <alignment horizontal="left" vertical="center"/>
    </xf>
    <xf numFmtId="0" fontId="41" fillId="0" borderId="67" xfId="65" applyFont="1" applyFill="1" applyBorder="1" applyAlignment="1">
      <alignment horizontal="left" vertical="center" wrapText="1"/>
    </xf>
    <xf numFmtId="0" fontId="0" fillId="0" borderId="68" xfId="0" applyFill="1" applyBorder="1" applyAlignment="1">
      <alignment horizontal="left" vertical="center" wrapText="1"/>
    </xf>
    <xf numFmtId="0" fontId="41" fillId="0" borderId="12" xfId="65" applyFont="1" applyBorder="1" applyAlignment="1">
      <alignment horizontal="left" vertical="center" wrapText="1"/>
    </xf>
    <xf numFmtId="0" fontId="41" fillId="0" borderId="13" xfId="65" applyFont="1" applyBorder="1" applyAlignment="1">
      <alignment horizontal="left" vertical="center" wrapText="1"/>
    </xf>
    <xf numFmtId="0" fontId="41" fillId="0" borderId="12" xfId="65" applyFont="1" applyBorder="1" applyAlignment="1">
      <alignment horizontal="center" vertical="center" wrapText="1"/>
    </xf>
    <xf numFmtId="0" fontId="41" fillId="0" borderId="13" xfId="65" applyFont="1" applyBorder="1" applyAlignment="1">
      <alignment horizontal="center" vertical="center" wrapText="1"/>
    </xf>
    <xf numFmtId="184" fontId="41" fillId="0" borderId="12" xfId="65" applyNumberFormat="1" applyFont="1" applyFill="1" applyBorder="1" applyAlignment="1">
      <alignment horizontal="center" vertical="center"/>
    </xf>
    <xf numFmtId="184" fontId="41" fillId="0" borderId="13" xfId="65" applyNumberFormat="1" applyFont="1" applyFill="1" applyBorder="1" applyAlignment="1">
      <alignment horizontal="center" vertical="center"/>
    </xf>
    <xf numFmtId="0" fontId="41" fillId="0" borderId="67" xfId="65" applyFont="1" applyFill="1" applyBorder="1" applyAlignment="1">
      <alignment horizontal="left" vertical="center"/>
    </xf>
    <xf numFmtId="0" fontId="41" fillId="0" borderId="68" xfId="65" applyFont="1" applyFill="1" applyBorder="1" applyAlignment="1">
      <alignment horizontal="left" vertical="center"/>
    </xf>
    <xf numFmtId="0" fontId="41" fillId="0" borderId="10" xfId="65" applyFont="1" applyBorder="1" applyAlignment="1">
      <alignment horizontal="center" vertical="center"/>
    </xf>
    <xf numFmtId="184" fontId="41" fillId="0" borderId="12" xfId="65" applyNumberFormat="1" applyFont="1" applyBorder="1" applyAlignment="1">
      <alignment horizontal="center" vertical="center"/>
    </xf>
    <xf numFmtId="184" fontId="41" fillId="0" borderId="13" xfId="65" applyNumberFormat="1" applyFont="1" applyBorder="1" applyAlignment="1">
      <alignment horizontal="center" vertical="center"/>
    </xf>
    <xf numFmtId="0" fontId="41" fillId="0" borderId="12" xfId="65" applyFont="1" applyBorder="1" applyAlignment="1">
      <alignment horizontal="center" vertical="center"/>
    </xf>
    <xf numFmtId="0" fontId="41" fillId="0" borderId="13" xfId="65" applyFont="1" applyBorder="1" applyAlignment="1">
      <alignment horizontal="center" vertical="center"/>
    </xf>
    <xf numFmtId="0" fontId="40" fillId="0" borderId="80" xfId="65" applyFont="1" applyBorder="1" applyAlignment="1">
      <alignment horizontal="left" vertical="center" wrapText="1"/>
    </xf>
    <xf numFmtId="189" fontId="41" fillId="0" borderId="12" xfId="65" applyNumberFormat="1" applyFont="1" applyFill="1" applyBorder="1" applyAlignment="1">
      <alignment horizontal="center" vertical="center"/>
    </xf>
    <xf numFmtId="189" fontId="41" fillId="0" borderId="13" xfId="65" applyNumberFormat="1" applyFont="1" applyFill="1" applyBorder="1" applyAlignment="1">
      <alignment horizontal="center" vertical="center"/>
    </xf>
    <xf numFmtId="0" fontId="65" fillId="0" borderId="12" xfId="194" applyNumberFormat="1" applyFont="1" applyBorder="1" applyAlignment="1">
      <alignment horizontal="center" vertical="center"/>
    </xf>
    <xf numFmtId="0" fontId="65" fillId="0" borderId="13" xfId="194" applyNumberFormat="1" applyFont="1" applyBorder="1" applyAlignment="1">
      <alignment horizontal="center" vertical="center"/>
    </xf>
    <xf numFmtId="2" fontId="65" fillId="0" borderId="12" xfId="194" applyNumberFormat="1" applyFont="1" applyBorder="1" applyAlignment="1">
      <alignment horizontal="center" vertical="center"/>
    </xf>
    <xf numFmtId="2" fontId="65" fillId="0" borderId="13" xfId="194" applyNumberFormat="1" applyFont="1" applyBorder="1" applyAlignment="1">
      <alignment horizontal="center" vertical="center"/>
    </xf>
    <xf numFmtId="0" fontId="41" fillId="0" borderId="67" xfId="65" applyFont="1" applyBorder="1" applyAlignment="1">
      <alignment horizontal="left" vertical="center"/>
    </xf>
    <xf numFmtId="0" fontId="41" fillId="0" borderId="68" xfId="65" applyFont="1" applyBorder="1" applyAlignment="1">
      <alignment horizontal="left" vertical="center"/>
    </xf>
    <xf numFmtId="2" fontId="41" fillId="0" borderId="12" xfId="65" applyNumberFormat="1" applyFont="1" applyBorder="1" applyAlignment="1">
      <alignment horizontal="center" vertical="center"/>
    </xf>
    <xf numFmtId="2" fontId="41" fillId="0" borderId="13" xfId="65" applyNumberFormat="1" applyFont="1" applyBorder="1" applyAlignment="1">
      <alignment horizontal="center" vertical="center"/>
    </xf>
    <xf numFmtId="2" fontId="21" fillId="0" borderId="12" xfId="0" applyNumberFormat="1" applyFont="1" applyBorder="1" applyAlignment="1">
      <alignment horizontal="center" vertical="center"/>
    </xf>
    <xf numFmtId="2" fontId="21" fillId="0" borderId="13" xfId="0" applyNumberFormat="1" applyFont="1" applyBorder="1" applyAlignment="1">
      <alignment horizontal="center" vertical="center"/>
    </xf>
    <xf numFmtId="0" fontId="64" fillId="0" borderId="0" xfId="0" applyNumberFormat="1" applyFont="1" applyAlignment="1">
      <alignment vertical="center"/>
    </xf>
    <xf numFmtId="0" fontId="21" fillId="0" borderId="0" xfId="0" applyNumberFormat="1" applyFont="1" applyAlignment="1">
      <alignment vertical="center"/>
    </xf>
    <xf numFmtId="0" fontId="65" fillId="0" borderId="67" xfId="194" applyNumberFormat="1" applyFont="1" applyBorder="1" applyAlignment="1">
      <alignment horizontal="left" vertical="center"/>
    </xf>
    <xf numFmtId="0" fontId="65" fillId="0" borderId="68" xfId="194" applyNumberFormat="1" applyFont="1" applyBorder="1" applyAlignment="1">
      <alignment horizontal="left" vertical="center"/>
    </xf>
    <xf numFmtId="0" fontId="65" fillId="0" borderId="12" xfId="194" applyNumberFormat="1" applyFont="1" applyBorder="1" applyAlignment="1">
      <alignment horizontal="left" vertical="center" wrapText="1"/>
    </xf>
    <xf numFmtId="0" fontId="65" fillId="0" borderId="13" xfId="194" applyNumberFormat="1" applyFont="1" applyBorder="1" applyAlignment="1">
      <alignment horizontal="left" vertical="center" wrapText="1"/>
    </xf>
    <xf numFmtId="184" fontId="65" fillId="0" borderId="12" xfId="194" applyNumberFormat="1" applyFont="1" applyBorder="1" applyAlignment="1">
      <alignment horizontal="center" vertical="center"/>
    </xf>
    <xf numFmtId="184" fontId="65" fillId="0" borderId="13" xfId="194" applyNumberFormat="1" applyFont="1" applyBorder="1" applyAlignment="1">
      <alignment horizontal="center" vertical="center"/>
    </xf>
    <xf numFmtId="0" fontId="64" fillId="0" borderId="0" xfId="194" applyNumberFormat="1" applyFont="1" applyAlignment="1">
      <alignment vertical="center"/>
    </xf>
    <xf numFmtId="0" fontId="65" fillId="0" borderId="0" xfId="194" applyNumberFormat="1" applyFont="1" applyAlignment="1">
      <alignment vertical="center"/>
    </xf>
    <xf numFmtId="0" fontId="64" fillId="0" borderId="80" xfId="0" applyNumberFormat="1" applyFont="1" applyBorder="1" applyAlignment="1">
      <alignment horizontal="left" vertical="center" wrapText="1"/>
    </xf>
    <xf numFmtId="0" fontId="65" fillId="0" borderId="67" xfId="194" applyNumberFormat="1" applyFont="1" applyBorder="1" applyAlignment="1">
      <alignment horizontal="left" vertical="center" wrapText="1"/>
    </xf>
    <xf numFmtId="0" fontId="0" fillId="0" borderId="68" xfId="0" applyBorder="1" applyAlignment="1">
      <alignment horizontal="left" vertical="center" wrapText="1"/>
    </xf>
    <xf numFmtId="0" fontId="65" fillId="0" borderId="12" xfId="194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1" fillId="0" borderId="12" xfId="0" applyNumberFormat="1" applyFont="1" applyBorder="1" applyAlignment="1">
      <alignment horizontal="left" vertical="center" wrapText="1"/>
    </xf>
    <xf numFmtId="0" fontId="21" fillId="0" borderId="13" xfId="0" applyNumberFormat="1" applyFont="1" applyBorder="1" applyAlignment="1">
      <alignment horizontal="left" vertical="center" wrapText="1"/>
    </xf>
    <xf numFmtId="0" fontId="21" fillId="0" borderId="67" xfId="0" applyNumberFormat="1" applyFont="1" applyBorder="1" applyAlignment="1">
      <alignment horizontal="left" vertical="center"/>
    </xf>
    <xf numFmtId="0" fontId="21" fillId="0" borderId="68" xfId="0" applyNumberFormat="1" applyFont="1" applyBorder="1" applyAlignment="1">
      <alignment horizontal="left" vertical="center"/>
    </xf>
    <xf numFmtId="0" fontId="21" fillId="0" borderId="12" xfId="0" applyNumberFormat="1" applyFont="1" applyBorder="1" applyAlignment="1">
      <alignment horizontal="center" vertical="center"/>
    </xf>
    <xf numFmtId="0" fontId="21" fillId="0" borderId="13" xfId="0" applyNumberFormat="1" applyFont="1" applyBorder="1" applyAlignment="1">
      <alignment horizontal="center" vertical="center"/>
    </xf>
    <xf numFmtId="191" fontId="21" fillId="0" borderId="12" xfId="0" applyNumberFormat="1" applyFont="1" applyBorder="1" applyAlignment="1">
      <alignment horizontal="center" vertical="center"/>
    </xf>
    <xf numFmtId="191" fontId="21" fillId="0" borderId="13" xfId="0" applyNumberFormat="1" applyFont="1" applyBorder="1" applyAlignment="1">
      <alignment horizontal="center" vertical="center"/>
    </xf>
    <xf numFmtId="0" fontId="64" fillId="0" borderId="80" xfId="194" applyNumberFormat="1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68" xfId="0" applyBorder="1" applyAlignment="1">
      <alignment horizontal="left" vertical="center"/>
    </xf>
    <xf numFmtId="0" fontId="41" fillId="0" borderId="12" xfId="65" applyFont="1" applyFill="1" applyBorder="1" applyAlignment="1">
      <alignment horizontal="left" vertical="center" wrapText="1"/>
    </xf>
    <xf numFmtId="0" fontId="41" fillId="0" borderId="13" xfId="65" applyFont="1" applyFill="1" applyBorder="1" applyAlignment="1">
      <alignment horizontal="left" vertical="center" wrapText="1"/>
    </xf>
    <xf numFmtId="0" fontId="41" fillId="0" borderId="67" xfId="65" applyFont="1" applyBorder="1" applyAlignment="1">
      <alignment horizontal="left" vertical="center" wrapText="1"/>
    </xf>
    <xf numFmtId="189" fontId="41" fillId="0" borderId="12" xfId="65" applyNumberFormat="1" applyFont="1" applyBorder="1" applyAlignment="1">
      <alignment horizontal="center" vertical="center"/>
    </xf>
    <xf numFmtId="189" fontId="41" fillId="0" borderId="13" xfId="65" applyNumberFormat="1" applyFont="1" applyBorder="1" applyAlignment="1">
      <alignment horizontal="center" vertical="center"/>
    </xf>
    <xf numFmtId="0" fontId="64" fillId="0" borderId="80" xfId="194" applyNumberFormat="1" applyFont="1" applyFill="1" applyBorder="1" applyAlignment="1">
      <alignment horizontal="left" vertical="center" wrapText="1"/>
    </xf>
    <xf numFmtId="0" fontId="65" fillId="0" borderId="12" xfId="194" applyNumberFormat="1" applyFont="1" applyFill="1" applyBorder="1" applyAlignment="1">
      <alignment horizontal="left" vertical="center" wrapText="1"/>
    </xf>
    <xf numFmtId="0" fontId="65" fillId="0" borderId="67" xfId="194" applyNumberFormat="1" applyFont="1" applyFill="1" applyBorder="1" applyAlignment="1">
      <alignment horizontal="left" vertical="center" wrapText="1"/>
    </xf>
    <xf numFmtId="0" fontId="65" fillId="0" borderId="12" xfId="194" applyNumberFormat="1" applyFont="1" applyFill="1" applyBorder="1" applyAlignment="1">
      <alignment horizontal="center" vertical="center"/>
    </xf>
    <xf numFmtId="0" fontId="65" fillId="0" borderId="13" xfId="194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91" fontId="65" fillId="0" borderId="12" xfId="194" applyNumberFormat="1" applyFont="1" applyFill="1" applyBorder="1" applyAlignment="1">
      <alignment horizontal="center" vertical="center"/>
    </xf>
    <xf numFmtId="191" fontId="65" fillId="0" borderId="13" xfId="194" applyNumberFormat="1" applyFont="1" applyFill="1" applyBorder="1" applyAlignment="1">
      <alignment horizontal="center" vertical="center"/>
    </xf>
    <xf numFmtId="0" fontId="41" fillId="0" borderId="19" xfId="65" applyFont="1" applyBorder="1" applyAlignment="1">
      <alignment horizontal="left" vertical="center"/>
    </xf>
    <xf numFmtId="0" fontId="41" fillId="0" borderId="10" xfId="65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65" fillId="0" borderId="12" xfId="196" applyNumberFormat="1" applyFont="1" applyBorder="1" applyAlignment="1">
      <alignment horizontal="center" vertical="center"/>
    </xf>
    <xf numFmtId="0" fontId="65" fillId="0" borderId="13" xfId="196" applyNumberFormat="1" applyFont="1" applyBorder="1" applyAlignment="1">
      <alignment horizontal="center" vertical="center"/>
    </xf>
    <xf numFmtId="191" fontId="65" fillId="0" borderId="12" xfId="196" applyNumberFormat="1" applyFont="1" applyBorder="1" applyAlignment="1">
      <alignment horizontal="center" vertical="center"/>
    </xf>
    <xf numFmtId="191" fontId="65" fillId="0" borderId="13" xfId="196" applyNumberFormat="1" applyFont="1" applyBorder="1" applyAlignment="1">
      <alignment horizontal="center" vertical="center"/>
    </xf>
    <xf numFmtId="0" fontId="65" fillId="0" borderId="12" xfId="196" applyNumberFormat="1" applyFont="1" applyFill="1" applyBorder="1" applyAlignment="1">
      <alignment horizontal="left" vertical="center" wrapText="1"/>
    </xf>
    <xf numFmtId="0" fontId="65" fillId="0" borderId="13" xfId="196" applyNumberFormat="1" applyFont="1" applyFill="1" applyBorder="1" applyAlignment="1">
      <alignment horizontal="left" vertical="center" wrapText="1"/>
    </xf>
    <xf numFmtId="191" fontId="65" fillId="0" borderId="12" xfId="194" applyNumberFormat="1" applyFont="1" applyBorder="1" applyAlignment="1">
      <alignment horizontal="center" vertical="center"/>
    </xf>
    <xf numFmtId="191" fontId="65" fillId="0" borderId="13" xfId="194" applyNumberFormat="1" applyFont="1" applyBorder="1" applyAlignment="1">
      <alignment horizontal="center" vertical="center"/>
    </xf>
    <xf numFmtId="0" fontId="65" fillId="37" borderId="67" xfId="73" applyNumberFormat="1" applyFont="1" applyFill="1" applyBorder="1" applyAlignment="1">
      <alignment horizontal="left" vertical="center"/>
    </xf>
    <xf numFmtId="0" fontId="65" fillId="37" borderId="68" xfId="73" applyNumberFormat="1" applyFont="1" applyFill="1" applyBorder="1" applyAlignment="1">
      <alignment horizontal="left" vertical="center"/>
    </xf>
    <xf numFmtId="0" fontId="65" fillId="37" borderId="12" xfId="73" applyNumberFormat="1" applyFont="1" applyFill="1" applyBorder="1" applyAlignment="1">
      <alignment horizontal="left" vertical="center"/>
    </xf>
    <xf numFmtId="0" fontId="65" fillId="37" borderId="13" xfId="73" applyNumberFormat="1" applyFont="1" applyFill="1" applyBorder="1" applyAlignment="1">
      <alignment horizontal="left" vertical="center"/>
    </xf>
    <xf numFmtId="0" fontId="65" fillId="37" borderId="12" xfId="73" applyNumberFormat="1" applyFont="1" applyFill="1" applyBorder="1" applyAlignment="1">
      <alignment horizontal="center" vertical="center"/>
    </xf>
    <xf numFmtId="0" fontId="65" fillId="37" borderId="13" xfId="73" applyNumberFormat="1" applyFont="1" applyFill="1" applyBorder="1" applyAlignment="1">
      <alignment horizontal="center" vertical="center"/>
    </xf>
    <xf numFmtId="191" fontId="65" fillId="37" borderId="12" xfId="73" applyNumberFormat="1" applyFont="1" applyFill="1" applyBorder="1" applyAlignment="1">
      <alignment horizontal="center" vertical="center"/>
    </xf>
    <xf numFmtId="191" fontId="65" fillId="37" borderId="13" xfId="73" applyNumberFormat="1" applyFont="1" applyFill="1" applyBorder="1" applyAlignment="1">
      <alignment horizontal="center" vertical="center"/>
    </xf>
    <xf numFmtId="0" fontId="21" fillId="0" borderId="39" xfId="0" applyNumberFormat="1" applyFont="1" applyBorder="1" applyAlignment="1">
      <alignment horizontal="left" vertical="center"/>
    </xf>
    <xf numFmtId="0" fontId="21" fillId="0" borderId="13" xfId="0" applyNumberFormat="1" applyFont="1" applyBorder="1" applyAlignment="1">
      <alignment horizontal="left" vertical="center"/>
    </xf>
    <xf numFmtId="0" fontId="21" fillId="0" borderId="66" xfId="0" applyNumberFormat="1" applyFont="1" applyBorder="1" applyAlignment="1">
      <alignment horizontal="left" vertical="center"/>
    </xf>
    <xf numFmtId="0" fontId="21" fillId="0" borderId="39" xfId="0" applyNumberFormat="1" applyFont="1" applyBorder="1" applyAlignment="1">
      <alignment horizontal="center" vertical="center"/>
    </xf>
    <xf numFmtId="190" fontId="21" fillId="0" borderId="12" xfId="0" applyNumberFormat="1" applyFont="1" applyBorder="1" applyAlignment="1">
      <alignment horizontal="center" vertical="center"/>
    </xf>
    <xf numFmtId="190" fontId="21" fillId="0" borderId="13" xfId="0" applyNumberFormat="1" applyFont="1" applyBorder="1" applyAlignment="1">
      <alignment horizontal="center" vertical="center"/>
    </xf>
    <xf numFmtId="0" fontId="65" fillId="0" borderId="12" xfId="196" applyNumberFormat="1" applyFont="1" applyBorder="1" applyAlignment="1">
      <alignment horizontal="left" vertical="center" wrapText="1"/>
    </xf>
    <xf numFmtId="0" fontId="65" fillId="0" borderId="13" xfId="196" applyNumberFormat="1" applyFont="1" applyBorder="1" applyAlignment="1">
      <alignment horizontal="left" vertical="center" wrapText="1"/>
    </xf>
    <xf numFmtId="0" fontId="65" fillId="0" borderId="67" xfId="196" applyNumberFormat="1" applyFont="1" applyBorder="1" applyAlignment="1">
      <alignment horizontal="left" vertical="center"/>
    </xf>
    <xf numFmtId="0" fontId="65" fillId="0" borderId="68" xfId="196" applyNumberFormat="1" applyFont="1" applyBorder="1" applyAlignment="1">
      <alignment horizontal="left" vertical="center"/>
    </xf>
    <xf numFmtId="0" fontId="65" fillId="0" borderId="67" xfId="196" applyNumberFormat="1" applyFont="1" applyFill="1" applyBorder="1" applyAlignment="1">
      <alignment horizontal="left" vertical="center"/>
    </xf>
    <xf numFmtId="0" fontId="65" fillId="0" borderId="68" xfId="196" applyNumberFormat="1" applyFont="1" applyFill="1" applyBorder="1" applyAlignment="1">
      <alignment horizontal="left" vertical="center"/>
    </xf>
    <xf numFmtId="0" fontId="64" fillId="37" borderId="80" xfId="0" applyNumberFormat="1" applyFont="1" applyFill="1" applyBorder="1" applyAlignment="1">
      <alignment horizontal="left" vertical="center" wrapText="1"/>
    </xf>
    <xf numFmtId="0" fontId="65" fillId="37" borderId="12" xfId="73" applyNumberFormat="1" applyFont="1" applyFill="1" applyBorder="1" applyAlignment="1">
      <alignment horizontal="left" vertical="center" wrapText="1"/>
    </xf>
    <xf numFmtId="0" fontId="65" fillId="37" borderId="13" xfId="73" applyNumberFormat="1" applyFont="1" applyFill="1" applyBorder="1" applyAlignment="1">
      <alignment horizontal="left" vertical="center" wrapText="1"/>
    </xf>
    <xf numFmtId="0" fontId="75" fillId="36" borderId="0" xfId="0" applyNumberFormat="1" applyFont="1" applyFill="1"/>
    <xf numFmtId="0" fontId="1" fillId="36" borderId="0" xfId="0" applyNumberFormat="1" applyFont="1" applyFill="1"/>
    <xf numFmtId="0" fontId="64" fillId="0" borderId="0" xfId="194" applyNumberFormat="1" applyFont="1"/>
    <xf numFmtId="0" fontId="65" fillId="0" borderId="0" xfId="194" applyNumberFormat="1" applyFont="1"/>
    <xf numFmtId="0" fontId="21" fillId="0" borderId="67" xfId="0" applyNumberFormat="1" applyFont="1" applyBorder="1" applyAlignment="1">
      <alignment horizontal="left" vertical="center" wrapText="1"/>
    </xf>
    <xf numFmtId="0" fontId="21" fillId="0" borderId="68" xfId="0" applyNumberFormat="1" applyFont="1" applyBorder="1" applyAlignment="1">
      <alignment horizontal="left" vertical="center" wrapText="1"/>
    </xf>
    <xf numFmtId="0" fontId="64" fillId="0" borderId="0" xfId="0" applyNumberFormat="1" applyFont="1"/>
    <xf numFmtId="0" fontId="21" fillId="0" borderId="0" xfId="0" applyNumberFormat="1" applyFont="1"/>
    <xf numFmtId="0" fontId="67" fillId="39" borderId="0" xfId="0" applyNumberFormat="1" applyFont="1" applyFill="1"/>
    <xf numFmtId="0" fontId="21" fillId="0" borderId="12" xfId="0" applyNumberFormat="1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" fontId="41" fillId="37" borderId="0" xfId="0" applyNumberFormat="1" applyFont="1" applyFill="1" applyBorder="1" applyAlignment="1">
      <alignment horizontal="right" vertical="top" wrapText="1"/>
    </xf>
    <xf numFmtId="4" fontId="0" fillId="37" borderId="0" xfId="0" applyNumberFormat="1" applyFont="1" applyFill="1" applyBorder="1"/>
    <xf numFmtId="0" fontId="41" fillId="40" borderId="0" xfId="0" applyFont="1" applyFill="1" applyBorder="1" applyAlignment="1">
      <alignment horizontal="right" vertical="top" wrapText="1"/>
    </xf>
    <xf numFmtId="0" fontId="0" fillId="0" borderId="0" xfId="0" applyFont="1" applyBorder="1"/>
    <xf numFmtId="0" fontId="41" fillId="0" borderId="12" xfId="65" applyFont="1" applyFill="1" applyBorder="1" applyAlignment="1">
      <alignment horizontal="center" vertical="center"/>
    </xf>
    <xf numFmtId="0" fontId="41" fillId="0" borderId="13" xfId="65" applyFont="1" applyFill="1" applyBorder="1" applyAlignment="1">
      <alignment horizontal="center" vertical="center"/>
    </xf>
    <xf numFmtId="184" fontId="41" fillId="0" borderId="10" xfId="65" applyNumberFormat="1" applyFont="1" applyBorder="1" applyAlignment="1">
      <alignment horizontal="center" vertical="center"/>
    </xf>
    <xf numFmtId="0" fontId="65" fillId="0" borderId="67" xfId="194" applyNumberFormat="1" applyFont="1" applyFill="1" applyBorder="1" applyAlignment="1">
      <alignment horizontal="left" vertical="center"/>
    </xf>
    <xf numFmtId="0" fontId="65" fillId="0" borderId="68" xfId="194" applyNumberFormat="1" applyFont="1" applyFill="1" applyBorder="1" applyAlignment="1">
      <alignment horizontal="left" vertical="center"/>
    </xf>
    <xf numFmtId="0" fontId="41" fillId="0" borderId="68" xfId="65" applyFont="1" applyBorder="1" applyAlignment="1">
      <alignment horizontal="left" vertical="center" wrapText="1"/>
    </xf>
    <xf numFmtId="0" fontId="21" fillId="0" borderId="67" xfId="0" applyFont="1" applyBorder="1" applyAlignment="1">
      <alignment horizontal="left" vertical="center" wrapText="1"/>
    </xf>
    <xf numFmtId="0" fontId="21" fillId="0" borderId="68" xfId="0" applyFont="1" applyBorder="1" applyAlignment="1">
      <alignment horizontal="left" vertical="center" wrapText="1"/>
    </xf>
    <xf numFmtId="0" fontId="64" fillId="0" borderId="0" xfId="196" applyNumberFormat="1" applyFont="1"/>
    <xf numFmtId="0" fontId="65" fillId="0" borderId="0" xfId="196" applyNumberFormat="1" applyFont="1"/>
    <xf numFmtId="0" fontId="64" fillId="0" borderId="0" xfId="194" applyNumberFormat="1" applyFont="1" applyAlignment="1">
      <alignment wrapText="1"/>
    </xf>
    <xf numFmtId="0" fontId="0" fillId="0" borderId="0" xfId="0" applyAlignment="1"/>
    <xf numFmtId="0" fontId="65" fillId="0" borderId="13" xfId="194" applyNumberFormat="1" applyFont="1" applyFill="1" applyBorder="1" applyAlignment="1">
      <alignment horizontal="left" vertical="center" wrapText="1"/>
    </xf>
    <xf numFmtId="0" fontId="40" fillId="0" borderId="80" xfId="65" applyFont="1" applyFill="1" applyBorder="1" applyAlignment="1">
      <alignment horizontal="left" vertical="center" wrapText="1"/>
    </xf>
    <xf numFmtId="0" fontId="41" fillId="0" borderId="19" xfId="65" applyFont="1" applyFill="1" applyBorder="1" applyAlignment="1">
      <alignment horizontal="left" vertical="center"/>
    </xf>
    <xf numFmtId="0" fontId="64" fillId="0" borderId="0" xfId="0" applyNumberFormat="1" applyFont="1" applyAlignment="1">
      <alignment horizontal="left" vertical="center" wrapText="1"/>
    </xf>
    <xf numFmtId="190" fontId="65" fillId="0" borderId="12" xfId="196" applyNumberFormat="1" applyFont="1" applyBorder="1" applyAlignment="1">
      <alignment horizontal="center" vertical="center"/>
    </xf>
    <xf numFmtId="190" fontId="65" fillId="0" borderId="13" xfId="196" applyNumberFormat="1" applyFont="1" applyBorder="1" applyAlignment="1">
      <alignment horizontal="center" vertical="center"/>
    </xf>
    <xf numFmtId="0" fontId="21" fillId="0" borderId="12" xfId="0" applyNumberFormat="1" applyFont="1" applyBorder="1" applyAlignment="1">
      <alignment horizontal="center" vertical="center" wrapText="1"/>
    </xf>
    <xf numFmtId="0" fontId="21" fillId="0" borderId="67" xfId="0" applyNumberFormat="1" applyFont="1" applyFill="1" applyBorder="1" applyAlignment="1">
      <alignment horizontal="left" vertical="center"/>
    </xf>
    <xf numFmtId="0" fontId="21" fillId="0" borderId="68" xfId="0" applyNumberFormat="1" applyFont="1" applyFill="1" applyBorder="1" applyAlignment="1">
      <alignment horizontal="left" vertical="center"/>
    </xf>
    <xf numFmtId="191" fontId="21" fillId="0" borderId="39" xfId="0" applyNumberFormat="1" applyFont="1" applyBorder="1" applyAlignment="1">
      <alignment horizontal="center" vertical="center"/>
    </xf>
    <xf numFmtId="184" fontId="65" fillId="0" borderId="12" xfId="194" applyNumberFormat="1" applyFont="1" applyFill="1" applyBorder="1" applyAlignment="1">
      <alignment horizontal="center" vertical="center"/>
    </xf>
    <xf numFmtId="184" fontId="65" fillId="0" borderId="13" xfId="194" applyNumberFormat="1" applyFont="1" applyFill="1" applyBorder="1" applyAlignment="1">
      <alignment horizontal="center" vertical="center"/>
    </xf>
    <xf numFmtId="191" fontId="41" fillId="0" borderId="12" xfId="65" applyNumberFormat="1" applyFont="1" applyFill="1" applyBorder="1" applyAlignment="1">
      <alignment horizontal="center" vertical="center"/>
    </xf>
    <xf numFmtId="191" fontId="41" fillId="0" borderId="13" xfId="65" applyNumberFormat="1" applyFont="1" applyFill="1" applyBorder="1" applyAlignment="1">
      <alignment horizontal="center" vertical="center"/>
    </xf>
    <xf numFmtId="0" fontId="65" fillId="0" borderId="10" xfId="194" applyNumberFormat="1" applyFont="1" applyBorder="1" applyAlignment="1">
      <alignment horizontal="left" vertical="center" wrapText="1"/>
    </xf>
    <xf numFmtId="0" fontId="65" fillId="0" borderId="19" xfId="194" applyNumberFormat="1" applyFont="1" applyBorder="1" applyAlignment="1">
      <alignment horizontal="left" vertical="center"/>
    </xf>
    <xf numFmtId="0" fontId="65" fillId="0" borderId="10" xfId="194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5" fillId="0" borderId="10" xfId="194" applyNumberFormat="1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89" fontId="65" fillId="0" borderId="10" xfId="194" applyNumberFormat="1" applyFont="1" applyBorder="1" applyAlignment="1">
      <alignment horizontal="center" vertical="center"/>
    </xf>
    <xf numFmtId="189" fontId="0" fillId="0" borderId="10" xfId="0" applyNumberFormat="1" applyBorder="1" applyAlignment="1">
      <alignment horizontal="center" vertical="center"/>
    </xf>
    <xf numFmtId="184" fontId="21" fillId="0" borderId="12" xfId="0" applyNumberFormat="1" applyFont="1" applyBorder="1" applyAlignment="1">
      <alignment horizontal="center" vertical="center"/>
    </xf>
    <xf numFmtId="184" fontId="21" fillId="0" borderId="13" xfId="0" applyNumberFormat="1" applyFont="1" applyBorder="1" applyAlignment="1">
      <alignment horizontal="center" vertical="center"/>
    </xf>
    <xf numFmtId="0" fontId="64" fillId="0" borderId="80" xfId="0" applyNumberFormat="1" applyFont="1" applyBorder="1" applyAlignment="1">
      <alignment horizontal="left" vertical="top" wrapText="1"/>
    </xf>
    <xf numFmtId="0" fontId="65" fillId="0" borderId="19" xfId="196" applyNumberFormat="1" applyFont="1" applyBorder="1" applyAlignment="1">
      <alignment horizontal="left" vertical="center"/>
    </xf>
    <xf numFmtId="0" fontId="65" fillId="0" borderId="10" xfId="196" applyNumberFormat="1" applyFont="1" applyBorder="1" applyAlignment="1">
      <alignment horizontal="center" vertical="center" wrapText="1"/>
    </xf>
    <xf numFmtId="191" fontId="21" fillId="0" borderId="12" xfId="0" applyNumberFormat="1" applyFont="1" applyBorder="1" applyAlignment="1">
      <alignment horizontal="center" vertical="center" wrapText="1"/>
    </xf>
    <xf numFmtId="191" fontId="0" fillId="0" borderId="13" xfId="0" applyNumberFormat="1" applyBorder="1" applyAlignment="1">
      <alignment horizontal="center" vertical="center" wrapText="1"/>
    </xf>
    <xf numFmtId="0" fontId="64" fillId="0" borderId="80" xfId="196" applyNumberFormat="1" applyFont="1" applyBorder="1" applyAlignment="1">
      <alignment horizontal="left" vertical="center" wrapText="1"/>
    </xf>
    <xf numFmtId="0" fontId="40" fillId="0" borderId="0" xfId="65" applyFont="1" applyAlignment="1">
      <alignment horizontal="left" vertical="center" wrapText="1"/>
    </xf>
    <xf numFmtId="4" fontId="41" fillId="0" borderId="12" xfId="65" applyNumberFormat="1" applyFont="1" applyBorder="1" applyAlignment="1">
      <alignment horizontal="center" vertical="center"/>
    </xf>
    <xf numFmtId="4" fontId="41" fillId="0" borderId="13" xfId="65" applyNumberFormat="1" applyFont="1" applyBorder="1" applyAlignment="1">
      <alignment horizontal="center" vertical="center"/>
    </xf>
    <xf numFmtId="191" fontId="41" fillId="0" borderId="12" xfId="65" applyNumberFormat="1" applyFont="1" applyBorder="1" applyAlignment="1">
      <alignment horizontal="center" vertical="center" wrapText="1"/>
    </xf>
    <xf numFmtId="191" fontId="41" fillId="0" borderId="13" xfId="65" applyNumberFormat="1" applyFont="1" applyBorder="1" applyAlignment="1">
      <alignment horizontal="center" vertical="center" wrapText="1"/>
    </xf>
    <xf numFmtId="184" fontId="41" fillId="0" borderId="12" xfId="65" applyNumberFormat="1" applyFont="1" applyBorder="1" applyAlignment="1">
      <alignment horizontal="center" vertical="center" wrapText="1"/>
    </xf>
    <xf numFmtId="184" fontId="41" fillId="0" borderId="13" xfId="65" applyNumberFormat="1" applyFont="1" applyBorder="1" applyAlignment="1">
      <alignment horizontal="center" vertical="center" wrapText="1"/>
    </xf>
    <xf numFmtId="4" fontId="41" fillId="0" borderId="12" xfId="65" applyNumberFormat="1" applyFont="1" applyBorder="1" applyAlignment="1">
      <alignment horizontal="center" vertical="center" wrapText="1"/>
    </xf>
    <xf numFmtId="0" fontId="40" fillId="0" borderId="0" xfId="65" applyFont="1" applyFill="1" applyAlignment="1">
      <alignment horizontal="left" vertical="center" wrapText="1"/>
    </xf>
    <xf numFmtId="0" fontId="0" fillId="0" borderId="97" xfId="0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center"/>
    </xf>
    <xf numFmtId="2" fontId="0" fillId="47" borderId="0" xfId="0" applyNumberFormat="1" applyFill="1" applyAlignment="1">
      <alignment horizontal="right" vertical="center"/>
    </xf>
    <xf numFmtId="0" fontId="42" fillId="0" borderId="47" xfId="151" applyFont="1" applyFill="1" applyBorder="1" applyAlignment="1">
      <alignment horizontal="center" vertical="center" wrapText="1"/>
    </xf>
    <xf numFmtId="0" fontId="42" fillId="0" borderId="15" xfId="151" applyFont="1" applyFill="1" applyBorder="1" applyAlignment="1">
      <alignment horizontal="center" vertical="center" wrapText="1"/>
    </xf>
    <xf numFmtId="0" fontId="42" fillId="0" borderId="48" xfId="151" applyFont="1" applyFill="1" applyBorder="1" applyAlignment="1">
      <alignment horizontal="center" vertical="center" wrapText="1"/>
    </xf>
    <xf numFmtId="0" fontId="43" fillId="0" borderId="52" xfId="151" applyFont="1" applyFill="1" applyBorder="1" applyAlignment="1">
      <alignment horizontal="center" vertical="center" wrapText="1"/>
    </xf>
    <xf numFmtId="0" fontId="43" fillId="0" borderId="53" xfId="151" applyFont="1" applyFill="1" applyBorder="1" applyAlignment="1">
      <alignment horizontal="center" vertical="center" wrapText="1"/>
    </xf>
    <xf numFmtId="0" fontId="43" fillId="0" borderId="54" xfId="151" applyFont="1" applyFill="1" applyBorder="1" applyAlignment="1">
      <alignment horizontal="center" vertical="center" wrapText="1"/>
    </xf>
    <xf numFmtId="0" fontId="43" fillId="0" borderId="55" xfId="151" applyFont="1" applyFill="1" applyBorder="1" applyAlignment="1">
      <alignment horizontal="center" vertical="center" wrapText="1"/>
    </xf>
    <xf numFmtId="0" fontId="42" fillId="0" borderId="16" xfId="151" applyFont="1" applyFill="1" applyBorder="1" applyAlignment="1">
      <alignment horizontal="center" vertical="center"/>
    </xf>
    <xf numFmtId="0" fontId="42" fillId="0" borderId="17" xfId="151" applyFont="1" applyFill="1" applyBorder="1" applyAlignment="1">
      <alignment horizontal="center" vertical="center"/>
    </xf>
    <xf numFmtId="0" fontId="42" fillId="0" borderId="49" xfId="151" applyFont="1" applyFill="1" applyBorder="1" applyAlignment="1">
      <alignment horizontal="center" vertical="center"/>
    </xf>
    <xf numFmtId="4" fontId="40" fillId="0" borderId="44" xfId="151" applyNumberFormat="1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41" fillId="0" borderId="43" xfId="151" applyFont="1" applyFill="1" applyBorder="1" applyAlignment="1">
      <alignment horizontal="center" vertical="center"/>
    </xf>
    <xf numFmtId="0" fontId="41" fillId="0" borderId="46" xfId="151" applyFont="1" applyFill="1" applyBorder="1" applyAlignment="1">
      <alignment horizontal="center" vertical="center"/>
    </xf>
    <xf numFmtId="0" fontId="82" fillId="0" borderId="43" xfId="151" applyFont="1" applyFill="1" applyBorder="1" applyAlignment="1">
      <alignment horizontal="center" vertical="center" wrapText="1"/>
    </xf>
    <xf numFmtId="0" fontId="82" fillId="0" borderId="46" xfId="151" applyFont="1" applyFill="1" applyBorder="1" applyAlignment="1">
      <alignment horizontal="center" vertical="center" wrapText="1"/>
    </xf>
    <xf numFmtId="4" fontId="41" fillId="0" borderId="44" xfId="151" applyNumberFormat="1" applyFont="1" applyFill="1" applyBorder="1" applyAlignment="1">
      <alignment horizontal="center" vertical="center" wrapText="1"/>
    </xf>
    <xf numFmtId="172" fontId="41" fillId="0" borderId="43" xfId="151" applyNumberFormat="1" applyFont="1" applyFill="1" applyBorder="1" applyAlignment="1">
      <alignment horizontal="center" vertical="center" wrapText="1"/>
    </xf>
    <xf numFmtId="4" fontId="2" fillId="36" borderId="11" xfId="0" applyNumberFormat="1" applyFont="1" applyFill="1" applyBorder="1" applyAlignment="1">
      <alignment horizontal="right" vertical="center"/>
    </xf>
    <xf numFmtId="4" fontId="34" fillId="0" borderId="11" xfId="0" applyNumberFormat="1" applyFont="1" applyBorder="1" applyAlignment="1">
      <alignment horizontal="center" vertical="center" wrapText="1"/>
    </xf>
    <xf numFmtId="3" fontId="1" fillId="36" borderId="11" xfId="0" applyNumberFormat="1" applyFont="1" applyFill="1" applyBorder="1" applyAlignment="1">
      <alignment horizontal="center" vertical="center"/>
    </xf>
    <xf numFmtId="3" fontId="1" fillId="36" borderId="47" xfId="0" applyNumberFormat="1" applyFont="1" applyFill="1" applyBorder="1" applyAlignment="1">
      <alignment horizontal="center" vertical="top"/>
    </xf>
    <xf numFmtId="3" fontId="1" fillId="36" borderId="53" xfId="0" applyNumberFormat="1" applyFont="1" applyFill="1" applyBorder="1" applyAlignment="1">
      <alignment horizontal="center" vertical="top"/>
    </xf>
    <xf numFmtId="4" fontId="1" fillId="36" borderId="16" xfId="0" applyNumberFormat="1" applyFont="1" applyFill="1" applyBorder="1" applyAlignment="1">
      <alignment horizontal="center" vertical="top"/>
    </xf>
    <xf numFmtId="4" fontId="1" fillId="36" borderId="55" xfId="0" applyNumberFormat="1" applyFont="1" applyFill="1" applyBorder="1" applyAlignment="1">
      <alignment horizontal="center" vertical="top"/>
    </xf>
    <xf numFmtId="0" fontId="41" fillId="0" borderId="0" xfId="65" applyFont="1" applyAlignment="1">
      <alignment horizontal="center"/>
    </xf>
  </cellXfs>
  <cellStyles count="198">
    <cellStyle name="12" xfId="49"/>
    <cellStyle name="12 2" xfId="50"/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ABEÇALHO" xfId="153"/>
    <cellStyle name="Cabeçalho 1" xfId="154"/>
    <cellStyle name="Cabeçalho 2" xfId="155"/>
    <cellStyle name="Cálculo" xfId="11" builtinId="22" customBuiltin="1"/>
    <cellStyle name="Célula de Verificação" xfId="13" builtinId="23" customBuiltin="1"/>
    <cellStyle name="Célula Vinculada" xfId="12" builtinId="24" customBuiltin="1"/>
    <cellStyle name="Comma" xfId="156"/>
    <cellStyle name="Comma0" xfId="157"/>
    <cellStyle name="Currency" xfId="158"/>
    <cellStyle name="Currency0" xfId="159"/>
    <cellStyle name="Data" xfId="160"/>
    <cellStyle name="Date" xfId="16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Estilo 1" xfId="51"/>
    <cellStyle name="Euro" xfId="52"/>
    <cellStyle name="Euro 2" xfId="53"/>
    <cellStyle name="Fixed" xfId="162"/>
    <cellStyle name="Fixo" xfId="163"/>
    <cellStyle name="Heading 1" xfId="164"/>
    <cellStyle name="Heading 2" xfId="165"/>
    <cellStyle name="Hiperlink" xfId="197" builtinId="8"/>
    <cellStyle name="Hyperlink 2" xfId="166"/>
    <cellStyle name="Incorreto" xfId="7" builtinId="27" customBuiltin="1"/>
    <cellStyle name="Indefinido" xfId="54"/>
    <cellStyle name="Moeda 2" xfId="55"/>
    <cellStyle name="Moeda 2 2" xfId="56"/>
    <cellStyle name="Moeda 3" xfId="57"/>
    <cellStyle name="Moeda 3 2" xfId="58"/>
    <cellStyle name="Moeda 4" xfId="59"/>
    <cellStyle name="Moeda 4 2" xfId="60"/>
    <cellStyle name="Moeda 5" xfId="61"/>
    <cellStyle name="Moeda 5 2" xfId="62"/>
    <cellStyle name="Moeda0" xfId="167"/>
    <cellStyle name="Moneda [0]_Caixa_exterior" xfId="168"/>
    <cellStyle name="Moneda_Caixa_exterior" xfId="169"/>
    <cellStyle name="Neutra" xfId="8" builtinId="28" customBuiltin="1"/>
    <cellStyle name="Normal" xfId="0" builtinId="0"/>
    <cellStyle name="Normal 10" xfId="63"/>
    <cellStyle name="Normal 11" xfId="170"/>
    <cellStyle name="Normal 12" xfId="194"/>
    <cellStyle name="Normal 13" xfId="47"/>
    <cellStyle name="Normal 13 2" xfId="64"/>
    <cellStyle name="Normal 14" xfId="195"/>
    <cellStyle name="Normal 15" xfId="196"/>
    <cellStyle name="Normal 2" xfId="44"/>
    <cellStyle name="Normal 2 2" xfId="65"/>
    <cellStyle name="Normal 2 2 2" xfId="66"/>
    <cellStyle name="Normal 2 3" xfId="67"/>
    <cellStyle name="Normal 2 4" xfId="68"/>
    <cellStyle name="Normal 2 5" xfId="151"/>
    <cellStyle name="Normal 3" xfId="69"/>
    <cellStyle name="Normal 3 2" xfId="70"/>
    <cellStyle name="Normal 3 2 2" xfId="171"/>
    <cellStyle name="Normal 3 3" xfId="71"/>
    <cellStyle name="Normal 3 4" xfId="72"/>
    <cellStyle name="Normal 3 5" xfId="172"/>
    <cellStyle name="Normal 4" xfId="73"/>
    <cellStyle name="Normal 4 2" xfId="74"/>
    <cellStyle name="Normal 4 3" xfId="75"/>
    <cellStyle name="Normal 5" xfId="76"/>
    <cellStyle name="Normal 5 2" xfId="77"/>
    <cellStyle name="Normal 6" xfId="46"/>
    <cellStyle name="Normal 6 2" xfId="48"/>
    <cellStyle name="Normal 7" xfId="78"/>
    <cellStyle name="Normal 7 2" xfId="173"/>
    <cellStyle name="Normal 8" xfId="79"/>
    <cellStyle name="Normal 8 2" xfId="174"/>
    <cellStyle name="Normal 9" xfId="148"/>
    <cellStyle name="Nota" xfId="15" builtinId="10" customBuiltin="1"/>
    <cellStyle name="Nota 2" xfId="80"/>
    <cellStyle name="Percent" xfId="175"/>
    <cellStyle name="Percentual" xfId="176"/>
    <cellStyle name="Ponto" xfId="177"/>
    <cellStyle name="Porcentagem" xfId="147" builtinId="5"/>
    <cellStyle name="Porcentagem 2" xfId="81"/>
    <cellStyle name="Porcentagem 2 2" xfId="82"/>
    <cellStyle name="Porcentagem 2 2 2" xfId="178"/>
    <cellStyle name="Porcentagem 2 3" xfId="83"/>
    <cellStyle name="Porcentagem 2 4" xfId="179"/>
    <cellStyle name="Porcentagem 3" xfId="84"/>
    <cellStyle name="Porcentagem 3 2" xfId="180"/>
    <cellStyle name="Porcentagem 3 3" xfId="181"/>
    <cellStyle name="Porcentagem 3 4" xfId="182"/>
    <cellStyle name="Porcentagem 4" xfId="85"/>
    <cellStyle name="Porcentagem 4 2" xfId="86"/>
    <cellStyle name="Porcentagem 5" xfId="87"/>
    <cellStyle name="Saída" xfId="10" builtinId="21" customBuiltin="1"/>
    <cellStyle name="Sep. milhar [0]" xfId="183"/>
    <cellStyle name="Separador de m" xfId="184"/>
    <cellStyle name="Separador de milhares 10" xfId="88"/>
    <cellStyle name="Separador de milhares 11" xfId="89"/>
    <cellStyle name="Separador de milhares 12" xfId="90"/>
    <cellStyle name="Separador de milhares 13" xfId="91"/>
    <cellStyle name="Separador de milhares 14" xfId="92"/>
    <cellStyle name="Separador de milhares 14 2" xfId="93"/>
    <cellStyle name="Separador de milhares 15" xfId="94"/>
    <cellStyle name="Separador de milhares 15 2" xfId="95"/>
    <cellStyle name="Separador de milhares 15 3" xfId="96"/>
    <cellStyle name="Separador de milhares 16" xfId="97"/>
    <cellStyle name="Separador de milhares 17" xfId="98"/>
    <cellStyle name="Separador de milhares 18" xfId="99"/>
    <cellStyle name="Separador de milhares 19" xfId="100"/>
    <cellStyle name="Separador de milhares 2" xfId="101"/>
    <cellStyle name="Separador de milhares 2 2" xfId="102"/>
    <cellStyle name="Separador de milhares 2 2 2" xfId="185"/>
    <cellStyle name="Separador de milhares 2 2 3" xfId="186"/>
    <cellStyle name="Separador de milhares 2 3" xfId="103"/>
    <cellStyle name="Separador de milhares 2 4" xfId="187"/>
    <cellStyle name="Separador de milhares 20" xfId="104"/>
    <cellStyle name="Separador de milhares 21" xfId="105"/>
    <cellStyle name="Separador de milhares 22" xfId="106"/>
    <cellStyle name="Separador de milhares 23" xfId="107"/>
    <cellStyle name="Separador de milhares 23 2" xfId="149"/>
    <cellStyle name="Separador de milhares 24" xfId="150"/>
    <cellStyle name="Separador de milhares 25" xfId="152"/>
    <cellStyle name="Separador de milhares 3" xfId="108"/>
    <cellStyle name="Separador de milhares 3 2" xfId="109"/>
    <cellStyle name="Separador de milhares 3 2 2" xfId="110"/>
    <cellStyle name="Separador de milhares 3 3" xfId="111"/>
    <cellStyle name="Separador de milhares 3 3 2" xfId="112"/>
    <cellStyle name="Separador de milhares 3 4" xfId="113"/>
    <cellStyle name="Separador de milhares 4" xfId="114"/>
    <cellStyle name="Separador de milhares 4 2" xfId="115"/>
    <cellStyle name="Separador de milhares 4 2 2" xfId="188"/>
    <cellStyle name="Separador de milhares 4 3" xfId="116"/>
    <cellStyle name="Separador de milhares 5" xfId="117"/>
    <cellStyle name="Separador de milhares 5 2" xfId="118"/>
    <cellStyle name="Separador de milhares 5 3" xfId="193"/>
    <cellStyle name="Separador de milhares 6" xfId="119"/>
    <cellStyle name="Separador de milhares 6 2" xfId="120"/>
    <cellStyle name="Separador de milhares 6 3" xfId="121"/>
    <cellStyle name="Separador de milhares 7" xfId="122"/>
    <cellStyle name="Separador de milhares 7 2" xfId="123"/>
    <cellStyle name="Separador de milhares 8" xfId="124"/>
    <cellStyle name="Separador de milhares 9" xfId="125"/>
    <cellStyle name="SUMA PARCIAL" xfId="189"/>
    <cellStyle name="Texto de Aviso" xfId="14" builtinId="11" customBuiltin="1"/>
    <cellStyle name="Texto Explicativo" xfId="16" builtinId="53" customBuiltin="1"/>
    <cellStyle name="Título" xfId="1" builtinId="15" customBuiltin="1"/>
    <cellStyle name="Titulo 1" xfId="126"/>
    <cellStyle name="Título 1" xfId="2" builtinId="16" customBuiltin="1"/>
    <cellStyle name="Título 1 1" xfId="127"/>
    <cellStyle name="Titulo 1 2" xfId="128"/>
    <cellStyle name="Titulo 2" xfId="129"/>
    <cellStyle name="Título 2" xfId="3" builtinId="17" customBuiltin="1"/>
    <cellStyle name="Titulo 2 2" xfId="130"/>
    <cellStyle name="Título 3" xfId="4" builtinId="18" customBuiltin="1"/>
    <cellStyle name="Título 4" xfId="5" builtinId="19" customBuiltin="1"/>
    <cellStyle name="Titulo1" xfId="131"/>
    <cellStyle name="Titulo2" xfId="190"/>
    <cellStyle name="Total" xfId="17" builtinId="25" customBuiltin="1"/>
    <cellStyle name="un" xfId="132"/>
    <cellStyle name="Vírgula" xfId="43" builtinId="3"/>
    <cellStyle name="Vírgula 2" xfId="42"/>
    <cellStyle name="Vírgula 2 2" xfId="133"/>
    <cellStyle name="Vírgula 2 2 2" xfId="134"/>
    <cellStyle name="Vírgula 2 3" xfId="135"/>
    <cellStyle name="Vírgula 2 3 2" xfId="136"/>
    <cellStyle name="Vírgula 2 4" xfId="137"/>
    <cellStyle name="Vírgula 2 4 2" xfId="138"/>
    <cellStyle name="Vírgula 2 5" xfId="139"/>
    <cellStyle name="Vírgula 3" xfId="45"/>
    <cellStyle name="Vírgula 4" xfId="140"/>
    <cellStyle name="Vírgula 4 2" xfId="141"/>
    <cellStyle name="Vírgula 5" xfId="142"/>
    <cellStyle name="Vírgula 5 2" xfId="143"/>
    <cellStyle name="Vírgula 6" xfId="144"/>
    <cellStyle name="Vírgula 6 2" xfId="145"/>
    <cellStyle name="Vírgula 7" xfId="146"/>
    <cellStyle name="Vírgula0" xfId="191"/>
    <cellStyle name="Währung" xfId="1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185162</xdr:colOff>
      <xdr:row>1</xdr:row>
      <xdr:rowOff>1184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890" b="-8265"/>
        <a:stretch/>
      </xdr:blipFill>
      <xdr:spPr>
        <a:xfrm>
          <a:off x="66675" y="47625"/>
          <a:ext cx="909062" cy="4583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413893</xdr:colOff>
      <xdr:row>0</xdr:row>
      <xdr:rowOff>258033</xdr:rowOff>
    </xdr:from>
    <xdr:to>
      <xdr:col>1</xdr:col>
      <xdr:colOff>790575</xdr:colOff>
      <xdr:row>1</xdr:row>
      <xdr:rowOff>228600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890" b="-8265"/>
        <a:stretch/>
      </xdr:blipFill>
      <xdr:spPr>
        <a:xfrm>
          <a:off x="1023493" y="258033"/>
          <a:ext cx="910082" cy="4658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116</xdr:row>
      <xdr:rowOff>76200</xdr:rowOff>
    </xdr:from>
    <xdr:to>
      <xdr:col>8</xdr:col>
      <xdr:colOff>85725</xdr:colOff>
      <xdr:row>118</xdr:row>
      <xdr:rowOff>38100</xdr:rowOff>
    </xdr:to>
    <xdr:sp macro="" textlink="">
      <xdr:nvSpPr>
        <xdr:cNvPr id="2" name="Chave direita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5495925" y="12268200"/>
          <a:ext cx="161925" cy="342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104775</xdr:colOff>
      <xdr:row>222</xdr:row>
      <xdr:rowOff>9525</xdr:rowOff>
    </xdr:from>
    <xdr:to>
      <xdr:col>10</xdr:col>
      <xdr:colOff>171450</xdr:colOff>
      <xdr:row>223</xdr:row>
      <xdr:rowOff>123825</xdr:rowOff>
    </xdr:to>
    <xdr:sp macro="" textlink="">
      <xdr:nvSpPr>
        <xdr:cNvPr id="4" name="Chave direita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5915025" y="17154525"/>
          <a:ext cx="676275" cy="304800"/>
        </a:xfrm>
        <a:prstGeom prst="rightBrace">
          <a:avLst>
            <a:gd name="adj1" fmla="val 8333"/>
            <a:gd name="adj2" fmla="val 7187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142875</xdr:colOff>
      <xdr:row>175</xdr:row>
      <xdr:rowOff>76200</xdr:rowOff>
    </xdr:from>
    <xdr:to>
      <xdr:col>20</xdr:col>
      <xdr:colOff>142875</xdr:colOff>
      <xdr:row>181</xdr:row>
      <xdr:rowOff>76200</xdr:rowOff>
    </xdr:to>
    <xdr:cxnSp macro="">
      <xdr:nvCxnSpPr>
        <xdr:cNvPr id="14" name="Conector reto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CxnSpPr/>
      </xdr:nvCxnSpPr>
      <xdr:spPr>
        <a:xfrm>
          <a:off x="11277600" y="15887700"/>
          <a:ext cx="0" cy="11906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180</xdr:row>
      <xdr:rowOff>0</xdr:rowOff>
    </xdr:from>
    <xdr:to>
      <xdr:col>20</xdr:col>
      <xdr:colOff>361950</xdr:colOff>
      <xdr:row>180</xdr:row>
      <xdr:rowOff>0</xdr:rowOff>
    </xdr:to>
    <xdr:cxnSp macro="">
      <xdr:nvCxnSpPr>
        <xdr:cNvPr id="15" name="Conector reto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9867900" y="2705100"/>
          <a:ext cx="2857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181</xdr:row>
      <xdr:rowOff>0</xdr:rowOff>
    </xdr:from>
    <xdr:to>
      <xdr:col>20</xdr:col>
      <xdr:colOff>361950</xdr:colOff>
      <xdr:row>181</xdr:row>
      <xdr:rowOff>0</xdr:rowOff>
    </xdr:to>
    <xdr:cxnSp macro="">
      <xdr:nvCxnSpPr>
        <xdr:cNvPr id="16" name="Conector reto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CxnSpPr/>
      </xdr:nvCxnSpPr>
      <xdr:spPr>
        <a:xfrm>
          <a:off x="9867900" y="2905125"/>
          <a:ext cx="2857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</xdr:colOff>
      <xdr:row>176</xdr:row>
      <xdr:rowOff>0</xdr:rowOff>
    </xdr:from>
    <xdr:to>
      <xdr:col>20</xdr:col>
      <xdr:colOff>295275</xdr:colOff>
      <xdr:row>176</xdr:row>
      <xdr:rowOff>0</xdr:rowOff>
    </xdr:to>
    <xdr:cxnSp macro="">
      <xdr:nvCxnSpPr>
        <xdr:cNvPr id="18" name="Conector reto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CxnSpPr/>
      </xdr:nvCxnSpPr>
      <xdr:spPr>
        <a:xfrm>
          <a:off x="11144250" y="16011525"/>
          <a:ext cx="2857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66675</xdr:colOff>
      <xdr:row>180</xdr:row>
      <xdr:rowOff>152400</xdr:rowOff>
    </xdr:from>
    <xdr:to>
      <xdr:col>20</xdr:col>
      <xdr:colOff>209550</xdr:colOff>
      <xdr:row>181</xdr:row>
      <xdr:rowOff>95251</xdr:rowOff>
    </xdr:to>
    <xdr:cxnSp macro="">
      <xdr:nvCxnSpPr>
        <xdr:cNvPr id="19" name="Conector reto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CxnSpPr/>
      </xdr:nvCxnSpPr>
      <xdr:spPr>
        <a:xfrm flipV="1">
          <a:off x="11201400" y="16954500"/>
          <a:ext cx="142875" cy="14287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85725</xdr:colOff>
      <xdr:row>179</xdr:row>
      <xdr:rowOff>123825</xdr:rowOff>
    </xdr:from>
    <xdr:to>
      <xdr:col>20</xdr:col>
      <xdr:colOff>228600</xdr:colOff>
      <xdr:row>180</xdr:row>
      <xdr:rowOff>57151</xdr:rowOff>
    </xdr:to>
    <xdr:cxnSp macro="">
      <xdr:nvCxnSpPr>
        <xdr:cNvPr id="22" name="Conector reto 21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CxnSpPr/>
      </xdr:nvCxnSpPr>
      <xdr:spPr>
        <a:xfrm flipV="1">
          <a:off x="11220450" y="16725900"/>
          <a:ext cx="142875" cy="133351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olid"/>
        </a:ln>
        <a:effectLst/>
      </xdr:spPr>
    </xdr:cxnSp>
    <xdr:clientData/>
  </xdr:twoCellAnchor>
  <xdr:twoCellAnchor>
    <xdr:from>
      <xdr:col>20</xdr:col>
      <xdr:colOff>47625</xdr:colOff>
      <xdr:row>177</xdr:row>
      <xdr:rowOff>114300</xdr:rowOff>
    </xdr:from>
    <xdr:to>
      <xdr:col>20</xdr:col>
      <xdr:colOff>228600</xdr:colOff>
      <xdr:row>178</xdr:row>
      <xdr:rowOff>76201</xdr:rowOff>
    </xdr:to>
    <xdr:cxnSp macro="">
      <xdr:nvCxnSpPr>
        <xdr:cNvPr id="23" name="Conector reto 22"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CxnSpPr/>
      </xdr:nvCxnSpPr>
      <xdr:spPr>
        <a:xfrm flipV="1">
          <a:off x="11182350" y="16335375"/>
          <a:ext cx="180975" cy="152401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olid"/>
        </a:ln>
        <a:effectLst/>
      </xdr:spPr>
    </xdr:cxnSp>
    <xdr:clientData/>
  </xdr:twoCellAnchor>
  <xdr:twoCellAnchor>
    <xdr:from>
      <xdr:col>20</xdr:col>
      <xdr:colOff>57150</xdr:colOff>
      <xdr:row>175</xdr:row>
      <xdr:rowOff>123825</xdr:rowOff>
    </xdr:from>
    <xdr:to>
      <xdr:col>20</xdr:col>
      <xdr:colOff>247650</xdr:colOff>
      <xdr:row>176</xdr:row>
      <xdr:rowOff>85726</xdr:rowOff>
    </xdr:to>
    <xdr:cxnSp macro="">
      <xdr:nvCxnSpPr>
        <xdr:cNvPr id="24" name="Conector reto 23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CxnSpPr/>
      </xdr:nvCxnSpPr>
      <xdr:spPr>
        <a:xfrm flipV="1">
          <a:off x="11191875" y="15935325"/>
          <a:ext cx="190500" cy="161926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olid"/>
        </a:ln>
        <a:effectLst/>
      </xdr:spPr>
    </xdr:cxnSp>
    <xdr:clientData/>
  </xdr:twoCellAnchor>
  <xdr:twoCellAnchor>
    <xdr:from>
      <xdr:col>20</xdr:col>
      <xdr:colOff>66675</xdr:colOff>
      <xdr:row>176</xdr:row>
      <xdr:rowOff>85725</xdr:rowOff>
    </xdr:from>
    <xdr:to>
      <xdr:col>20</xdr:col>
      <xdr:colOff>257175</xdr:colOff>
      <xdr:row>177</xdr:row>
      <xdr:rowOff>38101</xdr:rowOff>
    </xdr:to>
    <xdr:cxnSp macro="">
      <xdr:nvCxnSpPr>
        <xdr:cNvPr id="29" name="Conector reto 28">
          <a:extLst>
            <a:ext uri="{FF2B5EF4-FFF2-40B4-BE49-F238E27FC236}">
              <a16:creationId xmlns="" xmlns:a16="http://schemas.microsoft.com/office/drawing/2014/main" id="{00000000-0008-0000-0400-00001D000000}"/>
            </a:ext>
          </a:extLst>
        </xdr:cNvPr>
        <xdr:cNvCxnSpPr/>
      </xdr:nvCxnSpPr>
      <xdr:spPr>
        <a:xfrm flipV="1">
          <a:off x="11201400" y="16097250"/>
          <a:ext cx="190500" cy="161926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olid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0</xdr:rowOff>
    </xdr:from>
    <xdr:to>
      <xdr:col>0</xdr:col>
      <xdr:colOff>269367</xdr:colOff>
      <xdr:row>1</xdr:row>
      <xdr:rowOff>2286</xdr:rowOff>
    </xdr:to>
    <xdr:pic>
      <xdr:nvPicPr>
        <xdr:cNvPr id="3" name="Picture 261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5300"/>
          <a:ext cx="136017" cy="2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1</xdr:row>
      <xdr:rowOff>0</xdr:rowOff>
    </xdr:from>
    <xdr:to>
      <xdr:col>1</xdr:col>
      <xdr:colOff>228981</xdr:colOff>
      <xdr:row>1</xdr:row>
      <xdr:rowOff>1143</xdr:rowOff>
    </xdr:to>
    <xdr:pic>
      <xdr:nvPicPr>
        <xdr:cNvPr id="4" name="Picture 2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495300"/>
          <a:ext cx="590931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</xdr:row>
      <xdr:rowOff>0</xdr:rowOff>
    </xdr:from>
    <xdr:to>
      <xdr:col>0</xdr:col>
      <xdr:colOff>269367</xdr:colOff>
      <xdr:row>7</xdr:row>
      <xdr:rowOff>2286</xdr:rowOff>
    </xdr:to>
    <xdr:pic>
      <xdr:nvPicPr>
        <xdr:cNvPr id="5" name="Picture 26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62100"/>
          <a:ext cx="136017" cy="2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7</xdr:row>
      <xdr:rowOff>0</xdr:rowOff>
    </xdr:from>
    <xdr:to>
      <xdr:col>1</xdr:col>
      <xdr:colOff>228981</xdr:colOff>
      <xdr:row>7</xdr:row>
      <xdr:rowOff>1143</xdr:rowOff>
    </xdr:to>
    <xdr:pic>
      <xdr:nvPicPr>
        <xdr:cNvPr id="6" name="Picture 26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1562100"/>
          <a:ext cx="590931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148160</xdr:colOff>
      <xdr:row>0</xdr:row>
      <xdr:rowOff>84665</xdr:rowOff>
    </xdr:from>
    <xdr:to>
      <xdr:col>1</xdr:col>
      <xdr:colOff>338659</xdr:colOff>
      <xdr:row>0</xdr:row>
      <xdr:rowOff>523457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0" y="84665"/>
          <a:ext cx="867832" cy="438792"/>
        </a:xfrm>
        <a:prstGeom prst="rect">
          <a:avLst/>
        </a:prstGeom>
      </xdr:spPr>
    </xdr:pic>
    <xdr:clientData/>
  </xdr:twoCellAnchor>
  <xdr:oneCellAnchor>
    <xdr:from>
      <xdr:col>0</xdr:col>
      <xdr:colOff>133350</xdr:colOff>
      <xdr:row>26</xdr:row>
      <xdr:rowOff>0</xdr:rowOff>
    </xdr:from>
    <xdr:ext cx="136017" cy="2286"/>
    <xdr:pic>
      <xdr:nvPicPr>
        <xdr:cNvPr id="8" name="Picture 2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672167"/>
          <a:ext cx="136017" cy="2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314325</xdr:colOff>
      <xdr:row>26</xdr:row>
      <xdr:rowOff>0</xdr:rowOff>
    </xdr:from>
    <xdr:ext cx="591989" cy="1143"/>
    <xdr:pic>
      <xdr:nvPicPr>
        <xdr:cNvPr id="9" name="Picture 261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1672167"/>
          <a:ext cx="591989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133350</xdr:colOff>
      <xdr:row>33</xdr:row>
      <xdr:rowOff>0</xdr:rowOff>
    </xdr:from>
    <xdr:ext cx="136017" cy="2286"/>
    <xdr:pic>
      <xdr:nvPicPr>
        <xdr:cNvPr id="10" name="Picture 261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566833"/>
          <a:ext cx="136017" cy="2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314325</xdr:colOff>
      <xdr:row>33</xdr:row>
      <xdr:rowOff>0</xdr:rowOff>
    </xdr:from>
    <xdr:ext cx="591989" cy="1143"/>
    <xdr:pic>
      <xdr:nvPicPr>
        <xdr:cNvPr id="11" name="Picture 261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5566833"/>
          <a:ext cx="591989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28575</xdr:rowOff>
    </xdr:from>
    <xdr:to>
      <xdr:col>1</xdr:col>
      <xdr:colOff>412401</xdr:colOff>
      <xdr:row>0</xdr:row>
      <xdr:rowOff>489680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890" b="-8265"/>
        <a:stretch/>
      </xdr:blipFill>
      <xdr:spPr>
        <a:xfrm>
          <a:off x="190500" y="28575"/>
          <a:ext cx="907701" cy="4611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001\c\Meus%20documentos\Excel\DVOP\8_97%20-%20S&#227;o%20Vicente\Prod.%20Equip.%20Mec.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ARQ\projeto\WINDOWS\Temporary%20Internet%20Files\Content.IE5\Q9YZIJ83\file:\A:\TERCIO\BR%2520163%2520REST%2520set%25202003\DEISI\Or%25C3%25A7amento%2520Sta%2520Helena%2520Guarant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a6\SISTEMA%20(C)\WINDOWS\Temporary%20Internet%20Files\Content.IE5\Q9YZIJ83\file:\A:\TERCIO\BR%2520163%2520REST%2520set%25202003\DEISI\Or%25C3%25A7amento%2520Sta%2520Helena%2520Guarant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ARQ\projeto\WINDOWS\Temporary%20Internet%20Files\Content.IE5\Q9YZIJ83\file:\A:\TEMP\Or%25C3%25A7amento%2520Sta%2520Helena%2520Guarant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a6\SISTEMA%20(C)\WINDOWS\Temporary%20Internet%20Files\Content.IE5\Q9YZIJ83\file:\A:\TEMP\Or%25C3%25A7amento%2520Sta%2520Helena%2520Guaran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mail.terra.com.br/cgi-bin/webmail.exe/Meus%20documentos/ANAST%C3%81CIO/SERCEL/BR2629906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uriney\c\Meus%20documentos\geosolo\1&#170;%20M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uriney\c\Meus%20documentos\geosolo\Medi&#231;&#227;o%20n&#186;%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ANDRO\Meus%20documentos\LICITA&#199;&#213;ES\DNIT\CP%20220-2006-MT\Edital\ANEXOS%20-%20BR_364_MT_2006%20CONSERVA&#199;&#195;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mail.terra.com.br/cgi-bin/webmail.exe/Meus%20documentos/ANAST%C3%81CIO/SERCEL/BR2629908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aptop%20-%20Arquivos\DNIT\PATOs\Rondon&#243;polis\PATO_BR-364_km_000_ao_km_11290_LICITA&#199;&#195;O%20MAIO%20DE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a6\SISTEMA%20(C)\Laptop%20-%20Arquivos\DNIT\PATOs\Rondon&#243;polis\PATO_BR-364_km_000_ao_km_11290_LICITA&#199;&#195;O%20MAIO%20DE%2020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OS&#201;%20RENATO%20-%20ASSESSOR%20T&#201;CNICO\SESC%20SERRA%20AZUL%20-%20estrada\planilhas%20revisadas%20-%20Eron\Or&#231;amento%20-%20tra&#231;ado%20-%20%20SESC%20Serra%20Az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1,13"/>
      <sheetName val="1,14"/>
      <sheetName val="1.15"/>
      <sheetName val="1,16"/>
      <sheetName val="1,17"/>
      <sheetName val="aux1"/>
      <sheetName val="1,19"/>
      <sheetName val="1,20"/>
      <sheetName val="1,21"/>
      <sheetName val="1,22"/>
      <sheetName val="1,23"/>
      <sheetName val="1.24"/>
      <sheetName val="1.25"/>
      <sheetName val="1.26"/>
      <sheetName val="1.28"/>
      <sheetName val="1.29"/>
      <sheetName val="3.4"/>
      <sheetName val="D"/>
      <sheetName val="2.1"/>
      <sheetName val="H"/>
      <sheetName val="I"/>
      <sheetName val="J"/>
      <sheetName val="K"/>
      <sheetName val="L"/>
      <sheetName val="M"/>
      <sheetName val="N"/>
      <sheetName val="O"/>
      <sheetName val="aux. 2"/>
      <sheetName val="Q"/>
      <sheetName val="R"/>
      <sheetName val="S"/>
      <sheetName val="T"/>
      <sheetName val="U"/>
      <sheetName val="B"/>
      <sheetName val="G"/>
      <sheetName val="P"/>
      <sheetName val="RESUMO"/>
      <sheetName val="REAJU"/>
    </sheetNames>
    <sheetDataSet>
      <sheetData sheetId="0"/>
      <sheetData sheetId="1"/>
      <sheetData sheetId="2"/>
      <sheetData sheetId="3"/>
      <sheetData sheetId="4"/>
      <sheetData sheetId="5">
        <row r="11">
          <cell r="A11" t="str">
            <v>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MED"/>
      <sheetName val="Relatório-1ª med."/>
      <sheetName val="DRENA"/>
      <sheetName val="ESCAVOCAR"/>
      <sheetName val="TRANSPTERR"/>
      <sheetName val="REG SUBLEITO"/>
      <sheetName val="SUBBASE"/>
      <sheetName val="BASE"/>
      <sheetName val="TRANSPBASE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Relatório_1ª med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-5ª med."/>
      <sheetName val="RESUMO-DVOP"/>
      <sheetName val="REAJUSTE "/>
      <sheetName val="Rem. e limpeza "/>
      <sheetName val="Cubação - Teórica"/>
      <sheetName val="DMT - TEORICO "/>
      <sheetName val="Cub.-Med 5"/>
      <sheetName val="DMT-5ª MEDIÇÃO "/>
      <sheetName val="Cronograma Físico-Financeiro"/>
      <sheetName val="Cronograma Semanal"/>
      <sheetName val="Bueiros"/>
      <sheetName val="Regula"/>
      <sheetName val="Sub-base"/>
      <sheetName val="Base"/>
      <sheetName val="Imprimação"/>
      <sheetName val="CBUQ"/>
      <sheetName val="Colchão drenante"/>
      <sheetName val="TSS"/>
      <sheetName val="TSD-FOG"/>
      <sheetName val="AGREGADOS"/>
      <sheetName val="Pintura"/>
      <sheetName val="Grama"/>
      <sheetName val="Transporte de brita"/>
      <sheetName val="DRENO"/>
      <sheetName val="DRENO SALDO"/>
      <sheetName val="AÇO CA-50"/>
      <sheetName val="AÇO CA-50 (2)"/>
      <sheetName val="DMT - TEORICO 2"/>
      <sheetName val="Acumulado"/>
      <sheetName val="Sub_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6">
          <cell r="U36">
            <v>228419.09999999998</v>
          </cell>
        </row>
      </sheetData>
      <sheetData sheetId="13">
        <row r="39">
          <cell r="U39">
            <v>263049.59999999998</v>
          </cell>
        </row>
        <row r="40">
          <cell r="U40">
            <v>13152.48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qui"/>
      <sheetName val="Pato"/>
      <sheetName val="CALCULOS AUXILIARES"/>
      <sheetName val="Q Custo"/>
      <sheetName val="Cronog"/>
      <sheetName val="Transp"/>
      <sheetName val="Memorial"/>
      <sheetName val="Memorial II"/>
      <sheetName val="SERV MAT BET"/>
      <sheetName val="TRANSP FRIO E QUENTE"/>
      <sheetName val="Comp P Unit "/>
      <sheetName val="C MÃO OBRA"/>
      <sheetName val="CUSTO MATERIAL"/>
      <sheetName val="CUSTO EQUIP"/>
      <sheetName val="MOBIL_INST_CANT"/>
      <sheetName val="COMP TRANSP EQUIP"/>
      <sheetName val="Plan1"/>
    </sheetNames>
    <sheetDataSet>
      <sheetData sheetId="0">
        <row r="3">
          <cell r="B3" t="str">
            <v>: BR-364/MT</v>
          </cell>
        </row>
        <row r="4">
          <cell r="I4" t="str">
            <v>SR/DNIT/MT</v>
          </cell>
        </row>
        <row r="5">
          <cell r="B5" t="str">
            <v>: DIV. GO/MT - DIV. MT/RO</v>
          </cell>
        </row>
        <row r="6">
          <cell r="B6" t="str">
            <v>: ENTR. MT-461(A) (Km 112,90) - ENTR. MT-270(B) (Km 215,90)</v>
          </cell>
          <cell r="I6" t="str">
            <v>Lote 02</v>
          </cell>
        </row>
        <row r="7">
          <cell r="A7" t="str">
            <v>EXTENSÃO</v>
          </cell>
          <cell r="B7" t="str">
            <v>: 103,00 Km</v>
          </cell>
        </row>
      </sheetData>
      <sheetData sheetId="1">
        <row r="1">
          <cell r="A1" t="str">
            <v>MT - DNIT - Superintendencia Regional no Estado do Mato Grosso</v>
          </cell>
        </row>
      </sheetData>
      <sheetData sheetId="2">
        <row r="12">
          <cell r="E12">
            <v>2916.8777473920004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ORÇAMENTO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"/>
      <sheetName val="Pato "/>
      <sheetName val="Memorial "/>
      <sheetName val="Q Custo"/>
      <sheetName val="Transp"/>
      <sheetName val="Cronog"/>
      <sheetName val="reg_mec_fx_dm_"/>
      <sheetName val="rec_cam_pav_"/>
      <sheetName val="solo_cimento"/>
      <sheetName val="imprimação"/>
      <sheetName val="aquis_ CM_30 impri"/>
      <sheetName val="tr_CM_30 impr"/>
      <sheetName val="pint_lig"/>
      <sheetName val="aquis_ RR_1C pl"/>
      <sheetName val="tr_RR_1C pl"/>
      <sheetName val="capa selan_pedrisco"/>
      <sheetName val="aquis_RR_2C"/>
      <sheetName val="tr_RR_2C"/>
      <sheetName val="rec_rev_frio"/>
      <sheetName val="mbuf"/>
      <sheetName val="aquis_RM_1C"/>
      <sheetName val="tr_RM_1C"/>
      <sheetName val="rec_rev_quente"/>
      <sheetName val="mbuq"/>
      <sheetName val="aquis_CAP_20"/>
      <sheetName val="tr_CAP_20"/>
      <sheetName val="rem_man_rev_bet_"/>
      <sheetName val="rem_mec_cam_gran_pav_"/>
      <sheetName val="rem_man_cam_gran_pav_"/>
      <sheetName val="con_ciclp_"/>
      <sheetName val="con_cim_"/>
      <sheetName val="arg_cim_areia"/>
      <sheetName val="drobragem"/>
      <sheetName val="forma"/>
      <sheetName val="ret_com_bueiro"/>
      <sheetName val="reat_apil_"/>
      <sheetName val="limp_ponte"/>
      <sheetName val="esc_man_1ªcat"/>
      <sheetName val="esc_mec_vala_mat_1ªcat"/>
      <sheetName val="enroc_pd_arrum_"/>
      <sheetName val="enroc_pd_jogada"/>
      <sheetName val="tapa buraco"/>
      <sheetName val="aquis_CM_30 tp"/>
      <sheetName val="tr_CM_30 tp"/>
      <sheetName val="rem_pro_dem_mn_"/>
      <sheetName val="aquis_ CM_30 rmendo"/>
      <sheetName val="tr_CM_30 remendo"/>
      <sheetName val="selagem trinca"/>
      <sheetName val="aquis_RR_1C selagem"/>
      <sheetName val="tr_RR_1C selagem"/>
      <sheetName val="correção"/>
      <sheetName val="aquis_ RR_1C pl (2)"/>
      <sheetName val="tr_RR_1C pl (2)"/>
      <sheetName val="fresagem"/>
      <sheetName val="rec_guad_corpo"/>
      <sheetName val="limp_sarj_meio_fio"/>
      <sheetName val="limp_vala_dren_"/>
      <sheetName val="limp_desc_d_água"/>
      <sheetName val="limp_bueiro"/>
      <sheetName val="assent_ D_1_00m"/>
      <sheetName val="limp_pc_sinal_"/>
      <sheetName val="rec_pc_sinal_"/>
      <sheetName val="rec_def_met_"/>
      <sheetName val="caiação"/>
      <sheetName val="renov_sin_horiz_"/>
      <sheetName val="rec_manual aterro"/>
      <sheetName val="rma"/>
      <sheetName val="rem_manual barr_solo"/>
      <sheetName val="rem_manual barr_rocha"/>
      <sheetName val="roç_man_"/>
      <sheetName val="roç_cap_col_"/>
      <sheetName val="roç_mec_"/>
      <sheetName val="capina man_"/>
      <sheetName val="tr_lc_basc_5m3"/>
      <sheetName val="tr_remendo"/>
      <sheetName val="tr_lc_carroc_4t"/>
      <sheetName val="tr_com_carroc_"/>
      <sheetName val="tr_com_basc_10m³"/>
      <sheetName val="tr_loc_mat_bet"/>
      <sheetName val="micro"/>
      <sheetName val="aquis_pilim_"/>
      <sheetName val="tr_polim_"/>
      <sheetName val="veic_"/>
      <sheetName val="mobilização"/>
      <sheetName val="prancha"/>
      <sheetName val="instalação"/>
      <sheetName val="cerca"/>
      <sheetName val="trans_frio"/>
      <sheetName val="trans_que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"/>
      <sheetName val="Pato "/>
      <sheetName val="Memorial "/>
      <sheetName val="Q Custo"/>
      <sheetName val="Transp"/>
      <sheetName val="Cronog"/>
      <sheetName val="reg_mec_fx_dm_"/>
      <sheetName val="rec_cam_pav_"/>
      <sheetName val="solo_cimento"/>
      <sheetName val="imprimação"/>
      <sheetName val="aquis_ CM_30 impri"/>
      <sheetName val="tr_CM_30 impr"/>
      <sheetName val="pint_lig"/>
      <sheetName val="aquis_ RR_1C pl"/>
      <sheetName val="tr_RR_1C pl"/>
      <sheetName val="capa selan_pedrisco"/>
      <sheetName val="aquis_RR_2C"/>
      <sheetName val="tr_RR_2C"/>
      <sheetName val="rec_rev_frio"/>
      <sheetName val="mbuf"/>
      <sheetName val="aquis_RM_1C"/>
      <sheetName val="tr_RM_1C"/>
      <sheetName val="rec_rev_quente"/>
      <sheetName val="mbuq"/>
      <sheetName val="aquis_CAP_20"/>
      <sheetName val="tr_CAP_20"/>
      <sheetName val="rem_man_rev_bet_"/>
      <sheetName val="rem_mec_cam_gran_pav_"/>
      <sheetName val="rem_man_cam_gran_pav_"/>
      <sheetName val="con_ciclp_"/>
      <sheetName val="con_cim_"/>
      <sheetName val="arg_cim_areia"/>
      <sheetName val="drobragem"/>
      <sheetName val="forma"/>
      <sheetName val="ret_com_bueiro"/>
      <sheetName val="reat_apil_"/>
      <sheetName val="limp_ponte"/>
      <sheetName val="esc_man_1ªcat"/>
      <sheetName val="esc_mec_vala_mat_1ªcat"/>
      <sheetName val="enroc_pd_arrum_"/>
      <sheetName val="enroc_pd_jogada"/>
      <sheetName val="tapa buraco"/>
      <sheetName val="aquis_CM_30 tp"/>
      <sheetName val="tr_CM_30 tp"/>
      <sheetName val="rem_pro_dem_mn_"/>
      <sheetName val="aquis_ CM_30 rmendo"/>
      <sheetName val="tr_CM_30 remendo"/>
      <sheetName val="selagem trinca"/>
      <sheetName val="aquis_RR_1C selagem"/>
      <sheetName val="tr_RR_1C selagem"/>
      <sheetName val="correção"/>
      <sheetName val="aquis_ RR_1C pl (2)"/>
      <sheetName val="tr_RR_1C pl (2)"/>
      <sheetName val="fresagem"/>
      <sheetName val="rec_guad_corpo"/>
      <sheetName val="limp_sarj_meio_fio"/>
      <sheetName val="limp_vala_dren_"/>
      <sheetName val="limp_desc_d_água"/>
      <sheetName val="limp_bueiro"/>
      <sheetName val="assent_ D_1_00m"/>
      <sheetName val="limp_pc_sinal_"/>
      <sheetName val="rec_pc_sinal_"/>
      <sheetName val="rec_def_met_"/>
      <sheetName val="caiação"/>
      <sheetName val="renov_sin_horiz_"/>
      <sheetName val="rec_manual aterro"/>
      <sheetName val="rma"/>
      <sheetName val="rem_manual barr_solo"/>
      <sheetName val="rem_manual barr_rocha"/>
      <sheetName val="roç_man_"/>
      <sheetName val="roç_cap_col_"/>
      <sheetName val="roç_mec_"/>
      <sheetName val="capina man_"/>
      <sheetName val="tr_lc_basc_5m3"/>
      <sheetName val="tr_remendo"/>
      <sheetName val="tr_lc_carroc_4t"/>
      <sheetName val="tr_com_carroc_"/>
      <sheetName val="tr_com_basc_10m³"/>
      <sheetName val="tr_loc_mat_bet"/>
      <sheetName val="micro"/>
      <sheetName val="aquis_pilim_"/>
      <sheetName val="tr_polim_"/>
      <sheetName val="veic_"/>
      <sheetName val="mobilização"/>
      <sheetName val="prancha"/>
      <sheetName val="instalação"/>
      <sheetName val="cerca"/>
      <sheetName val="trans_frio"/>
      <sheetName val="trans_que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q"/>
      <sheetName val="res"/>
      <sheetName val="orç"/>
      <sheetName val="Cronograma"/>
      <sheetName val="memorial"/>
      <sheetName val="materiais drenagem"/>
      <sheetName val="trasnp"/>
      <sheetName val="QR DMT indiv"/>
    </sheetNames>
    <sheetDataSet>
      <sheetData sheetId="0"/>
      <sheetData sheetId="1">
        <row r="6">
          <cell r="B6" t="str">
            <v>Serviços preliminares</v>
          </cell>
        </row>
        <row r="28">
          <cell r="B28" t="str">
            <v>TOTAL GERAL</v>
          </cell>
        </row>
      </sheetData>
      <sheetData sheetId="2">
        <row r="6">
          <cell r="B6" t="str">
            <v>Serviços preliminares</v>
          </cell>
        </row>
      </sheetData>
      <sheetData sheetId="3"/>
      <sheetData sheetId="4"/>
      <sheetData sheetId="5">
        <row r="14">
          <cell r="C14">
            <v>36.799999999999997</v>
          </cell>
        </row>
      </sheetData>
      <sheetData sheetId="6">
        <row r="9">
          <cell r="I9">
            <v>5.1630000000000003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jhoyleno@gmail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33"/>
  <sheetViews>
    <sheetView showGridLines="0" view="pageBreakPreview" topLeftCell="A19" zoomScaleSheetLayoutView="100" workbookViewId="0">
      <selection activeCell="D26" sqref="D26"/>
    </sheetView>
  </sheetViews>
  <sheetFormatPr defaultColWidth="9.140625" defaultRowHeight="12.75"/>
  <cols>
    <col min="1" max="1" width="11.85546875" style="2" customWidth="1"/>
    <col min="2" max="2" width="54.7109375" style="2" customWidth="1"/>
    <col min="3" max="3" width="19" style="2" customWidth="1"/>
    <col min="4" max="4" width="24.85546875" style="2" customWidth="1"/>
    <col min="5" max="5" width="9.140625" style="2"/>
    <col min="6" max="6" width="12.28515625" style="2" bestFit="1" customWidth="1"/>
    <col min="7" max="16384" width="9.140625" style="2"/>
  </cols>
  <sheetData>
    <row r="1" spans="1:4" ht="39.950000000000003" customHeight="1">
      <c r="A1" s="228" t="s">
        <v>1063</v>
      </c>
      <c r="B1" s="229" t="s">
        <v>2738</v>
      </c>
      <c r="C1" s="1380" t="s">
        <v>2739</v>
      </c>
      <c r="D1" s="1381"/>
    </row>
    <row r="2" spans="1:4" ht="27.6" customHeight="1">
      <c r="A2" s="90" t="s">
        <v>74</v>
      </c>
      <c r="B2" s="91"/>
      <c r="C2" s="1382"/>
      <c r="D2" s="1383"/>
    </row>
    <row r="3" spans="1:4" s="93" customFormat="1" ht="4.5" customHeight="1">
      <c r="A3" s="92"/>
      <c r="B3" s="92"/>
      <c r="C3" s="92"/>
      <c r="D3" s="92"/>
    </row>
    <row r="4" spans="1:4" ht="25.9" customHeight="1">
      <c r="A4" s="94" t="s">
        <v>18</v>
      </c>
      <c r="B4" s="95" t="s">
        <v>75</v>
      </c>
      <c r="C4" s="96" t="s">
        <v>76</v>
      </c>
      <c r="D4" s="97" t="s">
        <v>77</v>
      </c>
    </row>
    <row r="5" spans="1:4" s="93" customFormat="1" ht="4.5" customHeight="1">
      <c r="A5" s="92"/>
      <c r="B5" s="92"/>
      <c r="C5" s="92"/>
      <c r="D5" s="92"/>
    </row>
    <row r="6" spans="1:4" ht="25.9" customHeight="1">
      <c r="A6" s="98" t="str">
        <f>Orçamento!A7</f>
        <v>1.</v>
      </c>
      <c r="B6" s="99" t="str">
        <f>Orçamento!C7</f>
        <v>SERVIÇOS PRELIMINARES</v>
      </c>
      <c r="C6" s="100">
        <f>Orçamento!Q45</f>
        <v>400173.28</v>
      </c>
      <c r="D6" s="101">
        <f>C6/$C$26</f>
        <v>7.9050198971692506E-2</v>
      </c>
    </row>
    <row r="7" spans="1:4" ht="25.9" customHeight="1">
      <c r="A7" s="102"/>
      <c r="B7" s="103"/>
      <c r="C7" s="104"/>
      <c r="D7" s="105"/>
    </row>
    <row r="8" spans="1:4" ht="25.9" customHeight="1">
      <c r="A8" s="102" t="str">
        <f>Orçamento!A47</f>
        <v>2.</v>
      </c>
      <c r="B8" s="103" t="str">
        <f>Orçamento!C47</f>
        <v>INFRAESTRUTURA</v>
      </c>
      <c r="C8" s="106">
        <f>Orçamento!Q73</f>
        <v>212537.33</v>
      </c>
      <c r="D8" s="105">
        <f>C8/$C$26</f>
        <v>4.1984607831418101E-2</v>
      </c>
    </row>
    <row r="9" spans="1:4" ht="25.9" customHeight="1">
      <c r="A9" s="102"/>
      <c r="B9" s="103"/>
      <c r="C9" s="106"/>
      <c r="D9" s="105"/>
    </row>
    <row r="10" spans="1:4" ht="25.9" customHeight="1">
      <c r="A10" s="102" t="str">
        <f>Orçamento!A75</f>
        <v>3.</v>
      </c>
      <c r="B10" s="103" t="str">
        <f>Orçamento!C75</f>
        <v>SUPRAESTRUTURA</v>
      </c>
      <c r="C10" s="106">
        <f>Orçamento!Q77</f>
        <v>1673539.53</v>
      </c>
      <c r="D10" s="105">
        <f>C10/$C$26</f>
        <v>0.3305908701187964</v>
      </c>
    </row>
    <row r="11" spans="1:4" ht="25.9" customHeight="1">
      <c r="A11" s="102"/>
      <c r="B11" s="103"/>
      <c r="C11" s="106"/>
      <c r="D11" s="105"/>
    </row>
    <row r="12" spans="1:4" ht="25.9" customHeight="1">
      <c r="A12" s="102" t="str">
        <f>Orçamento!A79</f>
        <v>4.</v>
      </c>
      <c r="B12" s="103" t="str">
        <f>Orçamento!C79</f>
        <v>FECHAMENTOS: PAINÉIS, ESQUADRIAS E VIDROS</v>
      </c>
      <c r="C12" s="106">
        <f>Orçamento!Q96</f>
        <v>530176.68000000005</v>
      </c>
      <c r="D12" s="105">
        <f>C12/$C$26</f>
        <v>0.10473106061491999</v>
      </c>
    </row>
    <row r="13" spans="1:4" ht="25.9" customHeight="1">
      <c r="A13" s="102"/>
      <c r="B13" s="103"/>
      <c r="C13" s="106"/>
      <c r="D13" s="105"/>
    </row>
    <row r="14" spans="1:4" ht="25.9" customHeight="1">
      <c r="A14" s="102" t="str">
        <f>Orçamento!A98</f>
        <v>5.</v>
      </c>
      <c r="B14" s="103" t="str">
        <f>Orçamento!C98</f>
        <v>COBERTURAS E PROTEÇÕES</v>
      </c>
      <c r="C14" s="106">
        <f>Orçamento!Q107</f>
        <v>568504.99</v>
      </c>
      <c r="D14" s="105">
        <f>C14/$C$26</f>
        <v>0.11230243202619639</v>
      </c>
    </row>
    <row r="15" spans="1:4" ht="25.9" customHeight="1">
      <c r="A15" s="102"/>
      <c r="B15" s="103"/>
      <c r="C15" s="106"/>
      <c r="D15" s="105"/>
    </row>
    <row r="16" spans="1:4" ht="25.9" customHeight="1">
      <c r="A16" s="102" t="str">
        <f>Orçamento!A109</f>
        <v>6.</v>
      </c>
      <c r="B16" s="103" t="str">
        <f>Orçamento!C109</f>
        <v>PAREDE:  REVESTIMENTOS, ELEMENTOS DECORATIVOS, PINTURA</v>
      </c>
      <c r="C16" s="106">
        <f>Orçamento!Q118</f>
        <v>79755.61</v>
      </c>
      <c r="D16" s="105">
        <f>C16/$C$26</f>
        <v>1.5754917068947501E-2</v>
      </c>
    </row>
    <row r="17" spans="1:7" ht="25.9" customHeight="1">
      <c r="A17" s="102"/>
      <c r="B17" s="103"/>
      <c r="C17" s="107"/>
      <c r="D17" s="105"/>
    </row>
    <row r="18" spans="1:7" ht="25.9" customHeight="1">
      <c r="A18" s="102" t="s">
        <v>127</v>
      </c>
      <c r="B18" s="103" t="str">
        <f>Orçamento!C120</f>
        <v>PISOS, RODAPÉS E SOLEIRAS</v>
      </c>
      <c r="C18" s="106">
        <f>Orçamento!Q129</f>
        <v>675448.13</v>
      </c>
      <c r="D18" s="105">
        <f>C18/$C$26</f>
        <v>0.13342797168156159</v>
      </c>
    </row>
    <row r="19" spans="1:7" ht="25.9" customHeight="1">
      <c r="A19" s="102"/>
      <c r="B19" s="103"/>
      <c r="C19" s="107"/>
      <c r="D19" s="105"/>
    </row>
    <row r="20" spans="1:7" ht="25.9" customHeight="1">
      <c r="A20" s="102" t="s">
        <v>1062</v>
      </c>
      <c r="B20" s="194" t="s">
        <v>2737</v>
      </c>
      <c r="C20" s="106">
        <f>Orçamento!Q281</f>
        <v>679620.28</v>
      </c>
      <c r="D20" s="105">
        <f>C20/$C$26</f>
        <v>0.13425213787186732</v>
      </c>
    </row>
    <row r="21" spans="1:7" ht="25.9" customHeight="1">
      <c r="A21" s="102"/>
      <c r="B21" s="103"/>
      <c r="C21" s="107"/>
      <c r="D21" s="108"/>
    </row>
    <row r="22" spans="1:7" ht="25.9" customHeight="1">
      <c r="A22" s="102" t="str">
        <f>Orçamento!A283</f>
        <v>9.</v>
      </c>
      <c r="B22" s="103" t="str">
        <f>Orçamento!C283</f>
        <v>COMPLEMENTAÇÃO DA OBRA</v>
      </c>
      <c r="C22" s="106">
        <f>Orçamento!Q361</f>
        <v>242512.01000000004</v>
      </c>
      <c r="D22" s="105">
        <f>C22/$C$26</f>
        <v>4.7905803814600224E-2</v>
      </c>
    </row>
    <row r="23" spans="1:7" ht="25.9" customHeight="1">
      <c r="A23" s="102"/>
      <c r="B23" s="103"/>
      <c r="C23" s="107"/>
      <c r="D23" s="108"/>
    </row>
    <row r="24" spans="1:7" ht="25.9" customHeight="1">
      <c r="A24" s="109"/>
      <c r="B24" s="110"/>
      <c r="C24" s="110"/>
      <c r="D24" s="111"/>
    </row>
    <row r="25" spans="1:7" s="93" customFormat="1" ht="4.5" customHeight="1">
      <c r="A25" s="92"/>
      <c r="B25" s="92"/>
      <c r="C25" s="92"/>
      <c r="D25" s="92"/>
    </row>
    <row r="26" spans="1:7" s="93" customFormat="1" ht="40.15" customHeight="1">
      <c r="A26" s="112"/>
      <c r="B26" s="1090" t="s">
        <v>78</v>
      </c>
      <c r="C26" s="1091">
        <f>SUM(C6:C23)</f>
        <v>5062267.84</v>
      </c>
      <c r="D26" s="1092">
        <f>C26/$C$26</f>
        <v>1</v>
      </c>
    </row>
    <row r="27" spans="1:7">
      <c r="A27" s="114"/>
      <c r="B27" s="115"/>
      <c r="C27" s="115"/>
      <c r="D27" s="116"/>
    </row>
    <row r="28" spans="1:7">
      <c r="A28" s="117"/>
      <c r="B28" s="118"/>
      <c r="C28" s="118"/>
      <c r="D28" s="119"/>
    </row>
    <row r="29" spans="1:7">
      <c r="A29" s="117"/>
      <c r="B29" s="118"/>
      <c r="C29" s="118"/>
      <c r="D29" s="119"/>
    </row>
    <row r="30" spans="1:7">
      <c r="A30" s="117"/>
      <c r="B30" s="118"/>
      <c r="C30" s="118"/>
      <c r="D30" s="119"/>
    </row>
    <row r="31" spans="1:7" s="124" customFormat="1" ht="12" customHeight="1">
      <c r="A31" s="120"/>
      <c r="B31" s="121"/>
      <c r="C31" s="121"/>
      <c r="D31" s="122"/>
      <c r="E31" s="123"/>
      <c r="F31" s="123"/>
      <c r="G31" s="123"/>
    </row>
    <row r="32" spans="1:7" ht="12.75" customHeight="1">
      <c r="A32" s="125"/>
      <c r="B32" s="126"/>
      <c r="C32" s="126"/>
      <c r="D32" s="127"/>
      <c r="E32" s="128"/>
      <c r="F32" s="128"/>
      <c r="G32" s="128"/>
    </row>
    <row r="33" spans="1:4">
      <c r="A33" s="129"/>
      <c r="B33" s="130"/>
      <c r="C33" s="130"/>
      <c r="D33" s="131"/>
    </row>
  </sheetData>
  <mergeCells count="1">
    <mergeCell ref="C1:D2"/>
  </mergeCells>
  <printOptions horizontalCentered="1"/>
  <pageMargins left="0.9055118110236221" right="0.51181102362204722" top="0.78740157480314965" bottom="0.78740157480314965" header="0.31496062992125984" footer="0.31496062992125984"/>
  <pageSetup paperSize="9"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509"/>
  <sheetViews>
    <sheetView showGridLines="0" tabSelected="1" view="pageBreakPreview" zoomScale="76" zoomScaleNormal="100" zoomScaleSheetLayoutView="76" workbookViewId="0">
      <pane ySplit="5" topLeftCell="A361" activePane="bottomLeft" state="frozen"/>
      <selection activeCell="A5" sqref="A5"/>
      <selection pane="bottomLeft" activeCell="R229" sqref="R229"/>
    </sheetView>
  </sheetViews>
  <sheetFormatPr defaultColWidth="9.140625" defaultRowHeight="63" customHeight="1"/>
  <cols>
    <col min="1" max="1" width="8" style="327" customWidth="1"/>
    <col min="2" max="2" width="18.140625" style="300" customWidth="1"/>
    <col min="3" max="3" width="68.140625" style="301" customWidth="1"/>
    <col min="4" max="4" width="9" style="300" customWidth="1"/>
    <col min="5" max="5" width="13.28515625" style="842" hidden="1" customWidth="1"/>
    <col min="6" max="13" width="13.28515625" style="302" hidden="1" customWidth="1"/>
    <col min="14" max="14" width="14.42578125" style="302" hidden="1" customWidth="1"/>
    <col min="15" max="15" width="13.28515625" style="302" customWidth="1"/>
    <col min="16" max="16" width="14.5703125" style="302" customWidth="1"/>
    <col min="17" max="17" width="19.7109375" style="302" customWidth="1"/>
    <col min="18" max="18" width="17.28515625" style="288" customWidth="1"/>
    <col min="19" max="19" width="11.140625" style="288" bestFit="1" customWidth="1"/>
    <col min="20" max="23" width="9.140625" style="288"/>
    <col min="24" max="24" width="10.7109375" style="288" bestFit="1" customWidth="1"/>
    <col min="25" max="16384" width="9.140625" style="288"/>
  </cols>
  <sheetData>
    <row r="1" spans="1:25" s="244" customFormat="1" ht="39" customHeight="1">
      <c r="A1" s="1393" t="s">
        <v>1146</v>
      </c>
      <c r="B1" s="1394"/>
      <c r="C1" s="321" t="s">
        <v>1151</v>
      </c>
      <c r="D1" s="1273"/>
      <c r="E1" s="1384" t="s">
        <v>1150</v>
      </c>
      <c r="F1" s="1385"/>
      <c r="G1" s="1385"/>
      <c r="H1" s="1385"/>
      <c r="I1" s="1385"/>
      <c r="J1" s="1385"/>
      <c r="K1" s="1385"/>
      <c r="L1" s="1385"/>
      <c r="M1" s="1385"/>
      <c r="N1" s="1385"/>
      <c r="O1" s="1385"/>
      <c r="P1" s="1385"/>
      <c r="Q1" s="1386"/>
    </row>
    <row r="2" spans="1:25" s="244" customFormat="1" ht="42" customHeight="1" thickBot="1">
      <c r="A2" s="1395"/>
      <c r="B2" s="1396"/>
      <c r="C2" s="322" t="s">
        <v>1674</v>
      </c>
      <c r="D2" s="1274"/>
      <c r="E2" s="1387"/>
      <c r="F2" s="1388"/>
      <c r="G2" s="1388"/>
      <c r="H2" s="1388"/>
      <c r="I2" s="1388"/>
      <c r="J2" s="1388"/>
      <c r="K2" s="1388"/>
      <c r="L2" s="1388"/>
      <c r="M2" s="1388"/>
      <c r="N2" s="1388"/>
      <c r="O2" s="1388"/>
      <c r="P2" s="1388"/>
      <c r="Q2" s="1389"/>
    </row>
    <row r="3" spans="1:25" s="245" customFormat="1" ht="21" customHeight="1">
      <c r="A3" s="323"/>
      <c r="B3" s="317"/>
      <c r="C3" s="316"/>
      <c r="D3" s="317"/>
      <c r="E3" s="815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9"/>
      <c r="Q3" s="320"/>
      <c r="R3" s="859"/>
    </row>
    <row r="4" spans="1:25" s="246" customFormat="1" ht="46.5" customHeight="1">
      <c r="A4" s="1398" t="s">
        <v>18</v>
      </c>
      <c r="B4" s="1400" t="s">
        <v>33</v>
      </c>
      <c r="C4" s="1402" t="s">
        <v>19</v>
      </c>
      <c r="D4" s="1404" t="s">
        <v>1871</v>
      </c>
      <c r="E4" s="1410" t="s">
        <v>1872</v>
      </c>
      <c r="F4" s="1411"/>
      <c r="G4" s="1411"/>
      <c r="H4" s="1411"/>
      <c r="I4" s="1411"/>
      <c r="J4" s="1411"/>
      <c r="K4" s="1411"/>
      <c r="L4" s="1411"/>
      <c r="M4" s="1411"/>
      <c r="N4" s="1412"/>
      <c r="O4" s="1406" t="s">
        <v>1881</v>
      </c>
      <c r="P4" s="1406" t="s">
        <v>1922</v>
      </c>
      <c r="Q4" s="1408" t="s">
        <v>1923</v>
      </c>
      <c r="R4" s="288"/>
    </row>
    <row r="5" spans="1:25" s="245" customFormat="1" ht="29.25" customHeight="1">
      <c r="A5" s="1399"/>
      <c r="B5" s="1401"/>
      <c r="C5" s="1403"/>
      <c r="D5" s="1405"/>
      <c r="E5" s="769" t="s">
        <v>1873</v>
      </c>
      <c r="F5" s="769" t="s">
        <v>1874</v>
      </c>
      <c r="G5" s="769" t="s">
        <v>1875</v>
      </c>
      <c r="H5" s="769" t="s">
        <v>1876</v>
      </c>
      <c r="I5" s="769" t="s">
        <v>1877</v>
      </c>
      <c r="J5" s="769" t="s">
        <v>1878</v>
      </c>
      <c r="K5" s="769" t="s">
        <v>1879</v>
      </c>
      <c r="L5" s="769" t="s">
        <v>1880</v>
      </c>
      <c r="M5" s="769" t="s">
        <v>1907</v>
      </c>
      <c r="N5" s="971" t="s">
        <v>2382</v>
      </c>
      <c r="O5" s="1407"/>
      <c r="P5" s="1407"/>
      <c r="Q5" s="1409"/>
      <c r="R5" s="859"/>
    </row>
    <row r="6" spans="1:25" s="245" customFormat="1" ht="19.5" customHeight="1">
      <c r="A6" s="344"/>
      <c r="B6" s="345"/>
      <c r="C6" s="767"/>
      <c r="D6" s="345"/>
      <c r="E6" s="816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8"/>
      <c r="Q6" s="768"/>
      <c r="R6" s="859"/>
    </row>
    <row r="7" spans="1:25" s="246" customFormat="1" ht="28.5" customHeight="1">
      <c r="A7" s="310" t="s">
        <v>24</v>
      </c>
      <c r="B7" s="311"/>
      <c r="C7" s="312" t="s">
        <v>149</v>
      </c>
      <c r="D7" s="311"/>
      <c r="E7" s="817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4" t="s">
        <v>0</v>
      </c>
      <c r="Q7" s="315"/>
      <c r="R7" s="288"/>
    </row>
    <row r="8" spans="1:25" s="246" customFormat="1" ht="30" customHeight="1">
      <c r="A8" s="309" t="s">
        <v>6</v>
      </c>
      <c r="B8" s="304"/>
      <c r="C8" s="305" t="s">
        <v>1147</v>
      </c>
      <c r="D8" s="304"/>
      <c r="E8" s="818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7"/>
      <c r="Q8" s="308"/>
      <c r="R8" s="288"/>
    </row>
    <row r="9" spans="1:25" s="246" customFormat="1" ht="33" customHeight="1">
      <c r="A9" s="357" t="s">
        <v>20</v>
      </c>
      <c r="B9" s="1075" t="s">
        <v>2733</v>
      </c>
      <c r="C9" s="359" t="s">
        <v>2435</v>
      </c>
      <c r="D9" s="360" t="s">
        <v>1538</v>
      </c>
      <c r="E9" s="994"/>
      <c r="F9" s="995"/>
      <c r="G9" s="995"/>
      <c r="H9" s="995"/>
      <c r="I9" s="997"/>
      <c r="J9" s="997"/>
      <c r="K9" s="997"/>
      <c r="L9" s="997"/>
      <c r="M9" s="997"/>
      <c r="N9" s="361">
        <v>1</v>
      </c>
      <c r="O9" s="361">
        <f t="shared" ref="O9:O12" si="0">SUM(E9:N9)</f>
        <v>1</v>
      </c>
      <c r="P9" s="362">
        <f>(2762.87+1006.39)*1.245</f>
        <v>4692.7286999999997</v>
      </c>
      <c r="Q9" s="884">
        <f t="shared" ref="Q9:Q10" si="1">TRUNC(O9*P9,2)</f>
        <v>4692.72</v>
      </c>
      <c r="R9" s="288" t="s">
        <v>2659</v>
      </c>
    </row>
    <row r="10" spans="1:25" s="246" customFormat="1" ht="36" customHeight="1">
      <c r="A10" s="357" t="s">
        <v>23</v>
      </c>
      <c r="B10" s="364" t="s">
        <v>2437</v>
      </c>
      <c r="C10" s="359" t="s">
        <v>3140</v>
      </c>
      <c r="D10" s="360" t="s">
        <v>1538</v>
      </c>
      <c r="E10" s="994"/>
      <c r="F10" s="995"/>
      <c r="G10" s="995"/>
      <c r="H10" s="995"/>
      <c r="I10" s="997"/>
      <c r="J10" s="997"/>
      <c r="K10" s="997"/>
      <c r="L10" s="997"/>
      <c r="M10" s="997"/>
      <c r="N10" s="361">
        <v>1</v>
      </c>
      <c r="O10" s="361">
        <f t="shared" si="0"/>
        <v>1</v>
      </c>
      <c r="P10" s="362">
        <f>COMPOSIÇÕES!B92</f>
        <v>1664.7393000000002</v>
      </c>
      <c r="Q10" s="884">
        <f t="shared" si="1"/>
        <v>1664.73</v>
      </c>
      <c r="R10" s="288" t="s">
        <v>1602</v>
      </c>
    </row>
    <row r="11" spans="1:25" s="254" customFormat="1" ht="39" customHeight="1">
      <c r="A11" s="357" t="s">
        <v>2181</v>
      </c>
      <c r="B11" s="364" t="s">
        <v>156</v>
      </c>
      <c r="C11" s="303" t="s">
        <v>3130</v>
      </c>
      <c r="D11" s="250" t="s">
        <v>12</v>
      </c>
      <c r="E11" s="824"/>
      <c r="F11" s="262"/>
      <c r="G11" s="262"/>
      <c r="H11" s="262"/>
      <c r="I11" s="262"/>
      <c r="J11" s="262"/>
      <c r="K11" s="262"/>
      <c r="L11" s="262"/>
      <c r="M11" s="262"/>
      <c r="N11" s="262">
        <v>6</v>
      </c>
      <c r="O11" s="262">
        <f t="shared" si="0"/>
        <v>6</v>
      </c>
      <c r="P11" s="705">
        <f>COMPOSIÇÕES!B44</f>
        <v>597.69959999999992</v>
      </c>
      <c r="Q11" s="264">
        <f>TRUNC(O11*P11,2)</f>
        <v>3586.19</v>
      </c>
      <c r="R11" s="254" t="s">
        <v>1602</v>
      </c>
      <c r="Y11" s="259"/>
    </row>
    <row r="12" spans="1:25" s="254" customFormat="1" ht="36" customHeight="1">
      <c r="A12" s="357" t="s">
        <v>2436</v>
      </c>
      <c r="B12" s="996" t="s">
        <v>3139</v>
      </c>
      <c r="C12" s="249" t="s">
        <v>3141</v>
      </c>
      <c r="D12" s="250" t="s">
        <v>12</v>
      </c>
      <c r="E12" s="787"/>
      <c r="F12" s="251"/>
      <c r="G12" s="251"/>
      <c r="H12" s="251"/>
      <c r="I12" s="251"/>
      <c r="J12" s="251"/>
      <c r="K12" s="251"/>
      <c r="L12" s="251"/>
      <c r="M12" s="262"/>
      <c r="N12" s="262">
        <f>(43+56)*2</f>
        <v>198</v>
      </c>
      <c r="O12" s="262">
        <f t="shared" si="0"/>
        <v>198</v>
      </c>
      <c r="P12" s="362">
        <f>COMPOSIÇÕES!B21</f>
        <v>70.404749999999993</v>
      </c>
      <c r="Q12" s="264">
        <f t="shared" ref="Q12:Q43" si="2">TRUNC(O12*P12,2)</f>
        <v>13940.14</v>
      </c>
      <c r="R12" s="254" t="s">
        <v>1602</v>
      </c>
    </row>
    <row r="13" spans="1:25" s="254" customFormat="1" ht="25.5" customHeight="1">
      <c r="A13" s="357"/>
      <c r="B13" s="1256"/>
      <c r="C13" s="1243" t="s">
        <v>3063</v>
      </c>
      <c r="D13" s="391"/>
      <c r="E13" s="823"/>
      <c r="F13" s="332"/>
      <c r="G13" s="332"/>
      <c r="H13" s="332"/>
      <c r="I13" s="332"/>
      <c r="J13" s="332"/>
      <c r="K13" s="332"/>
      <c r="L13" s="332"/>
      <c r="M13" s="392"/>
      <c r="N13" s="392"/>
      <c r="O13" s="392"/>
      <c r="P13" s="373"/>
      <c r="Q13" s="1262">
        <f>SUM(Q9:Q12)</f>
        <v>23883.78</v>
      </c>
    </row>
    <row r="14" spans="1:25" s="254" customFormat="1" ht="30" customHeight="1">
      <c r="A14" s="328" t="s">
        <v>7</v>
      </c>
      <c r="B14" s="329"/>
      <c r="C14" s="330" t="s">
        <v>1148</v>
      </c>
      <c r="D14" s="331"/>
      <c r="E14" s="819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3"/>
      <c r="Q14" s="394"/>
    </row>
    <row r="15" spans="1:25" s="254" customFormat="1" ht="66.75" customHeight="1">
      <c r="A15" s="247" t="s">
        <v>21</v>
      </c>
      <c r="B15" s="248" t="s">
        <v>1581</v>
      </c>
      <c r="C15" s="249" t="s">
        <v>2428</v>
      </c>
      <c r="D15" s="255" t="s">
        <v>17</v>
      </c>
      <c r="E15" s="787"/>
      <c r="F15" s="361"/>
      <c r="G15" s="361"/>
      <c r="H15" s="361"/>
      <c r="I15" s="361"/>
      <c r="J15" s="361"/>
      <c r="K15" s="361"/>
      <c r="L15" s="361"/>
      <c r="M15" s="361"/>
      <c r="N15" s="361">
        <v>4</v>
      </c>
      <c r="O15" s="361">
        <f t="shared" ref="O15:O19" si="3">SUM(E15:N15)</f>
        <v>4</v>
      </c>
      <c r="P15" s="362">
        <f>COMPOSIÇÕES!B58</f>
        <v>628.72500000000002</v>
      </c>
      <c r="Q15" s="264">
        <f t="shared" si="2"/>
        <v>2514.9</v>
      </c>
      <c r="R15" s="254" t="s">
        <v>1602</v>
      </c>
    </row>
    <row r="16" spans="1:25" s="254" customFormat="1" ht="66.75" customHeight="1">
      <c r="A16" s="247" t="s">
        <v>3124</v>
      </c>
      <c r="B16" s="248" t="s">
        <v>1581</v>
      </c>
      <c r="C16" s="249" t="s">
        <v>2430</v>
      </c>
      <c r="D16" s="255" t="s">
        <v>17</v>
      </c>
      <c r="E16" s="787"/>
      <c r="F16" s="361"/>
      <c r="G16" s="361"/>
      <c r="H16" s="361"/>
      <c r="I16" s="361"/>
      <c r="J16" s="361"/>
      <c r="K16" s="361"/>
      <c r="L16" s="361"/>
      <c r="M16" s="361"/>
      <c r="N16" s="361">
        <f>2*4</f>
        <v>8</v>
      </c>
      <c r="O16" s="361">
        <f t="shared" ref="O16:O17" si="4">SUM(E16:N16)</f>
        <v>8</v>
      </c>
      <c r="P16" s="362">
        <f>COMPOSIÇÕES!B58</f>
        <v>628.72500000000002</v>
      </c>
      <c r="Q16" s="264">
        <f t="shared" ref="Q16" si="5">TRUNC(O16*P16,2)</f>
        <v>5029.8</v>
      </c>
      <c r="R16" s="254" t="s">
        <v>1602</v>
      </c>
    </row>
    <row r="17" spans="1:18" s="254" customFormat="1" ht="66.75" customHeight="1">
      <c r="A17" s="247" t="s">
        <v>1149</v>
      </c>
      <c r="B17" s="248" t="s">
        <v>1581</v>
      </c>
      <c r="C17" s="249" t="s">
        <v>2432</v>
      </c>
      <c r="D17" s="255" t="s">
        <v>17</v>
      </c>
      <c r="E17" s="787"/>
      <c r="F17" s="361"/>
      <c r="G17" s="361"/>
      <c r="H17" s="361"/>
      <c r="I17" s="361"/>
      <c r="J17" s="361"/>
      <c r="K17" s="361"/>
      <c r="L17" s="361"/>
      <c r="M17" s="361"/>
      <c r="N17" s="361">
        <v>4</v>
      </c>
      <c r="O17" s="361">
        <f t="shared" si="4"/>
        <v>4</v>
      </c>
      <c r="P17" s="362">
        <f>COMPOSIÇÕES!B58</f>
        <v>628.72500000000002</v>
      </c>
      <c r="Q17" s="264">
        <f t="shared" ref="Q17" si="6">TRUNC(O17*P17,2)</f>
        <v>2514.9</v>
      </c>
      <c r="R17" s="254" t="s">
        <v>1602</v>
      </c>
    </row>
    <row r="18" spans="1:18" s="254" customFormat="1" ht="66.75" customHeight="1">
      <c r="A18" s="247" t="s">
        <v>2433</v>
      </c>
      <c r="B18" s="248" t="s">
        <v>1581</v>
      </c>
      <c r="C18" s="249" t="s">
        <v>2431</v>
      </c>
      <c r="D18" s="255" t="s">
        <v>17</v>
      </c>
      <c r="E18" s="787"/>
      <c r="F18" s="361"/>
      <c r="G18" s="361"/>
      <c r="H18" s="361"/>
      <c r="I18" s="361"/>
      <c r="J18" s="361"/>
      <c r="K18" s="361"/>
      <c r="L18" s="361"/>
      <c r="M18" s="361"/>
      <c r="N18" s="361">
        <v>4</v>
      </c>
      <c r="O18" s="361">
        <f t="shared" ref="O18" si="7">SUM(E18:N18)</f>
        <v>4</v>
      </c>
      <c r="P18" s="362">
        <f>COMPOSIÇÕES!B58</f>
        <v>628.72500000000002</v>
      </c>
      <c r="Q18" s="264">
        <f t="shared" ref="Q18" si="8">TRUNC(O18*P18,2)</f>
        <v>2514.9</v>
      </c>
      <c r="R18" s="254" t="s">
        <v>1602</v>
      </c>
    </row>
    <row r="19" spans="1:18" s="254" customFormat="1" ht="66" customHeight="1">
      <c r="A19" s="247" t="s">
        <v>2434</v>
      </c>
      <c r="B19" s="248" t="s">
        <v>1581</v>
      </c>
      <c r="C19" s="249" t="s">
        <v>2429</v>
      </c>
      <c r="D19" s="255" t="s">
        <v>17</v>
      </c>
      <c r="E19" s="787"/>
      <c r="F19" s="361"/>
      <c r="G19" s="361"/>
      <c r="H19" s="361"/>
      <c r="I19" s="361"/>
      <c r="J19" s="361"/>
      <c r="K19" s="361"/>
      <c r="L19" s="361"/>
      <c r="M19" s="361"/>
      <c r="N19" s="361">
        <f>4</f>
        <v>4</v>
      </c>
      <c r="O19" s="361">
        <f t="shared" si="3"/>
        <v>4</v>
      </c>
      <c r="P19" s="362">
        <f>COMPOSIÇÕES!B58</f>
        <v>628.72500000000002</v>
      </c>
      <c r="Q19" s="264">
        <f t="shared" si="2"/>
        <v>2514.9</v>
      </c>
      <c r="R19" s="254" t="s">
        <v>1602</v>
      </c>
    </row>
    <row r="20" spans="1:18" s="254" customFormat="1" ht="24.75" customHeight="1">
      <c r="A20" s="1245"/>
      <c r="B20" s="1250"/>
      <c r="C20" s="1243" t="s">
        <v>3062</v>
      </c>
      <c r="D20" s="331"/>
      <c r="E20" s="823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3"/>
      <c r="Q20" s="1352">
        <f>SUM(Q15:Q19)</f>
        <v>15089.4</v>
      </c>
    </row>
    <row r="21" spans="1:18" s="254" customFormat="1" ht="30" customHeight="1">
      <c r="A21" s="328" t="s">
        <v>8</v>
      </c>
      <c r="B21" s="329"/>
      <c r="C21" s="330" t="s">
        <v>126</v>
      </c>
      <c r="D21" s="331"/>
      <c r="E21" s="819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3"/>
      <c r="Q21" s="264"/>
    </row>
    <row r="22" spans="1:18" s="254" customFormat="1" ht="36" customHeight="1">
      <c r="A22" s="247" t="s">
        <v>22</v>
      </c>
      <c r="B22" s="257" t="s">
        <v>90</v>
      </c>
      <c r="C22" s="258" t="s">
        <v>167</v>
      </c>
      <c r="D22" s="256" t="s">
        <v>2211</v>
      </c>
      <c r="E22" s="820"/>
      <c r="F22" s="251"/>
      <c r="G22" s="251"/>
      <c r="H22" s="251"/>
      <c r="I22" s="251"/>
      <c r="J22" s="251"/>
      <c r="K22" s="251"/>
      <c r="L22" s="251"/>
      <c r="M22" s="251"/>
      <c r="N22" s="251">
        <v>1</v>
      </c>
      <c r="O22" s="251">
        <f t="shared" ref="O22:O27" si="9">SUM(E22:N22)</f>
        <v>1</v>
      </c>
      <c r="P22" s="362">
        <v>8055.36</v>
      </c>
      <c r="Q22" s="264">
        <f t="shared" si="2"/>
        <v>8055.36</v>
      </c>
    </row>
    <row r="23" spans="1:18" s="254" customFormat="1" ht="20.100000000000001" customHeight="1">
      <c r="A23" s="247" t="s">
        <v>52</v>
      </c>
      <c r="B23" s="257" t="s">
        <v>90</v>
      </c>
      <c r="C23" s="258" t="s">
        <v>2890</v>
      </c>
      <c r="D23" s="276" t="s">
        <v>1538</v>
      </c>
      <c r="E23" s="833"/>
      <c r="F23" s="277"/>
      <c r="G23" s="277"/>
      <c r="H23" s="277"/>
      <c r="I23" s="277"/>
      <c r="J23" s="277"/>
      <c r="K23" s="277"/>
      <c r="L23" s="277"/>
      <c r="M23" s="277"/>
      <c r="N23" s="277">
        <v>1</v>
      </c>
      <c r="O23" s="251">
        <f t="shared" si="9"/>
        <v>1</v>
      </c>
      <c r="P23" s="1159">
        <f>1500*3</f>
        <v>4500</v>
      </c>
      <c r="Q23" s="264">
        <f t="shared" si="2"/>
        <v>4500</v>
      </c>
    </row>
    <row r="24" spans="1:18" s="254" customFormat="1" ht="20.100000000000001" customHeight="1">
      <c r="A24" s="247" t="s">
        <v>55</v>
      </c>
      <c r="B24" s="257" t="s">
        <v>90</v>
      </c>
      <c r="C24" s="258" t="s">
        <v>2898</v>
      </c>
      <c r="D24" s="276" t="s">
        <v>1579</v>
      </c>
      <c r="E24" s="833"/>
      <c r="F24" s="277"/>
      <c r="G24" s="277"/>
      <c r="H24" s="277"/>
      <c r="I24" s="277"/>
      <c r="J24" s="277"/>
      <c r="K24" s="277"/>
      <c r="L24" s="277"/>
      <c r="M24" s="277"/>
      <c r="N24" s="277">
        <v>4</v>
      </c>
      <c r="O24" s="251">
        <f t="shared" si="9"/>
        <v>4</v>
      </c>
      <c r="P24" s="1159">
        <f>'Administração da Obra'!I68</f>
        <v>34767.259377228962</v>
      </c>
      <c r="Q24" s="264">
        <f t="shared" si="2"/>
        <v>139069.03</v>
      </c>
    </row>
    <row r="25" spans="1:18" s="254" customFormat="1" ht="20.100000000000001" customHeight="1">
      <c r="A25" s="247" t="s">
        <v>56</v>
      </c>
      <c r="B25" s="257" t="s">
        <v>90</v>
      </c>
      <c r="C25" s="258" t="s">
        <v>2994</v>
      </c>
      <c r="D25" s="276" t="s">
        <v>1579</v>
      </c>
      <c r="E25" s="788"/>
      <c r="F25" s="775"/>
      <c r="G25" s="775"/>
      <c r="H25" s="775"/>
      <c r="I25" s="775"/>
      <c r="J25" s="775"/>
      <c r="K25" s="775"/>
      <c r="L25" s="775"/>
      <c r="M25" s="775"/>
      <c r="N25" s="775">
        <v>4</v>
      </c>
      <c r="O25" s="251">
        <f t="shared" si="9"/>
        <v>4</v>
      </c>
      <c r="P25" s="1159">
        <f>'Administração da Obra'!O25</f>
        <v>6512.9</v>
      </c>
      <c r="Q25" s="264">
        <f t="shared" si="2"/>
        <v>26051.599999999999</v>
      </c>
    </row>
    <row r="26" spans="1:18" s="254" customFormat="1" ht="20.100000000000001" customHeight="1">
      <c r="A26" s="247" t="s">
        <v>2899</v>
      </c>
      <c r="B26" s="257" t="s">
        <v>90</v>
      </c>
      <c r="C26" s="258" t="s">
        <v>3122</v>
      </c>
      <c r="D26" s="276" t="s">
        <v>3123</v>
      </c>
      <c r="E26" s="788"/>
      <c r="F26" s="775"/>
      <c r="G26" s="775"/>
      <c r="H26" s="775"/>
      <c r="I26" s="775"/>
      <c r="J26" s="775"/>
      <c r="K26" s="775"/>
      <c r="L26" s="775"/>
      <c r="M26" s="775"/>
      <c r="N26" s="775">
        <v>4</v>
      </c>
      <c r="O26" s="251">
        <f t="shared" si="9"/>
        <v>4</v>
      </c>
      <c r="P26" s="1159">
        <v>5644</v>
      </c>
      <c r="Q26" s="264">
        <f t="shared" si="2"/>
        <v>22576</v>
      </c>
    </row>
    <row r="27" spans="1:18" s="254" customFormat="1" ht="20.100000000000001" customHeight="1">
      <c r="A27" s="247" t="s">
        <v>3016</v>
      </c>
      <c r="B27" s="257" t="s">
        <v>90</v>
      </c>
      <c r="C27" s="1240" t="s">
        <v>3116</v>
      </c>
      <c r="D27" s="276" t="s">
        <v>1579</v>
      </c>
      <c r="E27" s="788"/>
      <c r="F27" s="703"/>
      <c r="G27" s="703"/>
      <c r="H27" s="703"/>
      <c r="I27" s="703"/>
      <c r="J27" s="703"/>
      <c r="K27" s="703"/>
      <c r="L27" s="703"/>
      <c r="M27" s="703"/>
      <c r="N27" s="775">
        <v>4</v>
      </c>
      <c r="O27" s="251">
        <f t="shared" si="9"/>
        <v>4</v>
      </c>
      <c r="P27" s="362">
        <f>'Administração da Obra'!O44</f>
        <v>33182.730000000003</v>
      </c>
      <c r="Q27" s="264">
        <f t="shared" si="2"/>
        <v>132730.92000000001</v>
      </c>
    </row>
    <row r="28" spans="1:18" s="254" customFormat="1" ht="21.75" customHeight="1">
      <c r="A28" s="1245"/>
      <c r="B28" s="1349"/>
      <c r="C28" s="1243" t="s">
        <v>3061</v>
      </c>
      <c r="D28" s="1349"/>
      <c r="E28" s="1350"/>
      <c r="F28" s="1347"/>
      <c r="G28" s="1347"/>
      <c r="H28" s="1347"/>
      <c r="I28" s="1347"/>
      <c r="J28" s="1347"/>
      <c r="K28" s="1347"/>
      <c r="L28" s="1347"/>
      <c r="M28" s="1347"/>
      <c r="N28" s="1351"/>
      <c r="O28" s="332"/>
      <c r="P28" s="373"/>
      <c r="Q28" s="1352">
        <f>SUM(Q22:Q27)</f>
        <v>332982.91000000003</v>
      </c>
    </row>
    <row r="29" spans="1:18" s="254" customFormat="1" ht="24.75" customHeight="1">
      <c r="A29" s="328" t="s">
        <v>1627</v>
      </c>
      <c r="B29" s="329"/>
      <c r="C29" s="330" t="s">
        <v>1628</v>
      </c>
      <c r="D29" s="331"/>
      <c r="E29" s="819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3"/>
      <c r="Q29" s="264"/>
    </row>
    <row r="30" spans="1:18" s="254" customFormat="1" ht="52.5" customHeight="1">
      <c r="A30" s="247" t="s">
        <v>1655</v>
      </c>
      <c r="B30" s="248" t="s">
        <v>1639</v>
      </c>
      <c r="C30" s="339" t="s">
        <v>2475</v>
      </c>
      <c r="D30" s="338" t="s">
        <v>1398</v>
      </c>
      <c r="E30" s="969"/>
      <c r="F30" s="703"/>
      <c r="G30" s="703"/>
      <c r="H30" s="703"/>
      <c r="I30" s="703"/>
      <c r="J30" s="703"/>
      <c r="K30" s="703"/>
      <c r="L30" s="703"/>
      <c r="M30" s="703"/>
      <c r="N30" s="703">
        <v>13.6</v>
      </c>
      <c r="O30" s="703">
        <f t="shared" ref="O30:O43" si="10">SUM(E30:N30)</f>
        <v>13.6</v>
      </c>
      <c r="P30" s="362">
        <f>COMPOSIÇÕES!B129</f>
        <v>50.758650000000003</v>
      </c>
      <c r="Q30" s="264">
        <f t="shared" si="2"/>
        <v>690.31</v>
      </c>
      <c r="R30" s="254" t="s">
        <v>1602</v>
      </c>
    </row>
    <row r="31" spans="1:18" s="254" customFormat="1" ht="31.5" customHeight="1">
      <c r="A31" s="247" t="s">
        <v>1656</v>
      </c>
      <c r="B31" s="248" t="s">
        <v>3039</v>
      </c>
      <c r="C31" s="1240" t="s">
        <v>2403</v>
      </c>
      <c r="D31" s="338" t="s">
        <v>418</v>
      </c>
      <c r="E31" s="969"/>
      <c r="F31" s="703"/>
      <c r="G31" s="703"/>
      <c r="H31" s="703"/>
      <c r="I31" s="703"/>
      <c r="J31" s="703"/>
      <c r="K31" s="703"/>
      <c r="L31" s="703"/>
      <c r="M31" s="703"/>
      <c r="N31" s="703">
        <f>84+60+17+5+5</f>
        <v>171</v>
      </c>
      <c r="O31" s="703">
        <f t="shared" si="10"/>
        <v>171</v>
      </c>
      <c r="P31" s="362">
        <f>COMPOSIÇÕES!B178</f>
        <v>46.787099999999995</v>
      </c>
      <c r="Q31" s="264">
        <f t="shared" si="2"/>
        <v>8000.59</v>
      </c>
      <c r="R31" s="254" t="s">
        <v>1602</v>
      </c>
    </row>
    <row r="32" spans="1:18" s="254" customFormat="1" ht="31.5" customHeight="1">
      <c r="A32" s="247" t="s">
        <v>1657</v>
      </c>
      <c r="B32" s="248" t="s">
        <v>2399</v>
      </c>
      <c r="C32" s="339" t="s">
        <v>2397</v>
      </c>
      <c r="D32" s="338" t="s">
        <v>1574</v>
      </c>
      <c r="E32" s="969"/>
      <c r="F32" s="703"/>
      <c r="G32" s="703"/>
      <c r="H32" s="703"/>
      <c r="I32" s="703"/>
      <c r="J32" s="703"/>
      <c r="K32" s="703"/>
      <c r="L32" s="703"/>
      <c r="M32" s="703"/>
      <c r="N32" s="703">
        <v>154</v>
      </c>
      <c r="O32" s="703">
        <f t="shared" si="10"/>
        <v>154</v>
      </c>
      <c r="P32" s="362">
        <f>COMPOSIÇÕES!B146</f>
        <v>28.485600000000005</v>
      </c>
      <c r="Q32" s="264">
        <f t="shared" si="2"/>
        <v>4386.78</v>
      </c>
      <c r="R32" s="254" t="s">
        <v>1602</v>
      </c>
    </row>
    <row r="33" spans="1:18" s="254" customFormat="1" ht="31.5" customHeight="1">
      <c r="A33" s="247" t="s">
        <v>1658</v>
      </c>
      <c r="B33" s="248" t="s">
        <v>3038</v>
      </c>
      <c r="C33" s="339" t="s">
        <v>2398</v>
      </c>
      <c r="D33" s="338" t="s">
        <v>1574</v>
      </c>
      <c r="E33" s="969"/>
      <c r="F33" s="703"/>
      <c r="G33" s="703"/>
      <c r="H33" s="703"/>
      <c r="I33" s="703"/>
      <c r="J33" s="703"/>
      <c r="K33" s="703"/>
      <c r="L33" s="703"/>
      <c r="M33" s="703"/>
      <c r="N33" s="703">
        <v>225</v>
      </c>
      <c r="O33" s="703">
        <f t="shared" si="10"/>
        <v>225</v>
      </c>
      <c r="P33" s="362">
        <f>COMPOSIÇÕES!B163</f>
        <v>63.059250000000006</v>
      </c>
      <c r="Q33" s="264">
        <f t="shared" si="2"/>
        <v>14188.33</v>
      </c>
      <c r="R33" s="254" t="s">
        <v>1602</v>
      </c>
    </row>
    <row r="34" spans="1:18" s="254" customFormat="1" ht="31.5" customHeight="1">
      <c r="A34" s="247" t="s">
        <v>1659</v>
      </c>
      <c r="B34" s="248" t="s">
        <v>2407</v>
      </c>
      <c r="C34" s="339" t="s">
        <v>2474</v>
      </c>
      <c r="D34" s="338" t="s">
        <v>1538</v>
      </c>
      <c r="E34" s="969"/>
      <c r="F34" s="703"/>
      <c r="G34" s="703"/>
      <c r="H34" s="703"/>
      <c r="I34" s="703"/>
      <c r="J34" s="703"/>
      <c r="K34" s="703"/>
      <c r="L34" s="703"/>
      <c r="M34" s="703"/>
      <c r="N34" s="703">
        <v>20</v>
      </c>
      <c r="O34" s="703">
        <f t="shared" si="10"/>
        <v>20</v>
      </c>
      <c r="P34" s="362">
        <f>COMPOSIÇÕES!B193</f>
        <v>47.558999999999997</v>
      </c>
      <c r="Q34" s="264">
        <f t="shared" si="2"/>
        <v>951.18</v>
      </c>
      <c r="R34" s="254" t="s">
        <v>1602</v>
      </c>
    </row>
    <row r="35" spans="1:18" s="254" customFormat="1" ht="29.25" hidden="1" customHeight="1">
      <c r="A35" s="247" t="s">
        <v>1656</v>
      </c>
      <c r="B35" s="561" t="s">
        <v>1642</v>
      </c>
      <c r="C35" s="339" t="s">
        <v>1641</v>
      </c>
      <c r="D35" s="338" t="s">
        <v>1666</v>
      </c>
      <c r="E35" s="969"/>
      <c r="F35" s="703"/>
      <c r="G35" s="703"/>
      <c r="H35" s="703"/>
      <c r="I35" s="703"/>
      <c r="J35" s="703"/>
      <c r="K35" s="703"/>
      <c r="L35" s="703"/>
      <c r="M35" s="703"/>
      <c r="N35" s="968"/>
      <c r="O35" s="703">
        <f t="shared" si="10"/>
        <v>0</v>
      </c>
      <c r="P35" s="282" t="e">
        <f>COMPOSIÇÕES!#REF!</f>
        <v>#REF!</v>
      </c>
      <c r="Q35" s="264" t="e">
        <f t="shared" si="2"/>
        <v>#REF!</v>
      </c>
      <c r="R35" s="254" t="s">
        <v>1602</v>
      </c>
    </row>
    <row r="36" spans="1:18" s="254" customFormat="1" ht="29.25" hidden="1" customHeight="1">
      <c r="A36" s="247" t="s">
        <v>1657</v>
      </c>
      <c r="B36" s="561" t="s">
        <v>1671</v>
      </c>
      <c r="C36" s="339" t="s">
        <v>1672</v>
      </c>
      <c r="D36" s="338" t="s">
        <v>1666</v>
      </c>
      <c r="E36" s="969"/>
      <c r="F36" s="703"/>
      <c r="G36" s="703"/>
      <c r="H36" s="703"/>
      <c r="I36" s="703"/>
      <c r="J36" s="703"/>
      <c r="K36" s="703"/>
      <c r="L36" s="703"/>
      <c r="M36" s="703"/>
      <c r="N36" s="968"/>
      <c r="O36" s="703">
        <f t="shared" si="10"/>
        <v>0</v>
      </c>
      <c r="P36" s="282"/>
      <c r="Q36" s="264">
        <f t="shared" si="2"/>
        <v>0</v>
      </c>
      <c r="R36" s="254" t="s">
        <v>1673</v>
      </c>
    </row>
    <row r="37" spans="1:18" s="254" customFormat="1" ht="34.5" hidden="1" customHeight="1">
      <c r="A37" s="247" t="s">
        <v>1658</v>
      </c>
      <c r="B37" s="561" t="s">
        <v>1644</v>
      </c>
      <c r="C37" s="339" t="s">
        <v>1643</v>
      </c>
      <c r="D37" s="338" t="s">
        <v>1538</v>
      </c>
      <c r="E37" s="969"/>
      <c r="F37" s="703"/>
      <c r="G37" s="703"/>
      <c r="H37" s="703"/>
      <c r="I37" s="703"/>
      <c r="J37" s="703"/>
      <c r="K37" s="703"/>
      <c r="L37" s="703"/>
      <c r="M37" s="703"/>
      <c r="N37" s="968"/>
      <c r="O37" s="703">
        <f t="shared" si="10"/>
        <v>0</v>
      </c>
      <c r="P37" s="282" t="e">
        <f>COMPOSIÇÕES!#REF!</f>
        <v>#REF!</v>
      </c>
      <c r="Q37" s="264" t="e">
        <f t="shared" si="2"/>
        <v>#REF!</v>
      </c>
      <c r="R37" s="254" t="s">
        <v>1602</v>
      </c>
    </row>
    <row r="38" spans="1:18" s="254" customFormat="1" ht="33" hidden="1" customHeight="1">
      <c r="A38" s="247" t="s">
        <v>1659</v>
      </c>
      <c r="B38" s="561" t="s">
        <v>1646</v>
      </c>
      <c r="C38" s="339" t="s">
        <v>1645</v>
      </c>
      <c r="D38" s="338" t="s">
        <v>1666</v>
      </c>
      <c r="E38" s="969"/>
      <c r="F38" s="703"/>
      <c r="G38" s="703"/>
      <c r="H38" s="703"/>
      <c r="I38" s="703"/>
      <c r="J38" s="703"/>
      <c r="K38" s="703"/>
      <c r="L38" s="703"/>
      <c r="M38" s="703"/>
      <c r="N38" s="968"/>
      <c r="O38" s="703">
        <f t="shared" si="10"/>
        <v>0</v>
      </c>
      <c r="P38" s="282" t="e">
        <f>COMPOSIÇÕES!#REF!</f>
        <v>#REF!</v>
      </c>
      <c r="Q38" s="264" t="e">
        <f t="shared" si="2"/>
        <v>#REF!</v>
      </c>
      <c r="R38" s="254" t="s">
        <v>1602</v>
      </c>
    </row>
    <row r="39" spans="1:18" s="254" customFormat="1" ht="51.75" hidden="1" customHeight="1">
      <c r="A39" s="247" t="s">
        <v>1660</v>
      </c>
      <c r="B39" s="561" t="s">
        <v>1648</v>
      </c>
      <c r="C39" s="339" t="s">
        <v>1647</v>
      </c>
      <c r="D39" s="338" t="s">
        <v>1666</v>
      </c>
      <c r="E39" s="969"/>
      <c r="F39" s="703"/>
      <c r="G39" s="703"/>
      <c r="H39" s="703"/>
      <c r="I39" s="703"/>
      <c r="J39" s="703"/>
      <c r="K39" s="703"/>
      <c r="L39" s="703"/>
      <c r="M39" s="703"/>
      <c r="N39" s="968"/>
      <c r="O39" s="703">
        <f t="shared" si="10"/>
        <v>0</v>
      </c>
      <c r="P39" s="282" t="e">
        <f>COMPOSIÇÕES!#REF!</f>
        <v>#REF!</v>
      </c>
      <c r="Q39" s="264" t="e">
        <f t="shared" si="2"/>
        <v>#REF!</v>
      </c>
      <c r="R39" s="254" t="s">
        <v>1602</v>
      </c>
    </row>
    <row r="40" spans="1:18" s="254" customFormat="1" ht="37.5" hidden="1" customHeight="1">
      <c r="A40" s="247" t="s">
        <v>1661</v>
      </c>
      <c r="B40" s="561" t="s">
        <v>1651</v>
      </c>
      <c r="C40" s="339" t="s">
        <v>1650</v>
      </c>
      <c r="D40" s="338" t="s">
        <v>1666</v>
      </c>
      <c r="E40" s="969"/>
      <c r="F40" s="703"/>
      <c r="G40" s="703"/>
      <c r="H40" s="703"/>
      <c r="I40" s="703"/>
      <c r="J40" s="703"/>
      <c r="K40" s="703"/>
      <c r="L40" s="703"/>
      <c r="M40" s="703"/>
      <c r="N40" s="968"/>
      <c r="O40" s="703">
        <f t="shared" si="10"/>
        <v>0</v>
      </c>
      <c r="P40" s="282" t="e">
        <f>COMPOSIÇÕES!#REF!</f>
        <v>#REF!</v>
      </c>
      <c r="Q40" s="264" t="e">
        <f t="shared" si="2"/>
        <v>#REF!</v>
      </c>
      <c r="R40" s="254" t="s">
        <v>1602</v>
      </c>
    </row>
    <row r="41" spans="1:18" s="254" customFormat="1" ht="36" hidden="1" customHeight="1">
      <c r="A41" s="247" t="s">
        <v>1662</v>
      </c>
      <c r="B41" s="561" t="s">
        <v>1653</v>
      </c>
      <c r="C41" s="339" t="s">
        <v>1652</v>
      </c>
      <c r="D41" s="338" t="s">
        <v>1666</v>
      </c>
      <c r="E41" s="969"/>
      <c r="F41" s="703"/>
      <c r="G41" s="703"/>
      <c r="H41" s="703"/>
      <c r="I41" s="703"/>
      <c r="J41" s="703"/>
      <c r="K41" s="703"/>
      <c r="L41" s="703"/>
      <c r="M41" s="703"/>
      <c r="N41" s="968"/>
      <c r="O41" s="703">
        <f t="shared" si="10"/>
        <v>0</v>
      </c>
      <c r="P41" s="282" t="e">
        <f>COMPOSIÇÕES!#REF!</f>
        <v>#REF!</v>
      </c>
      <c r="Q41" s="264" t="e">
        <f t="shared" si="2"/>
        <v>#REF!</v>
      </c>
      <c r="R41" s="254" t="s">
        <v>1602</v>
      </c>
    </row>
    <row r="42" spans="1:18" s="254" customFormat="1" ht="24" hidden="1" customHeight="1">
      <c r="A42" s="247" t="s">
        <v>1663</v>
      </c>
      <c r="B42" s="561" t="s">
        <v>1669</v>
      </c>
      <c r="C42" s="339" t="s">
        <v>1667</v>
      </c>
      <c r="D42" s="338" t="s">
        <v>1538</v>
      </c>
      <c r="E42" s="969"/>
      <c r="F42" s="703"/>
      <c r="G42" s="703"/>
      <c r="H42" s="703"/>
      <c r="I42" s="703"/>
      <c r="J42" s="703"/>
      <c r="K42" s="703"/>
      <c r="L42" s="703"/>
      <c r="M42" s="703"/>
      <c r="N42" s="968"/>
      <c r="O42" s="703">
        <f t="shared" si="10"/>
        <v>0</v>
      </c>
      <c r="P42" s="282"/>
      <c r="Q42" s="264">
        <f t="shared" si="2"/>
        <v>0</v>
      </c>
      <c r="R42" s="254" t="s">
        <v>1673</v>
      </c>
    </row>
    <row r="43" spans="1:18" s="254" customFormat="1" ht="27" hidden="1" customHeight="1">
      <c r="A43" s="247" t="s">
        <v>1664</v>
      </c>
      <c r="B43" s="561" t="s">
        <v>1670</v>
      </c>
      <c r="C43" s="339" t="s">
        <v>1668</v>
      </c>
      <c r="D43" s="338" t="s">
        <v>1538</v>
      </c>
      <c r="E43" s="969"/>
      <c r="F43" s="703"/>
      <c r="G43" s="703"/>
      <c r="H43" s="703"/>
      <c r="I43" s="703"/>
      <c r="J43" s="703"/>
      <c r="K43" s="703"/>
      <c r="L43" s="703"/>
      <c r="M43" s="703"/>
      <c r="N43" s="968"/>
      <c r="O43" s="703">
        <f t="shared" si="10"/>
        <v>0</v>
      </c>
      <c r="P43" s="282"/>
      <c r="Q43" s="264">
        <f t="shared" si="2"/>
        <v>0</v>
      </c>
      <c r="R43" s="254" t="s">
        <v>1673</v>
      </c>
    </row>
    <row r="44" spans="1:18" s="254" customFormat="1" ht="24" customHeight="1">
      <c r="A44" s="1245"/>
      <c r="B44" s="1344"/>
      <c r="C44" s="1243" t="s">
        <v>3060</v>
      </c>
      <c r="D44" s="1345"/>
      <c r="E44" s="1346"/>
      <c r="F44" s="1347"/>
      <c r="G44" s="1347"/>
      <c r="H44" s="1347"/>
      <c r="I44" s="1347"/>
      <c r="J44" s="1347"/>
      <c r="K44" s="1347"/>
      <c r="L44" s="1347"/>
      <c r="M44" s="1347"/>
      <c r="N44" s="1347"/>
      <c r="O44" s="1347"/>
      <c r="P44" s="1348"/>
      <c r="Q44" s="1262">
        <f>SUM(Q30:Q34)</f>
        <v>28217.190000000002</v>
      </c>
    </row>
    <row r="45" spans="1:18" s="259" customFormat="1" ht="19.5" customHeight="1">
      <c r="A45" s="310"/>
      <c r="B45" s="340"/>
      <c r="C45" s="350" t="s">
        <v>11</v>
      </c>
      <c r="D45" s="340" t="s">
        <v>2</v>
      </c>
      <c r="E45" s="82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2"/>
      <c r="Q45" s="343">
        <f>Q44+Q28+Q20+Q13</f>
        <v>400173.28</v>
      </c>
      <c r="R45" s="254"/>
    </row>
    <row r="46" spans="1:18" s="245" customFormat="1" ht="15" customHeight="1">
      <c r="A46" s="344"/>
      <c r="B46" s="345"/>
      <c r="C46" s="346"/>
      <c r="D46" s="345"/>
      <c r="E46" s="816"/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48"/>
      <c r="Q46" s="349"/>
      <c r="R46" s="859"/>
    </row>
    <row r="47" spans="1:18" s="259" customFormat="1" ht="34.5" customHeight="1">
      <c r="A47" s="310" t="s">
        <v>25</v>
      </c>
      <c r="B47" s="340"/>
      <c r="C47" s="312" t="s">
        <v>1156</v>
      </c>
      <c r="D47" s="340" t="s">
        <v>2</v>
      </c>
      <c r="E47" s="82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2" t="s">
        <v>0</v>
      </c>
      <c r="Q47" s="343"/>
      <c r="R47" s="254"/>
    </row>
    <row r="48" spans="1:18" s="259" customFormat="1" ht="27" customHeight="1">
      <c r="A48" s="365" t="s">
        <v>14</v>
      </c>
      <c r="B48" s="366"/>
      <c r="C48" s="367" t="s">
        <v>1928</v>
      </c>
      <c r="D48" s="366"/>
      <c r="E48" s="822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9"/>
      <c r="Q48" s="370"/>
      <c r="R48" s="254"/>
    </row>
    <row r="49" spans="1:18" s="254" customFormat="1" ht="33" customHeight="1">
      <c r="A49" s="260" t="s">
        <v>1181</v>
      </c>
      <c r="B49" s="261" t="s">
        <v>2990</v>
      </c>
      <c r="C49" s="1275" t="s">
        <v>3172</v>
      </c>
      <c r="D49" s="250" t="s">
        <v>12</v>
      </c>
      <c r="E49" s="824"/>
      <c r="F49" s="704"/>
      <c r="G49" s="704"/>
      <c r="H49" s="704"/>
      <c r="I49" s="704"/>
      <c r="J49" s="704"/>
      <c r="K49" s="704"/>
      <c r="L49" s="704"/>
      <c r="M49" s="704"/>
      <c r="N49" s="704">
        <v>6315</v>
      </c>
      <c r="O49" s="704">
        <f t="shared" ref="O49:O54" si="11">SUM(E49:N49)</f>
        <v>6315</v>
      </c>
      <c r="P49" s="705">
        <f>COMPOSIÇÕES!B220</f>
        <v>9.9350999999999985</v>
      </c>
      <c r="Q49" s="264">
        <f t="shared" ref="Q49:Q71" si="12">TRUNC(O49*P49,2)</f>
        <v>62740.15</v>
      </c>
      <c r="R49" s="254" t="s">
        <v>1602</v>
      </c>
    </row>
    <row r="50" spans="1:18" s="254" customFormat="1" ht="24" customHeight="1">
      <c r="A50" s="1258"/>
      <c r="B50" s="1343"/>
      <c r="C50" s="1243" t="s">
        <v>3058</v>
      </c>
      <c r="D50" s="391"/>
      <c r="E50" s="881"/>
      <c r="F50" s="882"/>
      <c r="G50" s="882"/>
      <c r="H50" s="882"/>
      <c r="I50" s="882"/>
      <c r="J50" s="882"/>
      <c r="K50" s="882"/>
      <c r="L50" s="882"/>
      <c r="M50" s="882"/>
      <c r="N50" s="882"/>
      <c r="O50" s="882"/>
      <c r="P50" s="883"/>
      <c r="Q50" s="1262">
        <f>Q49</f>
        <v>62740.15</v>
      </c>
    </row>
    <row r="51" spans="1:18" s="254" customFormat="1" ht="28.5" customHeight="1">
      <c r="A51" s="365" t="s">
        <v>15</v>
      </c>
      <c r="B51" s="366"/>
      <c r="C51" s="367" t="s">
        <v>1157</v>
      </c>
      <c r="D51" s="366"/>
      <c r="E51" s="822"/>
      <c r="F51" s="368"/>
      <c r="G51" s="368"/>
      <c r="H51" s="368"/>
      <c r="I51" s="368"/>
      <c r="J51" s="368"/>
      <c r="K51" s="368"/>
      <c r="L51" s="368"/>
      <c r="M51" s="368"/>
      <c r="N51" s="368"/>
      <c r="O51" s="368"/>
      <c r="P51" s="369"/>
      <c r="Q51" s="370"/>
    </row>
    <row r="52" spans="1:18" s="254" customFormat="1" ht="28.5" customHeight="1">
      <c r="A52" s="357" t="s">
        <v>1182</v>
      </c>
      <c r="B52" s="364" t="s">
        <v>1927</v>
      </c>
      <c r="C52" s="359" t="s">
        <v>3029</v>
      </c>
      <c r="D52" s="360" t="s">
        <v>3</v>
      </c>
      <c r="E52" s="826"/>
      <c r="F52" s="377"/>
      <c r="G52" s="377"/>
      <c r="H52" s="377"/>
      <c r="I52" s="377"/>
      <c r="J52" s="377"/>
      <c r="K52" s="377"/>
      <c r="L52" s="377"/>
      <c r="M52" s="377"/>
      <c r="N52" s="361">
        <f>40*80*0.5</f>
        <v>1600</v>
      </c>
      <c r="O52" s="361">
        <f t="shared" si="11"/>
        <v>1600</v>
      </c>
      <c r="P52" s="362">
        <f>5.22*1.245</f>
        <v>6.4988999999999999</v>
      </c>
      <c r="Q52" s="375">
        <f t="shared" ref="Q52" si="13">TRUNC(O52*P52,2)</f>
        <v>10398.24</v>
      </c>
      <c r="R52" s="254" t="s">
        <v>2659</v>
      </c>
    </row>
    <row r="53" spans="1:18" s="254" customFormat="1" ht="27" customHeight="1">
      <c r="A53" s="357" t="s">
        <v>1183</v>
      </c>
      <c r="B53" s="364" t="s">
        <v>1153</v>
      </c>
      <c r="C53" s="1276" t="s">
        <v>3127</v>
      </c>
      <c r="D53" s="256" t="s">
        <v>3</v>
      </c>
      <c r="E53" s="787">
        <f>11.62*11</f>
        <v>127.82</v>
      </c>
      <c r="F53" s="361"/>
      <c r="G53" s="361"/>
      <c r="H53" s="361">
        <v>40.659999999999997</v>
      </c>
      <c r="I53" s="361"/>
      <c r="J53" s="361">
        <v>7.13</v>
      </c>
      <c r="K53" s="361">
        <v>12.47</v>
      </c>
      <c r="L53" s="361"/>
      <c r="M53" s="361">
        <v>9.8000000000000007</v>
      </c>
      <c r="N53" s="361"/>
      <c r="O53" s="361">
        <f t="shared" si="11"/>
        <v>197.88</v>
      </c>
      <c r="P53" s="362">
        <f>COMPOSIÇÕES!B252</f>
        <v>88.357650000000007</v>
      </c>
      <c r="Q53" s="253">
        <f t="shared" si="12"/>
        <v>17484.21</v>
      </c>
      <c r="R53" s="254" t="s">
        <v>1602</v>
      </c>
    </row>
    <row r="54" spans="1:18" s="254" customFormat="1" ht="33.75" customHeight="1">
      <c r="A54" s="357" t="s">
        <v>1184</v>
      </c>
      <c r="B54" s="364" t="s">
        <v>1155</v>
      </c>
      <c r="C54" s="265" t="s">
        <v>3182</v>
      </c>
      <c r="D54" s="256" t="s">
        <v>3</v>
      </c>
      <c r="E54" s="787">
        <f>15.1*11</f>
        <v>166.1</v>
      </c>
      <c r="F54" s="361"/>
      <c r="G54" s="361"/>
      <c r="H54" s="361">
        <v>52.85</v>
      </c>
      <c r="I54" s="361"/>
      <c r="J54" s="361">
        <v>9.27</v>
      </c>
      <c r="K54" s="361">
        <v>16.22</v>
      </c>
      <c r="L54" s="361"/>
      <c r="M54" s="361">
        <v>12.74</v>
      </c>
      <c r="N54" s="361"/>
      <c r="O54" s="251">
        <f t="shared" si="11"/>
        <v>257.18</v>
      </c>
      <c r="P54" s="362">
        <f>COMPOSIÇÕES!B284</f>
        <v>23.094749999999998</v>
      </c>
      <c r="Q54" s="253">
        <f t="shared" si="12"/>
        <v>5939.5</v>
      </c>
      <c r="R54" s="254" t="s">
        <v>1602</v>
      </c>
    </row>
    <row r="55" spans="1:18" s="254" customFormat="1" ht="23.25" customHeight="1">
      <c r="A55" s="357"/>
      <c r="B55" s="1343"/>
      <c r="C55" s="1243" t="s">
        <v>3059</v>
      </c>
      <c r="D55" s="331"/>
      <c r="E55" s="823"/>
      <c r="F55" s="372"/>
      <c r="G55" s="372"/>
      <c r="H55" s="372"/>
      <c r="I55" s="372"/>
      <c r="J55" s="372"/>
      <c r="K55" s="372"/>
      <c r="L55" s="372"/>
      <c r="M55" s="372"/>
      <c r="N55" s="372"/>
      <c r="O55" s="332"/>
      <c r="P55" s="373"/>
      <c r="Q55" s="1261">
        <f>SUM(Q52:Q54)</f>
        <v>33821.949999999997</v>
      </c>
    </row>
    <row r="56" spans="1:18" s="254" customFormat="1" ht="23.25" customHeight="1">
      <c r="A56" s="365" t="s">
        <v>1629</v>
      </c>
      <c r="B56" s="366"/>
      <c r="C56" s="367" t="s">
        <v>1158</v>
      </c>
      <c r="D56" s="371"/>
      <c r="E56" s="823"/>
      <c r="F56" s="372"/>
      <c r="G56" s="372"/>
      <c r="H56" s="372"/>
      <c r="I56" s="372"/>
      <c r="J56" s="372"/>
      <c r="K56" s="372"/>
      <c r="L56" s="372"/>
      <c r="M56" s="372"/>
      <c r="N56" s="372"/>
      <c r="O56" s="372"/>
      <c r="P56" s="373"/>
      <c r="Q56" s="363"/>
    </row>
    <row r="57" spans="1:18" s="254" customFormat="1" ht="39.950000000000003" customHeight="1">
      <c r="A57" s="357" t="s">
        <v>1631</v>
      </c>
      <c r="B57" s="360" t="s">
        <v>1159</v>
      </c>
      <c r="C57" s="359" t="s">
        <v>1625</v>
      </c>
      <c r="D57" s="360" t="s">
        <v>1398</v>
      </c>
      <c r="E57" s="787">
        <v>1.06</v>
      </c>
      <c r="F57" s="361"/>
      <c r="G57" s="361"/>
      <c r="H57" s="361">
        <v>3.7</v>
      </c>
      <c r="I57" s="361"/>
      <c r="J57" s="361">
        <v>0.65</v>
      </c>
      <c r="K57" s="361">
        <v>1.1299999999999999</v>
      </c>
      <c r="L57" s="361"/>
      <c r="M57" s="361">
        <v>0.89</v>
      </c>
      <c r="N57" s="361"/>
      <c r="O57" s="361">
        <f t="shared" ref="O57:O71" si="14">SUM(E57:N57)</f>
        <v>7.43</v>
      </c>
      <c r="P57" s="362">
        <f>COMPOSIÇÕES!B347</f>
        <v>354.82499999999999</v>
      </c>
      <c r="Q57" s="375">
        <f t="shared" si="12"/>
        <v>2636.34</v>
      </c>
      <c r="R57" s="254" t="s">
        <v>1602</v>
      </c>
    </row>
    <row r="58" spans="1:18" s="254" customFormat="1" ht="36.75" customHeight="1">
      <c r="A58" s="357" t="s">
        <v>1632</v>
      </c>
      <c r="B58" s="360" t="s">
        <v>1160</v>
      </c>
      <c r="C58" s="359" t="s">
        <v>1638</v>
      </c>
      <c r="D58" s="360" t="s">
        <v>1401</v>
      </c>
      <c r="E58" s="787">
        <v>226.26</v>
      </c>
      <c r="F58" s="361"/>
      <c r="G58" s="361"/>
      <c r="H58" s="361">
        <v>811.24</v>
      </c>
      <c r="I58" s="361"/>
      <c r="J58" s="361">
        <v>161.54</v>
      </c>
      <c r="K58" s="361">
        <v>282.69</v>
      </c>
      <c r="L58" s="361"/>
      <c r="M58" s="361">
        <v>222.12</v>
      </c>
      <c r="N58" s="361"/>
      <c r="O58" s="361">
        <f t="shared" si="14"/>
        <v>1703.85</v>
      </c>
      <c r="P58" s="362">
        <f>COMPOSIÇÕES!B471</f>
        <v>11.366849999999999</v>
      </c>
      <c r="Q58" s="375">
        <f t="shared" si="12"/>
        <v>19367.400000000001</v>
      </c>
      <c r="R58" s="254" t="s">
        <v>1602</v>
      </c>
    </row>
    <row r="59" spans="1:18" s="254" customFormat="1" ht="39.950000000000003" customHeight="1">
      <c r="A59" s="357" t="s">
        <v>1633</v>
      </c>
      <c r="B59" s="360" t="s">
        <v>1161</v>
      </c>
      <c r="C59" s="359" t="s">
        <v>1637</v>
      </c>
      <c r="D59" s="360" t="s">
        <v>1401</v>
      </c>
      <c r="E59" s="787">
        <v>397.25</v>
      </c>
      <c r="F59" s="361"/>
      <c r="G59" s="361"/>
      <c r="H59" s="361">
        <v>1426.5</v>
      </c>
      <c r="I59" s="361"/>
      <c r="J59" s="361">
        <v>291.42</v>
      </c>
      <c r="K59" s="361">
        <v>509.99</v>
      </c>
      <c r="L59" s="361"/>
      <c r="M59" s="361">
        <v>400.7</v>
      </c>
      <c r="N59" s="361"/>
      <c r="O59" s="361">
        <f t="shared" si="14"/>
        <v>3025.8599999999997</v>
      </c>
      <c r="P59" s="362">
        <f>COMPOSIÇÕES!B492</f>
        <v>9.175650000000001</v>
      </c>
      <c r="Q59" s="375">
        <f t="shared" si="12"/>
        <v>27764.23</v>
      </c>
      <c r="R59" s="254" t="s">
        <v>1602</v>
      </c>
    </row>
    <row r="60" spans="1:18" s="254" customFormat="1" ht="39" customHeight="1">
      <c r="A60" s="357" t="s">
        <v>1634</v>
      </c>
      <c r="B60" s="360" t="s">
        <v>1162</v>
      </c>
      <c r="C60" s="359" t="s">
        <v>3147</v>
      </c>
      <c r="D60" s="360" t="s">
        <v>3</v>
      </c>
      <c r="E60" s="787">
        <v>10.56</v>
      </c>
      <c r="F60" s="361"/>
      <c r="G60" s="361"/>
      <c r="H60" s="361">
        <v>36.96</v>
      </c>
      <c r="I60" s="361">
        <v>11.6</v>
      </c>
      <c r="J60" s="361">
        <v>6.48</v>
      </c>
      <c r="K60" s="361">
        <v>11.34</v>
      </c>
      <c r="L60" s="361"/>
      <c r="M60" s="361">
        <v>8.91</v>
      </c>
      <c r="N60" s="361"/>
      <c r="O60" s="361">
        <f t="shared" si="14"/>
        <v>85.850000000000009</v>
      </c>
      <c r="P60" s="362">
        <f>COMPOSIÇÕES!B536</f>
        <v>393.63164999999992</v>
      </c>
      <c r="Q60" s="375">
        <f t="shared" si="12"/>
        <v>33793.269999999997</v>
      </c>
      <c r="R60" s="254" t="s">
        <v>1602</v>
      </c>
    </row>
    <row r="61" spans="1:18" s="254" customFormat="1" ht="34.5" customHeight="1">
      <c r="A61" s="357" t="s">
        <v>1635</v>
      </c>
      <c r="B61" s="358" t="s">
        <v>2876</v>
      </c>
      <c r="C61" s="359" t="s">
        <v>3148</v>
      </c>
      <c r="D61" s="360" t="s">
        <v>3</v>
      </c>
      <c r="E61" s="824">
        <f>E60</f>
        <v>10.56</v>
      </c>
      <c r="F61" s="704"/>
      <c r="G61" s="704"/>
      <c r="H61" s="704">
        <f>H60</f>
        <v>36.96</v>
      </c>
      <c r="I61" s="704">
        <f>I60</f>
        <v>11.6</v>
      </c>
      <c r="J61" s="704">
        <f>J60</f>
        <v>6.48</v>
      </c>
      <c r="K61" s="704">
        <f>K60</f>
        <v>11.34</v>
      </c>
      <c r="L61" s="704"/>
      <c r="M61" s="704">
        <f>M60</f>
        <v>8.91</v>
      </c>
      <c r="N61" s="704"/>
      <c r="O61" s="361">
        <f t="shared" si="14"/>
        <v>85.850000000000009</v>
      </c>
      <c r="P61" s="705">
        <f>COMPOSIÇÕES!B554</f>
        <v>128.16030000000001</v>
      </c>
      <c r="Q61" s="375">
        <f t="shared" si="12"/>
        <v>11002.56</v>
      </c>
      <c r="R61" s="254" t="s">
        <v>1602</v>
      </c>
    </row>
    <row r="62" spans="1:18" s="254" customFormat="1" ht="27.75" customHeight="1">
      <c r="A62" s="357"/>
      <c r="B62" s="1342"/>
      <c r="C62" s="1243" t="s">
        <v>3057</v>
      </c>
      <c r="D62" s="371"/>
      <c r="E62" s="881"/>
      <c r="F62" s="882"/>
      <c r="G62" s="882"/>
      <c r="H62" s="882"/>
      <c r="I62" s="882"/>
      <c r="J62" s="882"/>
      <c r="K62" s="882"/>
      <c r="L62" s="882"/>
      <c r="M62" s="882"/>
      <c r="N62" s="882"/>
      <c r="O62" s="372"/>
      <c r="P62" s="883"/>
      <c r="Q62" s="384">
        <f>SUM(Q57:Q61)</f>
        <v>94563.799999999988</v>
      </c>
    </row>
    <row r="63" spans="1:18" s="254" customFormat="1" ht="32.25" customHeight="1">
      <c r="A63" s="365" t="s">
        <v>2274</v>
      </c>
      <c r="B63" s="366"/>
      <c r="C63" s="367" t="s">
        <v>2275</v>
      </c>
      <c r="D63" s="371"/>
      <c r="E63" s="823"/>
      <c r="F63" s="372"/>
      <c r="G63" s="372"/>
      <c r="H63" s="372"/>
      <c r="I63" s="372"/>
      <c r="J63" s="372"/>
      <c r="K63" s="372"/>
      <c r="L63" s="372"/>
      <c r="M63" s="372"/>
      <c r="N63" s="372"/>
      <c r="O63" s="372"/>
      <c r="P63" s="373"/>
      <c r="Q63" s="363"/>
    </row>
    <row r="64" spans="1:18" s="254" customFormat="1" ht="34.5" customHeight="1">
      <c r="A64" s="378" t="s">
        <v>2291</v>
      </c>
      <c r="B64" s="364" t="s">
        <v>474</v>
      </c>
      <c r="C64" s="359" t="s">
        <v>2384</v>
      </c>
      <c r="D64" s="256" t="s">
        <v>3</v>
      </c>
      <c r="E64" s="787"/>
      <c r="F64" s="361"/>
      <c r="G64" s="361"/>
      <c r="H64" s="361"/>
      <c r="I64" s="361"/>
      <c r="J64" s="361"/>
      <c r="K64" s="361"/>
      <c r="L64" s="361"/>
      <c r="M64" s="361"/>
      <c r="N64" s="361">
        <f>memoria!H272</f>
        <v>25.787999999999997</v>
      </c>
      <c r="O64" s="361">
        <f t="shared" si="14"/>
        <v>25.787999999999997</v>
      </c>
      <c r="P64" s="362">
        <f>COMPOSIÇÕES!B235</f>
        <v>77.115299999999991</v>
      </c>
      <c r="Q64" s="375">
        <f t="shared" si="12"/>
        <v>1988.64</v>
      </c>
      <c r="R64" s="254" t="s">
        <v>1602</v>
      </c>
    </row>
    <row r="65" spans="1:21" s="254" customFormat="1" ht="52.5" customHeight="1">
      <c r="A65" s="378" t="s">
        <v>2292</v>
      </c>
      <c r="B65" s="364" t="s">
        <v>2277</v>
      </c>
      <c r="C65" s="359" t="s">
        <v>3183</v>
      </c>
      <c r="D65" s="256" t="s">
        <v>3</v>
      </c>
      <c r="E65" s="787"/>
      <c r="F65" s="361"/>
      <c r="G65" s="361"/>
      <c r="H65" s="361"/>
      <c r="I65" s="361"/>
      <c r="J65" s="361"/>
      <c r="K65" s="361"/>
      <c r="L65" s="361"/>
      <c r="M65" s="361"/>
      <c r="N65" s="361">
        <f>memoria!H276</f>
        <v>3.6840000000000002</v>
      </c>
      <c r="O65" s="361">
        <f t="shared" si="14"/>
        <v>3.6840000000000002</v>
      </c>
      <c r="P65" s="362">
        <f>COMPOSIÇÕES!B306</f>
        <v>250.65584999999999</v>
      </c>
      <c r="Q65" s="375">
        <f t="shared" si="12"/>
        <v>923.41</v>
      </c>
      <c r="R65" s="254" t="s">
        <v>1602</v>
      </c>
    </row>
    <row r="66" spans="1:21" s="254" customFormat="1" ht="25.5" customHeight="1">
      <c r="A66" s="378" t="s">
        <v>2293</v>
      </c>
      <c r="B66" s="364" t="s">
        <v>2279</v>
      </c>
      <c r="C66" s="359" t="s">
        <v>3152</v>
      </c>
      <c r="D66" s="360" t="s">
        <v>12</v>
      </c>
      <c r="E66" s="787"/>
      <c r="F66" s="361"/>
      <c r="G66" s="361"/>
      <c r="H66" s="361"/>
      <c r="I66" s="361"/>
      <c r="J66" s="361"/>
      <c r="K66" s="361"/>
      <c r="L66" s="361"/>
      <c r="M66" s="361"/>
      <c r="N66" s="361">
        <f>memoria!H278</f>
        <v>163.99999999999997</v>
      </c>
      <c r="O66" s="361">
        <f t="shared" si="14"/>
        <v>163.99999999999997</v>
      </c>
      <c r="P66" s="362">
        <f>COMPOSIÇÕES!B379</f>
        <v>9.4121999999999986</v>
      </c>
      <c r="Q66" s="375">
        <f t="shared" si="12"/>
        <v>1543.6</v>
      </c>
      <c r="R66" s="254" t="s">
        <v>1602</v>
      </c>
    </row>
    <row r="67" spans="1:21" s="254" customFormat="1" ht="36.75" customHeight="1">
      <c r="A67" s="378" t="s">
        <v>2294</v>
      </c>
      <c r="B67" s="364" t="s">
        <v>2281</v>
      </c>
      <c r="C67" s="359" t="s">
        <v>3184</v>
      </c>
      <c r="D67" s="360" t="s">
        <v>4</v>
      </c>
      <c r="E67" s="787"/>
      <c r="F67" s="361"/>
      <c r="G67" s="361"/>
      <c r="H67" s="361"/>
      <c r="I67" s="361"/>
      <c r="J67" s="361"/>
      <c r="K67" s="361"/>
      <c r="L67" s="361"/>
      <c r="M67" s="361"/>
      <c r="N67" s="361">
        <f>memoria!H279</f>
        <v>81.599999999999994</v>
      </c>
      <c r="O67" s="361">
        <f t="shared" si="14"/>
        <v>81.599999999999994</v>
      </c>
      <c r="P67" s="362">
        <f>COMPOSIÇÕES!B397</f>
        <v>73.318049999999999</v>
      </c>
      <c r="Q67" s="375">
        <f t="shared" si="12"/>
        <v>5982.75</v>
      </c>
      <c r="R67" s="254" t="s">
        <v>1602</v>
      </c>
    </row>
    <row r="68" spans="1:21" s="254" customFormat="1" ht="36.75" customHeight="1">
      <c r="A68" s="378" t="s">
        <v>2295</v>
      </c>
      <c r="B68" s="358" t="s">
        <v>2288</v>
      </c>
      <c r="C68" s="359" t="s">
        <v>3155</v>
      </c>
      <c r="D68" s="360" t="s">
        <v>4</v>
      </c>
      <c r="E68" s="787"/>
      <c r="F68" s="361"/>
      <c r="G68" s="361"/>
      <c r="H68" s="361"/>
      <c r="I68" s="361"/>
      <c r="J68" s="361"/>
      <c r="K68" s="361"/>
      <c r="L68" s="361"/>
      <c r="M68" s="361"/>
      <c r="N68" s="361">
        <f>memoria!H280</f>
        <v>164</v>
      </c>
      <c r="O68" s="361">
        <f t="shared" si="14"/>
        <v>164</v>
      </c>
      <c r="P68" s="362">
        <f>COMPOSIÇÕES!B415</f>
        <v>51.891600000000011</v>
      </c>
      <c r="Q68" s="375">
        <f t="shared" si="12"/>
        <v>8510.2199999999993</v>
      </c>
      <c r="R68" s="254" t="s">
        <v>1602</v>
      </c>
    </row>
    <row r="69" spans="1:21" s="254" customFormat="1" ht="32.25" customHeight="1">
      <c r="A69" s="378" t="s">
        <v>2296</v>
      </c>
      <c r="B69" s="358" t="s">
        <v>2289</v>
      </c>
      <c r="C69" s="359" t="s">
        <v>2290</v>
      </c>
      <c r="D69" s="360" t="s">
        <v>465</v>
      </c>
      <c r="E69" s="787"/>
      <c r="F69" s="361"/>
      <c r="G69" s="361"/>
      <c r="H69" s="361"/>
      <c r="I69" s="361"/>
      <c r="J69" s="361"/>
      <c r="K69" s="361"/>
      <c r="L69" s="361"/>
      <c r="M69" s="361"/>
      <c r="N69" s="361">
        <f>memoria!H281</f>
        <v>11.863350000000001</v>
      </c>
      <c r="O69" s="361">
        <f t="shared" si="14"/>
        <v>11.863350000000001</v>
      </c>
      <c r="P69" s="362">
        <f>COMPOSIÇÕES!B431</f>
        <v>136.06605000000002</v>
      </c>
      <c r="Q69" s="375">
        <f t="shared" si="12"/>
        <v>1614.19</v>
      </c>
      <c r="R69" s="254" t="s">
        <v>1602</v>
      </c>
    </row>
    <row r="70" spans="1:21" s="254" customFormat="1" ht="26.25" customHeight="1">
      <c r="A70" s="378" t="s">
        <v>2297</v>
      </c>
      <c r="B70" s="364" t="s">
        <v>1154</v>
      </c>
      <c r="C70" s="265" t="s">
        <v>2286</v>
      </c>
      <c r="D70" s="360" t="s">
        <v>465</v>
      </c>
      <c r="E70" s="787"/>
      <c r="F70" s="361"/>
      <c r="G70" s="361"/>
      <c r="H70" s="361"/>
      <c r="I70" s="361"/>
      <c r="J70" s="361"/>
      <c r="K70" s="361"/>
      <c r="L70" s="361"/>
      <c r="M70" s="361"/>
      <c r="N70" s="361">
        <f>memoria!H283</f>
        <v>4.4473500000000001</v>
      </c>
      <c r="O70" s="361">
        <f t="shared" si="14"/>
        <v>4.4473500000000001</v>
      </c>
      <c r="P70" s="362">
        <f>COMPOSIÇÕES!B267</f>
        <v>46.749749999999999</v>
      </c>
      <c r="Q70" s="375">
        <f t="shared" si="12"/>
        <v>207.91</v>
      </c>
      <c r="R70" s="254" t="s">
        <v>1602</v>
      </c>
    </row>
    <row r="71" spans="1:21" s="254" customFormat="1" ht="36.75" customHeight="1">
      <c r="A71" s="378" t="s">
        <v>2298</v>
      </c>
      <c r="B71" s="364" t="s">
        <v>1155</v>
      </c>
      <c r="C71" s="265" t="s">
        <v>3129</v>
      </c>
      <c r="D71" s="360" t="s">
        <v>465</v>
      </c>
      <c r="E71" s="787"/>
      <c r="F71" s="361"/>
      <c r="G71" s="361"/>
      <c r="H71" s="361"/>
      <c r="I71" s="361"/>
      <c r="J71" s="361"/>
      <c r="K71" s="361"/>
      <c r="L71" s="361"/>
      <c r="M71" s="361"/>
      <c r="N71" s="361">
        <f>memoria!H285</f>
        <v>27.742844999999996</v>
      </c>
      <c r="O71" s="361">
        <f t="shared" si="14"/>
        <v>27.742844999999996</v>
      </c>
      <c r="P71" s="362">
        <f>COMPOSIÇÕES!B284</f>
        <v>23.094749999999998</v>
      </c>
      <c r="Q71" s="375">
        <f t="shared" si="12"/>
        <v>640.71</v>
      </c>
      <c r="R71" s="254" t="s">
        <v>1602</v>
      </c>
    </row>
    <row r="72" spans="1:21" s="254" customFormat="1" ht="25.5" customHeight="1">
      <c r="A72" s="357"/>
      <c r="B72" s="371"/>
      <c r="C72" s="1243" t="s">
        <v>3056</v>
      </c>
      <c r="D72" s="371"/>
      <c r="E72" s="881"/>
      <c r="F72" s="882"/>
      <c r="G72" s="882"/>
      <c r="H72" s="882"/>
      <c r="I72" s="882"/>
      <c r="J72" s="882"/>
      <c r="K72" s="882"/>
      <c r="L72" s="882"/>
      <c r="M72" s="882"/>
      <c r="N72" s="882"/>
      <c r="O72" s="372"/>
      <c r="P72" s="883"/>
      <c r="Q72" s="384">
        <f>SUM(Q64:Q71)</f>
        <v>21411.429999999997</v>
      </c>
    </row>
    <row r="73" spans="1:21" s="259" customFormat="1" ht="26.25" customHeight="1">
      <c r="A73" s="310"/>
      <c r="B73" s="340"/>
      <c r="C73" s="350" t="s">
        <v>13</v>
      </c>
      <c r="D73" s="340" t="s">
        <v>2</v>
      </c>
      <c r="E73" s="821"/>
      <c r="F73" s="341"/>
      <c r="G73" s="341"/>
      <c r="H73" s="341"/>
      <c r="I73" s="341"/>
      <c r="J73" s="341"/>
      <c r="K73" s="341"/>
      <c r="L73" s="341"/>
      <c r="M73" s="341"/>
      <c r="N73" s="341"/>
      <c r="O73" s="341"/>
      <c r="P73" s="342"/>
      <c r="Q73" s="343">
        <f>Q72+Q62+Q55+Q50</f>
        <v>212537.33</v>
      </c>
      <c r="R73" s="254"/>
    </row>
    <row r="74" spans="1:21" s="259" customFormat="1" ht="13.5" customHeight="1">
      <c r="A74" s="344"/>
      <c r="B74" s="345"/>
      <c r="C74" s="352"/>
      <c r="D74" s="345"/>
      <c r="E74" s="825"/>
      <c r="F74" s="353"/>
      <c r="G74" s="353"/>
      <c r="H74" s="353"/>
      <c r="I74" s="353"/>
      <c r="J74" s="353"/>
      <c r="K74" s="353"/>
      <c r="L74" s="353"/>
      <c r="M74" s="353"/>
      <c r="N74" s="353"/>
      <c r="O74" s="353"/>
      <c r="P74" s="354"/>
      <c r="Q74" s="349"/>
      <c r="R74" s="254"/>
    </row>
    <row r="75" spans="1:21" s="259" customFormat="1" ht="25.5" customHeight="1">
      <c r="A75" s="310" t="s">
        <v>26</v>
      </c>
      <c r="B75" s="340"/>
      <c r="C75" s="725" t="s">
        <v>1163</v>
      </c>
      <c r="D75" s="340" t="s">
        <v>2</v>
      </c>
      <c r="E75" s="821" t="s">
        <v>2381</v>
      </c>
      <c r="F75" s="341"/>
      <c r="G75" s="341"/>
      <c r="H75" s="341"/>
      <c r="I75" s="341"/>
      <c r="J75" s="341"/>
      <c r="K75" s="341"/>
      <c r="L75" s="341"/>
      <c r="M75" s="341"/>
      <c r="N75" s="341"/>
      <c r="O75" s="341"/>
      <c r="P75" s="342" t="s">
        <v>0</v>
      </c>
      <c r="Q75" s="343"/>
      <c r="R75" s="254"/>
    </row>
    <row r="76" spans="1:21" s="259" customFormat="1" ht="39.950000000000003" customHeight="1">
      <c r="A76" s="378" t="s">
        <v>9</v>
      </c>
      <c r="B76" s="358" t="s">
        <v>1870</v>
      </c>
      <c r="C76" s="284" t="s">
        <v>3160</v>
      </c>
      <c r="D76" s="278" t="s">
        <v>115</v>
      </c>
      <c r="E76" s="860">
        <f>8179*11</f>
        <v>89969</v>
      </c>
      <c r="F76" s="770"/>
      <c r="G76" s="770"/>
      <c r="H76" s="770">
        <f>27582+(2713/3)</f>
        <v>28486.333333333332</v>
      </c>
      <c r="I76" s="770">
        <v>4132</v>
      </c>
      <c r="J76" s="770">
        <v>2713</v>
      </c>
      <c r="K76" s="770">
        <v>5273</v>
      </c>
      <c r="L76" s="770">
        <v>2104</v>
      </c>
      <c r="M76" s="770">
        <v>3514</v>
      </c>
      <c r="N76" s="361"/>
      <c r="O76" s="361">
        <f t="shared" ref="O76" si="15">SUM(E76:N76)</f>
        <v>136191.33333333331</v>
      </c>
      <c r="P76" s="362">
        <f>COMPOSIÇÕES!B574</f>
        <v>12.288150000000002</v>
      </c>
      <c r="Q76" s="283">
        <f t="shared" ref="Q76" si="16">TRUNC(O76*P76,2)</f>
        <v>1673539.53</v>
      </c>
      <c r="R76" s="254" t="s">
        <v>1602</v>
      </c>
      <c r="S76" s="1397" t="s">
        <v>2396</v>
      </c>
      <c r="T76" s="1397"/>
      <c r="U76" s="976">
        <v>106.62</v>
      </c>
    </row>
    <row r="77" spans="1:21" s="245" customFormat="1" ht="23.25" customHeight="1">
      <c r="A77" s="310"/>
      <c r="B77" s="340"/>
      <c r="C77" s="350" t="s">
        <v>1164</v>
      </c>
      <c r="D77" s="340" t="s">
        <v>2</v>
      </c>
      <c r="E77" s="821"/>
      <c r="F77" s="341"/>
      <c r="G77" s="341"/>
      <c r="H77" s="341"/>
      <c r="I77" s="341"/>
      <c r="J77" s="341"/>
      <c r="K77" s="341"/>
      <c r="L77" s="341"/>
      <c r="M77" s="341"/>
      <c r="N77" s="341"/>
      <c r="O77" s="341"/>
      <c r="P77" s="342"/>
      <c r="Q77" s="343">
        <f>SUM(Q76:Q76)</f>
        <v>1673539.53</v>
      </c>
      <c r="R77" s="859"/>
      <c r="S77" s="267"/>
    </row>
    <row r="78" spans="1:21" s="245" customFormat="1" ht="12.75" customHeight="1">
      <c r="A78" s="309"/>
      <c r="B78" s="380"/>
      <c r="C78" s="381"/>
      <c r="D78" s="380"/>
      <c r="E78" s="827"/>
      <c r="F78" s="382"/>
      <c r="G78" s="382"/>
      <c r="H78" s="382"/>
      <c r="I78" s="382"/>
      <c r="J78" s="382"/>
      <c r="K78" s="382"/>
      <c r="L78" s="382"/>
      <c r="M78" s="382"/>
      <c r="N78" s="382"/>
      <c r="O78" s="382"/>
      <c r="P78" s="383"/>
      <c r="Q78" s="384"/>
      <c r="R78" s="859"/>
      <c r="S78" s="267"/>
    </row>
    <row r="79" spans="1:21" s="245" customFormat="1" ht="20.25" customHeight="1">
      <c r="A79" s="310" t="s">
        <v>27</v>
      </c>
      <c r="B79" s="340"/>
      <c r="C79" s="312" t="s">
        <v>2915</v>
      </c>
      <c r="D79" s="340" t="s">
        <v>2</v>
      </c>
      <c r="E79" s="821"/>
      <c r="F79" s="341"/>
      <c r="G79" s="341"/>
      <c r="H79" s="341"/>
      <c r="I79" s="341"/>
      <c r="J79" s="341"/>
      <c r="K79" s="341"/>
      <c r="L79" s="341"/>
      <c r="M79" s="341"/>
      <c r="N79" s="341"/>
      <c r="O79" s="341"/>
      <c r="P79" s="342" t="s">
        <v>0</v>
      </c>
      <c r="Q79" s="343"/>
      <c r="R79" s="859"/>
      <c r="S79" s="267"/>
    </row>
    <row r="80" spans="1:21" s="245" customFormat="1" ht="22.5" customHeight="1">
      <c r="A80" s="309" t="s">
        <v>10</v>
      </c>
      <c r="B80" s="380"/>
      <c r="C80" s="305" t="s">
        <v>2914</v>
      </c>
      <c r="D80" s="380"/>
      <c r="E80" s="828"/>
      <c r="F80" s="385"/>
      <c r="G80" s="385"/>
      <c r="H80" s="385"/>
      <c r="I80" s="385"/>
      <c r="J80" s="385"/>
      <c r="K80" s="385"/>
      <c r="L80" s="385"/>
      <c r="M80" s="385"/>
      <c r="N80" s="385"/>
      <c r="O80" s="385"/>
      <c r="P80" s="386"/>
      <c r="Q80" s="384"/>
      <c r="R80" s="859"/>
      <c r="S80" s="267"/>
    </row>
    <row r="81" spans="1:24" s="245" customFormat="1" ht="31.5" customHeight="1">
      <c r="A81" s="378" t="s">
        <v>1167</v>
      </c>
      <c r="B81" s="1370" t="s">
        <v>3030</v>
      </c>
      <c r="C81" s="359" t="s">
        <v>3165</v>
      </c>
      <c r="D81" s="360" t="s">
        <v>12</v>
      </c>
      <c r="E81" s="877">
        <v>190.37</v>
      </c>
      <c r="F81" s="771"/>
      <c r="G81" s="771"/>
      <c r="H81" s="771">
        <v>49.53</v>
      </c>
      <c r="I81" s="771"/>
      <c r="J81" s="771"/>
      <c r="K81" s="771"/>
      <c r="L81" s="771"/>
      <c r="M81" s="771"/>
      <c r="N81" s="771"/>
      <c r="O81" s="771">
        <f t="shared" ref="O81" si="17">SUM(E81:N81)</f>
        <v>239.9</v>
      </c>
      <c r="P81" s="949">
        <f>COMPOSIÇÕES!B757</f>
        <v>291.24284999999992</v>
      </c>
      <c r="Q81" s="375">
        <f t="shared" ref="Q81:Q94" si="18">TRUNC(O81*P81,2)</f>
        <v>69869.149999999994</v>
      </c>
      <c r="R81" s="859" t="s">
        <v>1602</v>
      </c>
    </row>
    <row r="82" spans="1:24" s="245" customFormat="1" ht="24" customHeight="1">
      <c r="A82" s="1338"/>
      <c r="B82" s="1339"/>
      <c r="C82" s="1243" t="s">
        <v>3055</v>
      </c>
      <c r="D82" s="1339"/>
      <c r="E82" s="1340"/>
      <c r="F82" s="774"/>
      <c r="G82" s="774"/>
      <c r="H82" s="774"/>
      <c r="I82" s="774"/>
      <c r="J82" s="774"/>
      <c r="K82" s="774"/>
      <c r="L82" s="774"/>
      <c r="M82" s="774"/>
      <c r="N82" s="774"/>
      <c r="O82" s="774"/>
      <c r="P82" s="1341"/>
      <c r="Q82" s="402">
        <f>Q81</f>
        <v>69869.149999999994</v>
      </c>
      <c r="R82" s="859"/>
    </row>
    <row r="83" spans="1:24" s="245" customFormat="1" ht="22.5" customHeight="1">
      <c r="A83" s="397" t="s">
        <v>1168</v>
      </c>
      <c r="B83" s="398"/>
      <c r="C83" s="399" t="s">
        <v>1165</v>
      </c>
      <c r="D83" s="398"/>
      <c r="E83" s="830"/>
      <c r="F83" s="400"/>
      <c r="G83" s="400"/>
      <c r="H83" s="400"/>
      <c r="I83" s="400"/>
      <c r="J83" s="1241">
        <f>0.8*2.1</f>
        <v>1.6800000000000002</v>
      </c>
      <c r="K83" s="1241"/>
      <c r="L83" s="1241">
        <f>P85/J83</f>
        <v>518.69071428571419</v>
      </c>
      <c r="M83" s="400"/>
      <c r="N83" s="400"/>
      <c r="O83" s="774"/>
      <c r="P83" s="401"/>
      <c r="Q83" s="402"/>
      <c r="R83" s="859"/>
      <c r="S83" s="267"/>
    </row>
    <row r="84" spans="1:24" s="245" customFormat="1" ht="51.75" customHeight="1">
      <c r="A84" s="378" t="s">
        <v>1169</v>
      </c>
      <c r="B84" s="1370" t="s">
        <v>3169</v>
      </c>
      <c r="C84" s="970" t="s">
        <v>3167</v>
      </c>
      <c r="D84" s="279" t="s">
        <v>1574</v>
      </c>
      <c r="E84" s="831">
        <f>213.5+(30.5*4)</f>
        <v>335.5</v>
      </c>
      <c r="F84" s="281"/>
      <c r="G84" s="281">
        <v>25.6</v>
      </c>
      <c r="H84" s="281">
        <v>16.61</v>
      </c>
      <c r="I84" s="281"/>
      <c r="J84" s="281"/>
      <c r="K84" s="281"/>
      <c r="L84" s="281"/>
      <c r="M84" s="281"/>
      <c r="N84" s="281"/>
      <c r="O84" s="281">
        <f t="shared" ref="O84:O88" si="19">SUM(E84:N84)</f>
        <v>377.71000000000004</v>
      </c>
      <c r="P84" s="362">
        <f>COMPOSIÇÕES!B794</f>
        <v>456.67845</v>
      </c>
      <c r="Q84" s="283">
        <f t="shared" si="18"/>
        <v>172492.01</v>
      </c>
      <c r="R84" s="859" t="s">
        <v>1602</v>
      </c>
      <c r="S84" s="267"/>
    </row>
    <row r="85" spans="1:24" s="245" customFormat="1" ht="78" customHeight="1">
      <c r="A85" s="378" t="s">
        <v>1170</v>
      </c>
      <c r="B85" s="358" t="s">
        <v>615</v>
      </c>
      <c r="C85" s="275" t="s">
        <v>3178</v>
      </c>
      <c r="D85" s="256" t="s">
        <v>134</v>
      </c>
      <c r="E85" s="787"/>
      <c r="F85" s="361"/>
      <c r="G85" s="361"/>
      <c r="H85" s="361">
        <v>3</v>
      </c>
      <c r="I85" s="251"/>
      <c r="J85" s="251"/>
      <c r="K85" s="251"/>
      <c r="L85" s="251"/>
      <c r="M85" s="251"/>
      <c r="N85" s="251"/>
      <c r="O85" s="281">
        <f t="shared" si="19"/>
        <v>3</v>
      </c>
      <c r="P85" s="362">
        <f>699.92*1.245</f>
        <v>871.40039999999999</v>
      </c>
      <c r="Q85" s="253">
        <f t="shared" si="18"/>
        <v>2614.1999999999998</v>
      </c>
      <c r="R85" s="859" t="s">
        <v>2659</v>
      </c>
      <c r="S85" s="267"/>
    </row>
    <row r="86" spans="1:24" s="245" customFormat="1" ht="75.75" customHeight="1">
      <c r="A86" s="378" t="s">
        <v>1171</v>
      </c>
      <c r="B86" s="358" t="s">
        <v>3177</v>
      </c>
      <c r="C86" s="275" t="s">
        <v>3181</v>
      </c>
      <c r="D86" s="256" t="s">
        <v>134</v>
      </c>
      <c r="E86" s="787">
        <v>20</v>
      </c>
      <c r="F86" s="361"/>
      <c r="G86" s="361">
        <v>4</v>
      </c>
      <c r="H86" s="361">
        <v>5</v>
      </c>
      <c r="I86" s="251"/>
      <c r="J86" s="251"/>
      <c r="K86" s="251"/>
      <c r="L86" s="251"/>
      <c r="M86" s="251"/>
      <c r="N86" s="251"/>
      <c r="O86" s="281">
        <f t="shared" si="19"/>
        <v>29</v>
      </c>
      <c r="P86" s="362">
        <f>((732.71*1.245)/(0.9*2.1))*(1.1*2.1)</f>
        <v>1114.9403833333336</v>
      </c>
      <c r="Q86" s="253">
        <f t="shared" si="18"/>
        <v>32333.27</v>
      </c>
      <c r="R86" s="859" t="s">
        <v>2659</v>
      </c>
      <c r="S86" s="267">
        <f>0.9*2.1</f>
        <v>1.8900000000000001</v>
      </c>
      <c r="T86" s="245">
        <v>732.71</v>
      </c>
      <c r="U86" s="245">
        <f>T86*1.245</f>
        <v>912.22395000000017</v>
      </c>
      <c r="V86" s="267">
        <f>U86/S86</f>
        <v>482.65817460317464</v>
      </c>
      <c r="W86" s="245">
        <f>1.1*2.1</f>
        <v>2.3100000000000005</v>
      </c>
      <c r="X86" s="267">
        <f>W86*V86</f>
        <v>1114.9403833333336</v>
      </c>
    </row>
    <row r="87" spans="1:24" s="245" customFormat="1" ht="76.5" customHeight="1">
      <c r="A87" s="378" t="s">
        <v>1172</v>
      </c>
      <c r="B87" s="358" t="s">
        <v>615</v>
      </c>
      <c r="C87" s="275" t="s">
        <v>3179</v>
      </c>
      <c r="D87" s="256" t="s">
        <v>134</v>
      </c>
      <c r="E87" s="787">
        <v>2</v>
      </c>
      <c r="F87" s="361"/>
      <c r="G87" s="361"/>
      <c r="H87" s="787"/>
      <c r="I87" s="251"/>
      <c r="J87" s="251"/>
      <c r="K87" s="251"/>
      <c r="L87" s="251"/>
      <c r="M87" s="251"/>
      <c r="N87" s="251"/>
      <c r="O87" s="281">
        <f t="shared" si="19"/>
        <v>2</v>
      </c>
      <c r="P87" s="362">
        <f>P85</f>
        <v>871.40039999999999</v>
      </c>
      <c r="Q87" s="253">
        <f t="shared" si="18"/>
        <v>1742.8</v>
      </c>
      <c r="R87" s="859" t="s">
        <v>2659</v>
      </c>
      <c r="S87" s="267"/>
    </row>
    <row r="88" spans="1:24" s="245" customFormat="1" ht="78.75" customHeight="1">
      <c r="A88" s="378" t="s">
        <v>3036</v>
      </c>
      <c r="B88" s="358" t="s">
        <v>3176</v>
      </c>
      <c r="C88" s="275" t="s">
        <v>3180</v>
      </c>
      <c r="D88" s="256" t="s">
        <v>134</v>
      </c>
      <c r="E88" s="787">
        <v>14</v>
      </c>
      <c r="F88" s="361"/>
      <c r="G88" s="361"/>
      <c r="H88" s="787"/>
      <c r="I88" s="251"/>
      <c r="J88" s="251"/>
      <c r="K88" s="251"/>
      <c r="L88" s="251"/>
      <c r="M88" s="251"/>
      <c r="N88" s="251"/>
      <c r="O88" s="281">
        <f t="shared" si="19"/>
        <v>14</v>
      </c>
      <c r="P88" s="362">
        <f>625.26*1.245</f>
        <v>778.44870000000003</v>
      </c>
      <c r="Q88" s="253">
        <f t="shared" si="18"/>
        <v>10898.28</v>
      </c>
      <c r="R88" s="859" t="s">
        <v>2659</v>
      </c>
      <c r="S88" s="267"/>
    </row>
    <row r="89" spans="1:24" s="245" customFormat="1" ht="30" customHeight="1">
      <c r="A89" s="378" t="s">
        <v>3037</v>
      </c>
      <c r="B89" s="364" t="s">
        <v>2801</v>
      </c>
      <c r="C89" s="265" t="s">
        <v>2742</v>
      </c>
      <c r="D89" s="256" t="s">
        <v>125</v>
      </c>
      <c r="E89" s="820">
        <v>4.41</v>
      </c>
      <c r="F89" s="251"/>
      <c r="G89" s="251">
        <v>0.4</v>
      </c>
      <c r="H89" s="251">
        <v>0.4</v>
      </c>
      <c r="I89" s="251"/>
      <c r="J89" s="251"/>
      <c r="K89" s="251"/>
      <c r="L89" s="251"/>
      <c r="M89" s="251"/>
      <c r="N89" s="251"/>
      <c r="O89" s="281">
        <f t="shared" ref="O89" si="20">SUM(E89:N89)</f>
        <v>5.2100000000000009</v>
      </c>
      <c r="P89" s="362">
        <f>COMPOSIÇÕES!B112</f>
        <v>4334.2060499999998</v>
      </c>
      <c r="Q89" s="253">
        <f t="shared" ref="Q89" si="21">TRUNC(O89*P89,2)</f>
        <v>22581.21</v>
      </c>
      <c r="R89" s="859" t="s">
        <v>1602</v>
      </c>
      <c r="S89" s="267"/>
    </row>
    <row r="90" spans="1:24" s="245" customFormat="1" ht="20.25" customHeight="1">
      <c r="A90" s="387"/>
      <c r="B90" s="1250"/>
      <c r="C90" s="1243" t="s">
        <v>3054</v>
      </c>
      <c r="D90" s="331"/>
      <c r="E90" s="819"/>
      <c r="F90" s="332"/>
      <c r="G90" s="332"/>
      <c r="H90" s="332"/>
      <c r="I90" s="332"/>
      <c r="J90" s="332"/>
      <c r="K90" s="332"/>
      <c r="L90" s="332"/>
      <c r="M90" s="332"/>
      <c r="N90" s="332"/>
      <c r="O90" s="1335"/>
      <c r="P90" s="373"/>
      <c r="Q90" s="1261">
        <f>SUM(Q84:Q89)</f>
        <v>242661.77</v>
      </c>
      <c r="R90" s="859"/>
      <c r="S90" s="267"/>
    </row>
    <row r="91" spans="1:24" s="245" customFormat="1" ht="22.5" customHeight="1">
      <c r="A91" s="309" t="s">
        <v>1173</v>
      </c>
      <c r="B91" s="380"/>
      <c r="C91" s="305" t="s">
        <v>1166</v>
      </c>
      <c r="D91" s="380"/>
      <c r="E91" s="828"/>
      <c r="F91" s="385"/>
      <c r="G91" s="385"/>
      <c r="H91" s="828"/>
      <c r="I91" s="385"/>
      <c r="J91" s="385"/>
      <c r="K91" s="385"/>
      <c r="L91" s="385"/>
      <c r="M91" s="385"/>
      <c r="N91" s="385"/>
      <c r="O91" s="773"/>
      <c r="P91" s="386"/>
      <c r="Q91" s="384"/>
      <c r="R91" s="859"/>
      <c r="S91" s="267"/>
    </row>
    <row r="92" spans="1:24" s="245" customFormat="1" ht="18" customHeight="1">
      <c r="A92" s="387" t="s">
        <v>1174</v>
      </c>
      <c r="B92" s="360" t="s">
        <v>2938</v>
      </c>
      <c r="C92" s="359" t="s">
        <v>2936</v>
      </c>
      <c r="D92" s="360" t="s">
        <v>12</v>
      </c>
      <c r="E92" s="877">
        <f>157.64+22.57+22.57+22.57</f>
        <v>225.34999999999997</v>
      </c>
      <c r="F92" s="771"/>
      <c r="G92" s="771">
        <v>16.239999999999998</v>
      </c>
      <c r="H92" s="771">
        <v>8.1199999999999992</v>
      </c>
      <c r="I92" s="771"/>
      <c r="J92" s="771"/>
      <c r="K92" s="771"/>
      <c r="L92" s="771"/>
      <c r="M92" s="771"/>
      <c r="N92" s="771"/>
      <c r="O92" s="771">
        <f t="shared" ref="O92:O94" si="22">SUM(E92:N92)</f>
        <v>249.70999999999998</v>
      </c>
      <c r="P92" s="949">
        <f>COMPOSIÇÕES!B813</f>
        <v>579.44789999999989</v>
      </c>
      <c r="Q92" s="363">
        <f t="shared" si="18"/>
        <v>144693.93</v>
      </c>
      <c r="R92" s="859" t="s">
        <v>1602</v>
      </c>
      <c r="S92" s="267"/>
    </row>
    <row r="93" spans="1:24" s="245" customFormat="1" ht="18" customHeight="1">
      <c r="A93" s="387" t="s">
        <v>1175</v>
      </c>
      <c r="B93" s="360" t="s">
        <v>2949</v>
      </c>
      <c r="C93" s="359" t="s">
        <v>2953</v>
      </c>
      <c r="D93" s="360" t="s">
        <v>12</v>
      </c>
      <c r="E93" s="877">
        <f>121.1+17.3+17.3+17.3+8.64+1.56</f>
        <v>183.20000000000005</v>
      </c>
      <c r="F93" s="771"/>
      <c r="G93" s="771">
        <v>17.260000000000002</v>
      </c>
      <c r="H93" s="771">
        <v>17.28</v>
      </c>
      <c r="I93" s="771"/>
      <c r="J93" s="771"/>
      <c r="K93" s="771"/>
      <c r="L93" s="771"/>
      <c r="M93" s="771"/>
      <c r="N93" s="771"/>
      <c r="O93" s="771">
        <f t="shared" si="22"/>
        <v>217.74000000000004</v>
      </c>
      <c r="P93" s="949">
        <f>COMPOSIÇÕES!B832</f>
        <v>313.19220000000001</v>
      </c>
      <c r="Q93" s="363">
        <f t="shared" si="18"/>
        <v>68194.460000000006</v>
      </c>
      <c r="R93" s="859" t="s">
        <v>1602</v>
      </c>
      <c r="S93" s="267"/>
    </row>
    <row r="94" spans="1:24" s="245" customFormat="1" ht="18" customHeight="1">
      <c r="A94" s="387" t="s">
        <v>2957</v>
      </c>
      <c r="B94" s="360" t="s">
        <v>2954</v>
      </c>
      <c r="C94" s="359" t="s">
        <v>2948</v>
      </c>
      <c r="D94" s="360" t="s">
        <v>12</v>
      </c>
      <c r="E94" s="829"/>
      <c r="F94" s="379"/>
      <c r="G94" s="379"/>
      <c r="H94" s="771">
        <f>2.4*3</f>
        <v>7.1999999999999993</v>
      </c>
      <c r="I94" s="379"/>
      <c r="J94" s="379"/>
      <c r="K94" s="379"/>
      <c r="L94" s="379"/>
      <c r="M94" s="379"/>
      <c r="N94" s="379"/>
      <c r="O94" s="771">
        <f t="shared" si="22"/>
        <v>7.1999999999999993</v>
      </c>
      <c r="P94" s="949">
        <f>COMPOSIÇÕES!B851</f>
        <v>660.74639999999999</v>
      </c>
      <c r="Q94" s="363">
        <f t="shared" si="18"/>
        <v>4757.37</v>
      </c>
      <c r="R94" s="859" t="s">
        <v>1602</v>
      </c>
      <c r="S94" s="267"/>
    </row>
    <row r="95" spans="1:24" s="245" customFormat="1" ht="18" customHeight="1">
      <c r="A95" s="387"/>
      <c r="B95" s="371"/>
      <c r="C95" s="1243" t="s">
        <v>3052</v>
      </c>
      <c r="D95" s="371"/>
      <c r="E95" s="828"/>
      <c r="F95" s="385"/>
      <c r="G95" s="385"/>
      <c r="H95" s="1242"/>
      <c r="I95" s="385"/>
      <c r="J95" s="385"/>
      <c r="K95" s="385"/>
      <c r="L95" s="385"/>
      <c r="M95" s="385"/>
      <c r="N95" s="385"/>
      <c r="O95" s="773"/>
      <c r="P95" s="1337"/>
      <c r="Q95" s="384">
        <f>SUM(Q92:Q94)</f>
        <v>217645.76</v>
      </c>
      <c r="R95" s="859"/>
      <c r="S95" s="267"/>
    </row>
    <row r="96" spans="1:24" s="245" customFormat="1" ht="22.5" customHeight="1">
      <c r="A96" s="310"/>
      <c r="B96" s="340"/>
      <c r="C96" s="350" t="s">
        <v>1176</v>
      </c>
      <c r="D96" s="340" t="s">
        <v>2</v>
      </c>
      <c r="E96" s="821"/>
      <c r="F96" s="341"/>
      <c r="G96" s="341"/>
      <c r="H96" s="341"/>
      <c r="I96" s="341"/>
      <c r="J96" s="341"/>
      <c r="K96" s="341"/>
      <c r="L96" s="341"/>
      <c r="M96" s="341"/>
      <c r="N96" s="341"/>
      <c r="O96" s="341"/>
      <c r="P96" s="342"/>
      <c r="Q96" s="343">
        <f>Q95+Q90+Q82</f>
        <v>530176.68000000005</v>
      </c>
      <c r="R96" s="859"/>
      <c r="S96" s="267"/>
    </row>
    <row r="97" spans="1:22" s="245" customFormat="1" ht="12" customHeight="1">
      <c r="A97" s="387"/>
      <c r="B97" s="380"/>
      <c r="C97" s="305"/>
      <c r="D97" s="380"/>
      <c r="E97" s="828"/>
      <c r="F97" s="385"/>
      <c r="G97" s="385"/>
      <c r="H97" s="385"/>
      <c r="I97" s="385"/>
      <c r="J97" s="385"/>
      <c r="K97" s="385"/>
      <c r="L97" s="385"/>
      <c r="M97" s="385"/>
      <c r="N97" s="385"/>
      <c r="O97" s="385"/>
      <c r="P97" s="386"/>
      <c r="Q97" s="384"/>
      <c r="R97" s="859"/>
      <c r="S97" s="267"/>
    </row>
    <row r="98" spans="1:22" s="245" customFormat="1" ht="22.5" customHeight="1">
      <c r="A98" s="310" t="s">
        <v>28</v>
      </c>
      <c r="B98" s="340"/>
      <c r="C98" s="312" t="s">
        <v>1177</v>
      </c>
      <c r="D98" s="340" t="s">
        <v>2</v>
      </c>
      <c r="E98" s="821"/>
      <c r="F98" s="341"/>
      <c r="G98" s="341"/>
      <c r="H98" s="341"/>
      <c r="I98" s="341"/>
      <c r="J98" s="341"/>
      <c r="K98" s="341"/>
      <c r="L98" s="341"/>
      <c r="M98" s="341"/>
      <c r="N98" s="341"/>
      <c r="O98" s="341"/>
      <c r="P98" s="342" t="s">
        <v>0</v>
      </c>
      <c r="Q98" s="343"/>
      <c r="R98" s="859"/>
      <c r="S98" s="267"/>
    </row>
    <row r="99" spans="1:22" s="245" customFormat="1" ht="52.5" customHeight="1">
      <c r="A99" s="387" t="s">
        <v>16</v>
      </c>
      <c r="B99" s="360" t="s">
        <v>3110</v>
      </c>
      <c r="C99" s="970" t="s">
        <v>3120</v>
      </c>
      <c r="D99" s="285" t="s">
        <v>1574</v>
      </c>
      <c r="E99" s="832">
        <f>211.2*11</f>
        <v>2323.1999999999998</v>
      </c>
      <c r="F99" s="286"/>
      <c r="G99" s="286"/>
      <c r="H99" s="286">
        <v>737</v>
      </c>
      <c r="I99" s="286"/>
      <c r="J99" s="286"/>
      <c r="K99" s="286"/>
      <c r="L99" s="286"/>
      <c r="M99" s="286"/>
      <c r="N99" s="286"/>
      <c r="O99" s="286">
        <f t="shared" ref="O99:O106" si="23">SUM(E99:N99)</f>
        <v>3060.2</v>
      </c>
      <c r="P99" s="705">
        <f>COMPOSIÇÕES!B597</f>
        <v>142.5027</v>
      </c>
      <c r="Q99" s="287">
        <f t="shared" ref="Q99:Q106" si="24">TRUNC(O99*P99,2)</f>
        <v>436086.76</v>
      </c>
      <c r="R99" s="859" t="s">
        <v>1602</v>
      </c>
      <c r="S99" s="267"/>
      <c r="V99" s="1151"/>
    </row>
    <row r="100" spans="1:22" s="245" customFormat="1" ht="25.5" customHeight="1">
      <c r="A100" s="387" t="s">
        <v>144</v>
      </c>
      <c r="B100" s="360" t="s">
        <v>2383</v>
      </c>
      <c r="C100" s="970" t="s">
        <v>2476</v>
      </c>
      <c r="D100" s="1020" t="s">
        <v>418</v>
      </c>
      <c r="E100" s="832">
        <f>16*11</f>
        <v>176</v>
      </c>
      <c r="F100" s="286"/>
      <c r="G100" s="286"/>
      <c r="H100" s="286">
        <v>55</v>
      </c>
      <c r="I100" s="286"/>
      <c r="J100" s="286"/>
      <c r="K100" s="286"/>
      <c r="L100" s="286"/>
      <c r="M100" s="286"/>
      <c r="N100" s="286"/>
      <c r="O100" s="286">
        <f t="shared" si="23"/>
        <v>231</v>
      </c>
      <c r="P100" s="705">
        <f>COMPOSIÇÕES!B734</f>
        <v>41.495849999999997</v>
      </c>
      <c r="Q100" s="287">
        <f t="shared" si="24"/>
        <v>9585.5400000000009</v>
      </c>
      <c r="R100" s="859" t="s">
        <v>1602</v>
      </c>
      <c r="S100" s="267"/>
    </row>
    <row r="101" spans="1:22" s="245" customFormat="1" ht="18" customHeight="1">
      <c r="A101" s="387" t="s">
        <v>1179</v>
      </c>
      <c r="B101" s="360" t="s">
        <v>2205</v>
      </c>
      <c r="C101" s="359" t="s">
        <v>2542</v>
      </c>
      <c r="D101" s="360" t="s">
        <v>1574</v>
      </c>
      <c r="E101" s="877">
        <f>memoria!D4</f>
        <v>2168.1000000000004</v>
      </c>
      <c r="F101" s="771"/>
      <c r="G101" s="771">
        <f>memoria!D10</f>
        <v>394.20000000000005</v>
      </c>
      <c r="H101" s="771">
        <f>memoria!D13</f>
        <v>295.65000000000003</v>
      </c>
      <c r="I101" s="286"/>
      <c r="J101" s="286"/>
      <c r="K101" s="286"/>
      <c r="L101" s="286"/>
      <c r="M101" s="286"/>
      <c r="N101" s="286"/>
      <c r="O101" s="286">
        <f t="shared" si="23"/>
        <v>2857.9500000000003</v>
      </c>
      <c r="P101" s="705">
        <f>COMPOSIÇÕES!B654</f>
        <v>26.655449999999995</v>
      </c>
      <c r="Q101" s="287">
        <f t="shared" si="24"/>
        <v>76179.94</v>
      </c>
      <c r="R101" s="859" t="s">
        <v>1602</v>
      </c>
      <c r="S101" s="267"/>
    </row>
    <row r="102" spans="1:22" s="245" customFormat="1" ht="18" customHeight="1">
      <c r="A102" s="387" t="s">
        <v>1180</v>
      </c>
      <c r="B102" s="360" t="s">
        <v>2207</v>
      </c>
      <c r="C102" s="857" t="s">
        <v>2193</v>
      </c>
      <c r="D102" s="360" t="s">
        <v>4</v>
      </c>
      <c r="E102" s="945">
        <f>memoria!N33</f>
        <v>1156.3200000000002</v>
      </c>
      <c r="F102" s="946"/>
      <c r="G102" s="946">
        <f>memoria!N42</f>
        <v>183.96</v>
      </c>
      <c r="H102" s="946">
        <f>memoria!N47</f>
        <v>144.54000000000002</v>
      </c>
      <c r="I102" s="403"/>
      <c r="J102" s="403"/>
      <c r="K102" s="403"/>
      <c r="L102" s="403"/>
      <c r="M102" s="797"/>
      <c r="N102" s="797"/>
      <c r="O102" s="286">
        <f t="shared" si="23"/>
        <v>1484.8200000000002</v>
      </c>
      <c r="P102" s="949">
        <f>COMPOSIÇÕES!B672</f>
        <v>7.968</v>
      </c>
      <c r="Q102" s="287">
        <f t="shared" si="24"/>
        <v>11831.04</v>
      </c>
      <c r="R102" s="859" t="s">
        <v>1602</v>
      </c>
      <c r="S102" s="267"/>
    </row>
    <row r="103" spans="1:22" s="245" customFormat="1" ht="18" customHeight="1">
      <c r="A103" s="387" t="s">
        <v>145</v>
      </c>
      <c r="B103" s="360" t="s">
        <v>2761</v>
      </c>
      <c r="C103" s="359" t="s">
        <v>2196</v>
      </c>
      <c r="D103" s="360" t="s">
        <v>1943</v>
      </c>
      <c r="E103" s="877">
        <f>memoria!B51</f>
        <v>176</v>
      </c>
      <c r="F103" s="771"/>
      <c r="G103" s="771">
        <f>memoria!B59</f>
        <v>28</v>
      </c>
      <c r="H103" s="771">
        <f>memoria!B63</f>
        <v>22</v>
      </c>
      <c r="I103" s="379"/>
      <c r="J103" s="379"/>
      <c r="K103" s="379"/>
      <c r="L103" s="379"/>
      <c r="M103" s="379"/>
      <c r="N103" s="814"/>
      <c r="O103" s="286">
        <f t="shared" si="23"/>
        <v>226</v>
      </c>
      <c r="P103" s="949">
        <f>COMPOSIÇÕES!B690</f>
        <v>25.136549999999996</v>
      </c>
      <c r="Q103" s="287">
        <f t="shared" si="24"/>
        <v>5680.86</v>
      </c>
      <c r="R103" s="859" t="s">
        <v>1602</v>
      </c>
      <c r="S103" s="267"/>
    </row>
    <row r="104" spans="1:22" s="245" customFormat="1" ht="18" customHeight="1">
      <c r="A104" s="387" t="s">
        <v>2195</v>
      </c>
      <c r="B104" s="360" t="s">
        <v>2980</v>
      </c>
      <c r="C104" s="359" t="s">
        <v>2983</v>
      </c>
      <c r="D104" s="360" t="s">
        <v>1574</v>
      </c>
      <c r="E104" s="877"/>
      <c r="F104" s="771"/>
      <c r="G104" s="771"/>
      <c r="H104" s="771"/>
      <c r="I104" s="379"/>
      <c r="J104" s="771">
        <f>27.53*3.66</f>
        <v>100.75980000000001</v>
      </c>
      <c r="K104" s="771">
        <f>31.75*3.66</f>
        <v>116.205</v>
      </c>
      <c r="L104" s="771"/>
      <c r="M104" s="771">
        <f>31.77*3.66</f>
        <v>116.2782</v>
      </c>
      <c r="N104" s="1267"/>
      <c r="O104" s="286">
        <f t="shared" si="23"/>
        <v>333.24300000000005</v>
      </c>
      <c r="P104" s="949">
        <f>COMPOSIÇÕES!B617</f>
        <v>61.1295</v>
      </c>
      <c r="Q104" s="287">
        <f t="shared" si="24"/>
        <v>20370.97</v>
      </c>
      <c r="R104" s="859" t="s">
        <v>1602</v>
      </c>
      <c r="S104" s="267"/>
    </row>
    <row r="105" spans="1:22" s="245" customFormat="1" ht="18" customHeight="1">
      <c r="A105" s="387" t="s">
        <v>2971</v>
      </c>
      <c r="B105" s="360" t="s">
        <v>2985</v>
      </c>
      <c r="C105" s="359" t="s">
        <v>2970</v>
      </c>
      <c r="D105" s="360" t="s">
        <v>418</v>
      </c>
      <c r="E105" s="877"/>
      <c r="F105" s="771"/>
      <c r="G105" s="771"/>
      <c r="H105" s="771"/>
      <c r="I105" s="379"/>
      <c r="J105" s="771">
        <f>7*21*3</f>
        <v>441</v>
      </c>
      <c r="K105" s="771">
        <f>7*21*3</f>
        <v>441</v>
      </c>
      <c r="L105" s="771"/>
      <c r="M105" s="771">
        <f>9*21*3</f>
        <v>567</v>
      </c>
      <c r="N105" s="1267"/>
      <c r="O105" s="286">
        <f t="shared" si="23"/>
        <v>1449</v>
      </c>
      <c r="P105" s="949">
        <f>COMPOSIÇÕES!B636</f>
        <v>5.6398499999999991</v>
      </c>
      <c r="Q105" s="287">
        <f t="shared" si="24"/>
        <v>8172.14</v>
      </c>
      <c r="R105" s="859" t="s">
        <v>1602</v>
      </c>
      <c r="S105" s="267"/>
    </row>
    <row r="106" spans="1:22" s="245" customFormat="1" ht="37.5" customHeight="1">
      <c r="A106" s="387" t="s">
        <v>2972</v>
      </c>
      <c r="B106" s="360" t="s">
        <v>2216</v>
      </c>
      <c r="C106" s="1277" t="s">
        <v>3188</v>
      </c>
      <c r="D106" s="360" t="s">
        <v>418</v>
      </c>
      <c r="E106" s="877"/>
      <c r="F106" s="771"/>
      <c r="G106" s="771">
        <v>2.7</v>
      </c>
      <c r="H106" s="771">
        <v>2.7</v>
      </c>
      <c r="I106" s="379"/>
      <c r="J106" s="379"/>
      <c r="K106" s="379"/>
      <c r="L106" s="379"/>
      <c r="M106" s="379"/>
      <c r="N106" s="814"/>
      <c r="O106" s="286">
        <f t="shared" si="23"/>
        <v>5.4</v>
      </c>
      <c r="P106" s="949">
        <f>COMPOSIÇÕES!B716</f>
        <v>110.69295000000001</v>
      </c>
      <c r="Q106" s="287">
        <f t="shared" si="24"/>
        <v>597.74</v>
      </c>
      <c r="R106" s="859" t="s">
        <v>1602</v>
      </c>
      <c r="S106" s="267"/>
    </row>
    <row r="107" spans="1:22" s="245" customFormat="1" ht="22.5" customHeight="1">
      <c r="A107" s="310"/>
      <c r="B107" s="340"/>
      <c r="C107" s="350" t="s">
        <v>1178</v>
      </c>
      <c r="D107" s="340" t="s">
        <v>2</v>
      </c>
      <c r="E107" s="821"/>
      <c r="F107" s="341"/>
      <c r="G107" s="341"/>
      <c r="H107" s="341"/>
      <c r="I107" s="341"/>
      <c r="J107" s="341"/>
      <c r="K107" s="341"/>
      <c r="L107" s="341"/>
      <c r="M107" s="341"/>
      <c r="N107" s="341"/>
      <c r="O107" s="341"/>
      <c r="P107" s="342"/>
      <c r="Q107" s="343">
        <f>SUM(Q99:Q106)</f>
        <v>568504.99</v>
      </c>
      <c r="R107" s="859"/>
      <c r="S107" s="267"/>
    </row>
    <row r="108" spans="1:22" s="245" customFormat="1" ht="12" customHeight="1">
      <c r="A108" s="344"/>
      <c r="B108" s="345"/>
      <c r="C108" s="346"/>
      <c r="D108" s="345"/>
      <c r="E108" s="816"/>
      <c r="F108" s="347"/>
      <c r="G108" s="347"/>
      <c r="H108" s="347"/>
      <c r="I108" s="347"/>
      <c r="J108" s="347"/>
      <c r="K108" s="347"/>
      <c r="L108" s="347"/>
      <c r="M108" s="347"/>
      <c r="N108" s="347"/>
      <c r="O108" s="347"/>
      <c r="P108" s="348"/>
      <c r="Q108" s="349"/>
      <c r="R108" s="859"/>
      <c r="S108" s="267"/>
    </row>
    <row r="109" spans="1:22" s="245" customFormat="1" ht="31.5" customHeight="1">
      <c r="A109" s="310" t="s">
        <v>29</v>
      </c>
      <c r="B109" s="340"/>
      <c r="C109" s="1413" t="s">
        <v>2513</v>
      </c>
      <c r="D109" s="1413"/>
      <c r="E109" s="1413"/>
      <c r="F109" s="1413"/>
      <c r="G109" s="1413"/>
      <c r="H109" s="1413"/>
      <c r="I109" s="1413"/>
      <c r="J109" s="1413"/>
      <c r="K109" s="1413"/>
      <c r="L109" s="1413"/>
      <c r="M109" s="1413"/>
      <c r="N109" s="1413"/>
      <c r="O109" s="1413"/>
      <c r="P109" s="342" t="s">
        <v>0</v>
      </c>
      <c r="Q109" s="343"/>
      <c r="R109" s="859"/>
      <c r="S109" s="267"/>
    </row>
    <row r="110" spans="1:22" s="245" customFormat="1" ht="20.25" customHeight="1">
      <c r="A110" s="309" t="s">
        <v>2507</v>
      </c>
      <c r="B110" s="380"/>
      <c r="C110" s="305" t="s">
        <v>2509</v>
      </c>
      <c r="D110" s="380"/>
      <c r="E110" s="828"/>
      <c r="F110" s="385"/>
      <c r="G110" s="385"/>
      <c r="H110" s="385"/>
      <c r="I110" s="385"/>
      <c r="J110" s="385"/>
      <c r="K110" s="385"/>
      <c r="L110" s="385"/>
      <c r="M110" s="385"/>
      <c r="N110" s="385"/>
      <c r="O110" s="385"/>
      <c r="P110" s="386"/>
      <c r="Q110" s="384"/>
      <c r="R110" s="859"/>
      <c r="S110" s="267"/>
    </row>
    <row r="111" spans="1:22" s="245" customFormat="1" ht="38.25" customHeight="1">
      <c r="A111" s="387" t="s">
        <v>2508</v>
      </c>
      <c r="B111" s="1355" t="s">
        <v>3093</v>
      </c>
      <c r="C111" s="359" t="s">
        <v>3091</v>
      </c>
      <c r="D111" s="360" t="s">
        <v>113</v>
      </c>
      <c r="E111" s="877">
        <v>256.51</v>
      </c>
      <c r="F111" s="771"/>
      <c r="G111" s="771"/>
      <c r="H111" s="771">
        <v>81.05</v>
      </c>
      <c r="I111" s="771"/>
      <c r="J111" s="771"/>
      <c r="K111" s="771"/>
      <c r="L111" s="771"/>
      <c r="M111" s="771"/>
      <c r="N111" s="771"/>
      <c r="O111" s="771">
        <f>SUM(E111:N111)</f>
        <v>337.56</v>
      </c>
      <c r="P111" s="949">
        <f>COMPOSIÇÕES!B1140</f>
        <v>80.924999999999997</v>
      </c>
      <c r="Q111" s="363">
        <f>TRUNC(O111*P111,2)</f>
        <v>27317.040000000001</v>
      </c>
      <c r="R111" s="859" t="s">
        <v>2655</v>
      </c>
      <c r="S111" s="267"/>
    </row>
    <row r="112" spans="1:22" s="245" customFormat="1" ht="18.75" customHeight="1">
      <c r="A112" s="387" t="s">
        <v>2512</v>
      </c>
      <c r="B112" s="1355" t="s">
        <v>3103</v>
      </c>
      <c r="C112" s="359" t="s">
        <v>3106</v>
      </c>
      <c r="D112" s="360" t="s">
        <v>113</v>
      </c>
      <c r="E112" s="877">
        <f>E111</f>
        <v>256.51</v>
      </c>
      <c r="F112" s="771"/>
      <c r="G112" s="771"/>
      <c r="H112" s="771">
        <f>H111</f>
        <v>81.05</v>
      </c>
      <c r="I112" s="771"/>
      <c r="J112" s="771"/>
      <c r="K112" s="771"/>
      <c r="L112" s="771"/>
      <c r="M112" s="771"/>
      <c r="N112" s="771"/>
      <c r="O112" s="771">
        <f>SUM(E112:N112)</f>
        <v>337.56</v>
      </c>
      <c r="P112" s="949">
        <f>COMPOSIÇÕES!B1158</f>
        <v>45.853349999999999</v>
      </c>
      <c r="Q112" s="363">
        <f>TRUNC(O112*P112,2)</f>
        <v>15478.25</v>
      </c>
      <c r="R112" s="859" t="s">
        <v>1602</v>
      </c>
      <c r="S112" s="267"/>
    </row>
    <row r="113" spans="1:20" s="245" customFormat="1" ht="25.5" customHeight="1">
      <c r="A113" s="387"/>
      <c r="B113" s="371"/>
      <c r="C113" s="1243" t="s">
        <v>3053</v>
      </c>
      <c r="D113" s="371"/>
      <c r="E113" s="1242"/>
      <c r="F113" s="773"/>
      <c r="G113" s="773"/>
      <c r="H113" s="773"/>
      <c r="I113" s="773"/>
      <c r="J113" s="773"/>
      <c r="K113" s="773"/>
      <c r="L113" s="773"/>
      <c r="M113" s="773"/>
      <c r="N113" s="773"/>
      <c r="O113" s="773"/>
      <c r="P113" s="1337"/>
      <c r="Q113" s="384">
        <f>SUM(Q111:Q112)</f>
        <v>42795.29</v>
      </c>
      <c r="R113" s="859"/>
      <c r="S113" s="267"/>
    </row>
    <row r="114" spans="1:20" s="245" customFormat="1" ht="21.75" customHeight="1">
      <c r="A114" s="309" t="s">
        <v>2516</v>
      </c>
      <c r="B114" s="380"/>
      <c r="C114" s="305" t="s">
        <v>1185</v>
      </c>
      <c r="D114" s="380"/>
      <c r="E114" s="828"/>
      <c r="F114" s="385"/>
      <c r="G114" s="385"/>
      <c r="H114" s="385"/>
      <c r="I114" s="385"/>
      <c r="J114" s="385"/>
      <c r="K114" s="385"/>
      <c r="L114" s="385"/>
      <c r="M114" s="385"/>
      <c r="N114" s="385"/>
      <c r="O114" s="385"/>
      <c r="P114" s="386"/>
      <c r="Q114" s="384"/>
      <c r="R114" s="859"/>
      <c r="S114" s="267"/>
    </row>
    <row r="115" spans="1:20" s="245" customFormat="1" ht="36.75" customHeight="1">
      <c r="A115" s="378" t="s">
        <v>2517</v>
      </c>
      <c r="B115" s="360" t="s">
        <v>3102</v>
      </c>
      <c r="C115" s="359" t="s">
        <v>3099</v>
      </c>
      <c r="D115" s="360" t="s">
        <v>113</v>
      </c>
      <c r="E115" s="877">
        <f>11*8*6*1.5</f>
        <v>792</v>
      </c>
      <c r="F115" s="771"/>
      <c r="G115" s="771">
        <f>1*15*6*1.5</f>
        <v>135</v>
      </c>
      <c r="H115" s="771">
        <f>1*19*6*1.5</f>
        <v>171</v>
      </c>
      <c r="I115" s="771"/>
      <c r="J115" s="771"/>
      <c r="K115" s="771"/>
      <c r="L115" s="771"/>
      <c r="M115" s="771"/>
      <c r="N115" s="771"/>
      <c r="O115" s="771">
        <f t="shared" ref="O115:O116" si="25">SUM(E115:N115)</f>
        <v>1098</v>
      </c>
      <c r="P115" s="949">
        <f>COMPOSIÇÕES!B1121</f>
        <v>26.095200000000002</v>
      </c>
      <c r="Q115" s="375">
        <f t="shared" ref="Q115:Q116" si="26">TRUNC(O115*P115,2)</f>
        <v>28652.52</v>
      </c>
      <c r="R115" s="859" t="s">
        <v>3112</v>
      </c>
      <c r="S115" s="267"/>
    </row>
    <row r="116" spans="1:20" s="245" customFormat="1" ht="37.5" customHeight="1">
      <c r="A116" s="378" t="s">
        <v>2519</v>
      </c>
      <c r="B116" s="1264" t="s">
        <v>2518</v>
      </c>
      <c r="C116" s="280" t="s">
        <v>3111</v>
      </c>
      <c r="D116" s="279" t="s">
        <v>12</v>
      </c>
      <c r="E116" s="787">
        <v>175.64</v>
      </c>
      <c r="F116" s="281"/>
      <c r="G116" s="281">
        <v>18.48</v>
      </c>
      <c r="H116" s="281">
        <v>39.69</v>
      </c>
      <c r="I116" s="281"/>
      <c r="J116" s="281"/>
      <c r="K116" s="281"/>
      <c r="L116" s="281"/>
      <c r="M116" s="281"/>
      <c r="N116" s="281"/>
      <c r="O116" s="771">
        <f t="shared" si="25"/>
        <v>233.80999999999997</v>
      </c>
      <c r="P116" s="362">
        <f>28.54*1.245</f>
        <v>35.532299999999999</v>
      </c>
      <c r="Q116" s="283">
        <f t="shared" si="26"/>
        <v>8307.7999999999993</v>
      </c>
      <c r="R116" s="859" t="s">
        <v>2655</v>
      </c>
      <c r="S116" s="267"/>
    </row>
    <row r="117" spans="1:20" s="245" customFormat="1" ht="23.25" customHeight="1">
      <c r="A117" s="387"/>
      <c r="B117" s="1333"/>
      <c r="C117" s="1243" t="s">
        <v>3068</v>
      </c>
      <c r="D117" s="1334"/>
      <c r="E117" s="823"/>
      <c r="F117" s="1335"/>
      <c r="G117" s="1335"/>
      <c r="H117" s="1335"/>
      <c r="I117" s="1335"/>
      <c r="J117" s="1335"/>
      <c r="K117" s="1335"/>
      <c r="L117" s="1335"/>
      <c r="M117" s="1335"/>
      <c r="N117" s="1335"/>
      <c r="O117" s="773"/>
      <c r="P117" s="373"/>
      <c r="Q117" s="1336">
        <f>SUM(Q115:Q116)</f>
        <v>36960.32</v>
      </c>
      <c r="R117" s="859"/>
      <c r="S117" s="267"/>
    </row>
    <row r="118" spans="1:20" s="245" customFormat="1" ht="20.25" customHeight="1">
      <c r="A118" s="310"/>
      <c r="B118" s="340"/>
      <c r="C118" s="350" t="s">
        <v>1186</v>
      </c>
      <c r="D118" s="340" t="s">
        <v>2</v>
      </c>
      <c r="E118" s="821"/>
      <c r="F118" s="341"/>
      <c r="G118" s="341"/>
      <c r="H118" s="341"/>
      <c r="I118" s="341"/>
      <c r="J118" s="341"/>
      <c r="K118" s="341"/>
      <c r="L118" s="341"/>
      <c r="M118" s="341"/>
      <c r="N118" s="341"/>
      <c r="O118" s="772"/>
      <c r="P118" s="342"/>
      <c r="Q118" s="343">
        <f>Q113+Q117</f>
        <v>79755.61</v>
      </c>
      <c r="R118" s="859"/>
      <c r="S118" s="267"/>
    </row>
    <row r="119" spans="1:20" s="245" customFormat="1" ht="11.25" customHeight="1">
      <c r="A119" s="309"/>
      <c r="B119" s="380"/>
      <c r="C119" s="381"/>
      <c r="D119" s="380"/>
      <c r="E119" s="827"/>
      <c r="F119" s="382"/>
      <c r="G119" s="382"/>
      <c r="H119" s="382"/>
      <c r="I119" s="382"/>
      <c r="J119" s="382"/>
      <c r="K119" s="382"/>
      <c r="L119" s="382"/>
      <c r="M119" s="382"/>
      <c r="N119" s="382"/>
      <c r="O119" s="372"/>
      <c r="P119" s="383"/>
      <c r="Q119" s="384"/>
      <c r="R119" s="859"/>
      <c r="S119" s="267"/>
    </row>
    <row r="120" spans="1:20" s="245" customFormat="1" ht="18" customHeight="1">
      <c r="A120" s="310" t="s">
        <v>127</v>
      </c>
      <c r="B120" s="340"/>
      <c r="C120" s="312" t="s">
        <v>1599</v>
      </c>
      <c r="D120" s="340" t="s">
        <v>2</v>
      </c>
      <c r="E120" s="821"/>
      <c r="F120" s="341"/>
      <c r="G120" s="341"/>
      <c r="H120" s="341"/>
      <c r="I120" s="341"/>
      <c r="J120" s="341"/>
      <c r="K120" s="341"/>
      <c r="L120" s="341"/>
      <c r="M120" s="341"/>
      <c r="N120" s="341"/>
      <c r="O120" s="772"/>
      <c r="P120" s="342" t="s">
        <v>0</v>
      </c>
      <c r="Q120" s="343"/>
      <c r="R120" s="859"/>
      <c r="S120" s="267"/>
    </row>
    <row r="121" spans="1:20" s="245" customFormat="1" ht="22.5" customHeight="1">
      <c r="A121" s="387" t="s">
        <v>2341</v>
      </c>
      <c r="B121" s="360" t="s">
        <v>2918</v>
      </c>
      <c r="C121" s="359" t="s">
        <v>2920</v>
      </c>
      <c r="D121" s="250" t="s">
        <v>1574</v>
      </c>
      <c r="E121" s="788">
        <f>memoria!J79</f>
        <v>1188</v>
      </c>
      <c r="F121" s="787"/>
      <c r="G121" s="787">
        <f>memoria!J83</f>
        <v>216</v>
      </c>
      <c r="H121" s="787">
        <f>memoria!J85</f>
        <v>162</v>
      </c>
      <c r="I121" s="787"/>
      <c r="J121" s="787"/>
      <c r="K121" s="787"/>
      <c r="L121" s="787"/>
      <c r="M121" s="787"/>
      <c r="N121" s="787"/>
      <c r="O121" s="361">
        <f t="shared" ref="O121:O128" si="27">SUM(E121:N121)</f>
        <v>1566</v>
      </c>
      <c r="P121" s="705">
        <f>COMPOSIÇÕES!B776</f>
        <v>190.31070000000003</v>
      </c>
      <c r="Q121" s="375">
        <f t="shared" ref="Q121:Q128" si="28">TRUNC(O121*P121,2)</f>
        <v>298026.55</v>
      </c>
      <c r="R121" s="859" t="s">
        <v>1602</v>
      </c>
      <c r="S121" s="267"/>
    </row>
    <row r="122" spans="1:20" s="245" customFormat="1" ht="32.25" customHeight="1">
      <c r="A122" s="387" t="s">
        <v>2342</v>
      </c>
      <c r="B122" s="358" t="s">
        <v>2520</v>
      </c>
      <c r="C122" s="359" t="s">
        <v>2521</v>
      </c>
      <c r="D122" s="250" t="s">
        <v>1574</v>
      </c>
      <c r="E122" s="788">
        <f>memoria!P81</f>
        <v>115.5</v>
      </c>
      <c r="F122" s="787"/>
      <c r="G122" s="787"/>
      <c r="H122" s="787">
        <f>memoria!P87</f>
        <v>174</v>
      </c>
      <c r="I122" s="787"/>
      <c r="J122" s="787"/>
      <c r="K122" s="787"/>
      <c r="L122" s="787"/>
      <c r="M122" s="787"/>
      <c r="N122" s="787"/>
      <c r="O122" s="361">
        <f t="shared" si="27"/>
        <v>289.5</v>
      </c>
      <c r="P122" s="705">
        <f>COMPOSIÇÕES!B929</f>
        <v>121.7859</v>
      </c>
      <c r="Q122" s="375">
        <f t="shared" si="28"/>
        <v>35257.01</v>
      </c>
      <c r="R122" s="859" t="s">
        <v>2655</v>
      </c>
      <c r="S122" s="267"/>
    </row>
    <row r="123" spans="1:20" s="245" customFormat="1" ht="26.25" customHeight="1">
      <c r="A123" s="387" t="s">
        <v>2343</v>
      </c>
      <c r="B123" s="360" t="s">
        <v>3069</v>
      </c>
      <c r="C123" s="359" t="s">
        <v>3070</v>
      </c>
      <c r="D123" s="250" t="s">
        <v>1574</v>
      </c>
      <c r="E123" s="788">
        <f>E121</f>
        <v>1188</v>
      </c>
      <c r="F123" s="787"/>
      <c r="G123" s="787">
        <f>G121</f>
        <v>216</v>
      </c>
      <c r="H123" s="787">
        <f>H121</f>
        <v>162</v>
      </c>
      <c r="I123" s="787"/>
      <c r="J123" s="787"/>
      <c r="K123" s="787"/>
      <c r="L123" s="787"/>
      <c r="M123" s="787"/>
      <c r="N123" s="787"/>
      <c r="O123" s="361">
        <f t="shared" si="27"/>
        <v>1566</v>
      </c>
      <c r="P123" s="705">
        <f>30.05*1.245</f>
        <v>37.412250000000007</v>
      </c>
      <c r="Q123" s="375">
        <f t="shared" si="28"/>
        <v>58587.58</v>
      </c>
      <c r="R123" s="859" t="s">
        <v>2655</v>
      </c>
      <c r="S123" s="267"/>
    </row>
    <row r="124" spans="1:20" s="245" customFormat="1" ht="30" customHeight="1">
      <c r="A124" s="387" t="s">
        <v>2344</v>
      </c>
      <c r="B124" s="358" t="s">
        <v>3072</v>
      </c>
      <c r="C124" s="390" t="s">
        <v>3071</v>
      </c>
      <c r="D124" s="250" t="s">
        <v>1574</v>
      </c>
      <c r="E124" s="788">
        <f>memoria!B89</f>
        <v>90</v>
      </c>
      <c r="F124" s="787"/>
      <c r="G124" s="787">
        <f>memoria!B91</f>
        <v>198</v>
      </c>
      <c r="H124" s="787">
        <f>memoria!B90</f>
        <v>144</v>
      </c>
      <c r="I124" s="787"/>
      <c r="J124" s="787"/>
      <c r="K124" s="787"/>
      <c r="L124" s="787"/>
      <c r="M124" s="787"/>
      <c r="N124" s="787"/>
      <c r="O124" s="361">
        <f t="shared" si="27"/>
        <v>432</v>
      </c>
      <c r="P124" s="705">
        <f>119.03*1.245</f>
        <v>148.19235</v>
      </c>
      <c r="Q124" s="375">
        <f t="shared" si="28"/>
        <v>64019.09</v>
      </c>
      <c r="R124" s="859"/>
      <c r="S124" s="267"/>
    </row>
    <row r="125" spans="1:20" s="245" customFormat="1" ht="37.5" customHeight="1">
      <c r="A125" s="387" t="s">
        <v>2345</v>
      </c>
      <c r="B125" s="360" t="s">
        <v>2510</v>
      </c>
      <c r="C125" s="359" t="s">
        <v>3073</v>
      </c>
      <c r="D125" s="250" t="s">
        <v>1574</v>
      </c>
      <c r="E125" s="788">
        <f>memoria!B95</f>
        <v>810</v>
      </c>
      <c r="F125" s="787"/>
      <c r="G125" s="787"/>
      <c r="H125" s="787"/>
      <c r="I125" s="787"/>
      <c r="J125" s="787"/>
      <c r="K125" s="787"/>
      <c r="L125" s="787"/>
      <c r="M125" s="787"/>
      <c r="N125" s="787"/>
      <c r="O125" s="361">
        <f t="shared" si="27"/>
        <v>810</v>
      </c>
      <c r="P125" s="705">
        <f>121.44*1.245</f>
        <v>151.19280000000001</v>
      </c>
      <c r="Q125" s="375">
        <f t="shared" si="28"/>
        <v>122466.16</v>
      </c>
      <c r="R125" s="859" t="s">
        <v>2655</v>
      </c>
      <c r="S125" s="267"/>
    </row>
    <row r="126" spans="1:20" s="245" customFormat="1" ht="24" customHeight="1">
      <c r="A126" s="387" t="s">
        <v>2734</v>
      </c>
      <c r="B126" s="360" t="s">
        <v>2511</v>
      </c>
      <c r="C126" s="359" t="s">
        <v>2023</v>
      </c>
      <c r="D126" s="250" t="s">
        <v>1574</v>
      </c>
      <c r="E126" s="788">
        <f>memoria!L153</f>
        <v>2.9744000000000002</v>
      </c>
      <c r="F126" s="787"/>
      <c r="G126" s="787">
        <f>memoria!L162</f>
        <v>0.47320000000000007</v>
      </c>
      <c r="H126" s="787">
        <f>memoria!L159</f>
        <v>0.37180000000000002</v>
      </c>
      <c r="I126" s="787"/>
      <c r="J126" s="787"/>
      <c r="K126" s="787"/>
      <c r="L126" s="787"/>
      <c r="M126" s="787"/>
      <c r="N126" s="787"/>
      <c r="O126" s="361">
        <f t="shared" si="27"/>
        <v>3.8194000000000004</v>
      </c>
      <c r="P126" s="705">
        <f>168*1.245</f>
        <v>209.16000000000003</v>
      </c>
      <c r="Q126" s="375">
        <f t="shared" si="28"/>
        <v>798.86</v>
      </c>
      <c r="R126" s="859" t="s">
        <v>2655</v>
      </c>
      <c r="S126" s="267"/>
    </row>
    <row r="127" spans="1:20" s="245" customFormat="1" ht="27.75" customHeight="1">
      <c r="A127" s="387" t="s">
        <v>2735</v>
      </c>
      <c r="B127" s="360" t="s">
        <v>2658</v>
      </c>
      <c r="C127" s="265" t="s">
        <v>2017</v>
      </c>
      <c r="D127" s="250" t="s">
        <v>1574</v>
      </c>
      <c r="E127" s="833">
        <f>memoria!J115</f>
        <v>198</v>
      </c>
      <c r="F127" s="273"/>
      <c r="G127" s="967">
        <f>memoria!H116+10.8</f>
        <v>28.8</v>
      </c>
      <c r="H127" s="967">
        <f>memoria!J118+10.8</f>
        <v>34.799999999999997</v>
      </c>
      <c r="I127" s="273"/>
      <c r="J127" s="273">
        <f>memoria!J121</f>
        <v>74.007499999999993</v>
      </c>
      <c r="K127" s="273">
        <f>memoria!J128</f>
        <v>117.74000000000001</v>
      </c>
      <c r="L127" s="273"/>
      <c r="M127" s="770">
        <f>memoria!H145</f>
        <v>62.019999999999996</v>
      </c>
      <c r="N127" s="273"/>
      <c r="O127" s="361">
        <f t="shared" si="27"/>
        <v>515.36750000000006</v>
      </c>
      <c r="P127" s="705">
        <f>COMPOSIÇÕES!B894</f>
        <v>86.888549999999995</v>
      </c>
      <c r="Q127" s="375">
        <f t="shared" si="28"/>
        <v>44779.53</v>
      </c>
      <c r="R127" s="859" t="s">
        <v>1602</v>
      </c>
      <c r="S127" s="267"/>
    </row>
    <row r="128" spans="1:20" s="245" customFormat="1" ht="52.5" customHeight="1">
      <c r="A128" s="387" t="s">
        <v>2736</v>
      </c>
      <c r="B128" s="360" t="s">
        <v>1942</v>
      </c>
      <c r="C128" s="374" t="s">
        <v>1929</v>
      </c>
      <c r="D128" s="250" t="s">
        <v>1574</v>
      </c>
      <c r="E128" s="787"/>
      <c r="F128" s="377"/>
      <c r="G128" s="377"/>
      <c r="H128" s="377"/>
      <c r="I128" s="377"/>
      <c r="J128" s="377"/>
      <c r="K128" s="377"/>
      <c r="L128" s="377"/>
      <c r="M128" s="377"/>
      <c r="N128" s="361">
        <f>memoria!B110</f>
        <v>779.8</v>
      </c>
      <c r="O128" s="361">
        <f t="shared" si="27"/>
        <v>779.8</v>
      </c>
      <c r="P128" s="362">
        <f>COMPOSIÇÕES!B875</f>
        <v>66.059700000000007</v>
      </c>
      <c r="Q128" s="375">
        <f t="shared" si="28"/>
        <v>51513.35</v>
      </c>
      <c r="R128" s="859" t="s">
        <v>1602</v>
      </c>
      <c r="S128" s="267"/>
      <c r="T128" s="245" t="s">
        <v>2875</v>
      </c>
    </row>
    <row r="129" spans="1:19" s="245" customFormat="1" ht="22.5" customHeight="1">
      <c r="A129" s="310"/>
      <c r="B129" s="340"/>
      <c r="C129" s="350" t="s">
        <v>1187</v>
      </c>
      <c r="D129" s="340" t="s">
        <v>2</v>
      </c>
      <c r="E129" s="821"/>
      <c r="F129" s="341"/>
      <c r="G129" s="341"/>
      <c r="H129" s="341"/>
      <c r="I129" s="341"/>
      <c r="J129" s="341"/>
      <c r="K129" s="341"/>
      <c r="L129" s="341"/>
      <c r="M129" s="341"/>
      <c r="N129" s="341"/>
      <c r="O129" s="341"/>
      <c r="P129" s="342"/>
      <c r="Q129" s="343">
        <f>SUM(Q121:Q128)</f>
        <v>675448.13</v>
      </c>
      <c r="R129" s="859"/>
      <c r="S129" s="267"/>
    </row>
    <row r="130" spans="1:19" s="245" customFormat="1" ht="13.5" customHeight="1">
      <c r="A130" s="309"/>
      <c r="B130" s="380"/>
      <c r="C130" s="388"/>
      <c r="D130" s="380"/>
      <c r="E130" s="827"/>
      <c r="F130" s="382"/>
      <c r="G130" s="382"/>
      <c r="H130" s="382"/>
      <c r="I130" s="382"/>
      <c r="J130" s="382"/>
      <c r="K130" s="382"/>
      <c r="L130" s="382"/>
      <c r="M130" s="382"/>
      <c r="N130" s="382"/>
      <c r="O130" s="382"/>
      <c r="P130" s="383"/>
      <c r="Q130" s="384"/>
      <c r="R130" s="859"/>
      <c r="S130" s="267"/>
    </row>
    <row r="131" spans="1:19" s="259" customFormat="1" ht="24" customHeight="1">
      <c r="A131" s="310" t="s">
        <v>1014</v>
      </c>
      <c r="B131" s="340"/>
      <c r="C131" s="312" t="s">
        <v>1188</v>
      </c>
      <c r="D131" s="340" t="s">
        <v>2</v>
      </c>
      <c r="E131" s="821"/>
      <c r="F131" s="341"/>
      <c r="G131" s="341"/>
      <c r="H131" s="341"/>
      <c r="I131" s="341"/>
      <c r="J131" s="341"/>
      <c r="K131" s="341"/>
      <c r="L131" s="341"/>
      <c r="M131" s="341"/>
      <c r="N131" s="341"/>
      <c r="O131" s="341"/>
      <c r="P131" s="342" t="s">
        <v>0</v>
      </c>
      <c r="Q131" s="343"/>
      <c r="R131" s="254"/>
      <c r="S131" s="268"/>
    </row>
    <row r="132" spans="1:19" s="259" customFormat="1" ht="24" customHeight="1">
      <c r="A132" s="309" t="s">
        <v>1015</v>
      </c>
      <c r="B132" s="380"/>
      <c r="C132" s="305" t="s">
        <v>1189</v>
      </c>
      <c r="D132" s="366"/>
      <c r="E132" s="822"/>
      <c r="F132" s="368"/>
      <c r="G132" s="368"/>
      <c r="H132" s="368"/>
      <c r="I132" s="368"/>
      <c r="J132" s="368"/>
      <c r="K132" s="368"/>
      <c r="L132" s="368"/>
      <c r="M132" s="368"/>
      <c r="N132" s="368"/>
      <c r="O132" s="368"/>
      <c r="P132" s="369"/>
      <c r="Q132" s="370"/>
      <c r="R132" s="254"/>
      <c r="S132" s="268"/>
    </row>
    <row r="133" spans="1:19" s="254" customFormat="1" ht="51.75" customHeight="1">
      <c r="A133" s="260" t="s">
        <v>1190</v>
      </c>
      <c r="B133" s="261" t="s">
        <v>2242</v>
      </c>
      <c r="C133" s="351" t="s">
        <v>2243</v>
      </c>
      <c r="D133" s="250" t="s">
        <v>179</v>
      </c>
      <c r="E133" s="834">
        <v>48</v>
      </c>
      <c r="F133" s="262"/>
      <c r="G133" s="262"/>
      <c r="H133" s="262">
        <v>5</v>
      </c>
      <c r="I133" s="262"/>
      <c r="J133" s="262"/>
      <c r="K133" s="262"/>
      <c r="L133" s="262"/>
      <c r="M133" s="262"/>
      <c r="N133" s="262"/>
      <c r="O133" s="262">
        <f t="shared" ref="O133:O210" si="29">SUM(E133:N133)</f>
        <v>53</v>
      </c>
      <c r="P133" s="263">
        <f>COMPOSIÇÕES!B1291</f>
        <v>167.34045</v>
      </c>
      <c r="Q133" s="264">
        <f t="shared" ref="Q133:Q260" si="30">TRUNC(O133*P133,2)</f>
        <v>8869.0400000000009</v>
      </c>
      <c r="R133" s="254" t="s">
        <v>1602</v>
      </c>
    </row>
    <row r="134" spans="1:19" s="254" customFormat="1" ht="36" customHeight="1">
      <c r="A134" s="260" t="s">
        <v>1191</v>
      </c>
      <c r="B134" s="261" t="s">
        <v>1743</v>
      </c>
      <c r="C134" s="351" t="s">
        <v>1753</v>
      </c>
      <c r="D134" s="250" t="s">
        <v>179</v>
      </c>
      <c r="E134" s="834">
        <v>97</v>
      </c>
      <c r="F134" s="262"/>
      <c r="G134" s="262">
        <v>11</v>
      </c>
      <c r="H134" s="262">
        <v>2</v>
      </c>
      <c r="I134" s="262"/>
      <c r="J134" s="262"/>
      <c r="K134" s="262"/>
      <c r="L134" s="262"/>
      <c r="M134" s="262"/>
      <c r="N134" s="262"/>
      <c r="O134" s="262">
        <f t="shared" si="29"/>
        <v>110</v>
      </c>
      <c r="P134" s="263">
        <f>COMPOSIÇÕES!B1353</f>
        <v>150.71969999999999</v>
      </c>
      <c r="Q134" s="264">
        <f t="shared" si="30"/>
        <v>16579.16</v>
      </c>
      <c r="R134" s="254" t="s">
        <v>1602</v>
      </c>
    </row>
    <row r="135" spans="1:19" s="254" customFormat="1" ht="34.5" customHeight="1">
      <c r="A135" s="260" t="s">
        <v>1192</v>
      </c>
      <c r="B135" s="261" t="s">
        <v>1752</v>
      </c>
      <c r="C135" s="351" t="s">
        <v>1754</v>
      </c>
      <c r="D135" s="250" t="s">
        <v>179</v>
      </c>
      <c r="E135" s="834">
        <v>14</v>
      </c>
      <c r="F135" s="262"/>
      <c r="G135" s="262"/>
      <c r="H135" s="262">
        <v>3</v>
      </c>
      <c r="I135" s="262"/>
      <c r="J135" s="262"/>
      <c r="K135" s="262"/>
      <c r="L135" s="262"/>
      <c r="M135" s="262"/>
      <c r="N135" s="262"/>
      <c r="O135" s="262">
        <f t="shared" si="29"/>
        <v>17</v>
      </c>
      <c r="P135" s="263">
        <f>COMPOSIÇÕES!B1384</f>
        <v>152.2884</v>
      </c>
      <c r="Q135" s="264">
        <f t="shared" si="30"/>
        <v>2588.9</v>
      </c>
      <c r="R135" s="254" t="s">
        <v>1602</v>
      </c>
    </row>
    <row r="136" spans="1:19" s="254" customFormat="1" ht="47.25" customHeight="1">
      <c r="A136" s="260" t="s">
        <v>1193</v>
      </c>
      <c r="B136" s="261" t="s">
        <v>1770</v>
      </c>
      <c r="C136" s="351" t="s">
        <v>1767</v>
      </c>
      <c r="D136" s="250" t="s">
        <v>179</v>
      </c>
      <c r="E136" s="834">
        <v>12</v>
      </c>
      <c r="F136" s="262"/>
      <c r="G136" s="262"/>
      <c r="H136" s="262">
        <v>3</v>
      </c>
      <c r="I136" s="262"/>
      <c r="J136" s="262"/>
      <c r="K136" s="262"/>
      <c r="L136" s="262"/>
      <c r="M136" s="262"/>
      <c r="N136" s="262"/>
      <c r="O136" s="262">
        <f t="shared" si="29"/>
        <v>15</v>
      </c>
      <c r="P136" s="263">
        <f>COMPOSIÇÕES!B1322</f>
        <v>131.82059999999998</v>
      </c>
      <c r="Q136" s="264">
        <f t="shared" si="30"/>
        <v>1977.3</v>
      </c>
      <c r="R136" s="254" t="s">
        <v>1602</v>
      </c>
    </row>
    <row r="137" spans="1:19" s="254" customFormat="1" ht="18" customHeight="1">
      <c r="A137" s="260" t="s">
        <v>1194</v>
      </c>
      <c r="B137" s="261" t="s">
        <v>2674</v>
      </c>
      <c r="C137" s="351" t="s">
        <v>2249</v>
      </c>
      <c r="D137" s="250" t="s">
        <v>179</v>
      </c>
      <c r="E137" s="834">
        <v>10</v>
      </c>
      <c r="F137" s="262"/>
      <c r="G137" s="262"/>
      <c r="H137" s="262">
        <v>1</v>
      </c>
      <c r="I137" s="262"/>
      <c r="J137" s="262"/>
      <c r="K137" s="262"/>
      <c r="L137" s="262"/>
      <c r="M137" s="262"/>
      <c r="N137" s="262"/>
      <c r="O137" s="262">
        <f t="shared" si="29"/>
        <v>11</v>
      </c>
      <c r="P137" s="263">
        <f>26.9*1.245</f>
        <v>33.490500000000004</v>
      </c>
      <c r="Q137" s="264">
        <f t="shared" si="30"/>
        <v>368.39</v>
      </c>
      <c r="R137" s="254" t="s">
        <v>2659</v>
      </c>
    </row>
    <row r="138" spans="1:19" s="254" customFormat="1" ht="18" customHeight="1">
      <c r="A138" s="260" t="s">
        <v>1198</v>
      </c>
      <c r="B138" s="261" t="s">
        <v>2673</v>
      </c>
      <c r="C138" s="351" t="s">
        <v>2250</v>
      </c>
      <c r="D138" s="250" t="s">
        <v>179</v>
      </c>
      <c r="E138" s="834"/>
      <c r="F138" s="262"/>
      <c r="G138" s="262"/>
      <c r="H138" s="262">
        <v>2</v>
      </c>
      <c r="I138" s="262"/>
      <c r="J138" s="262"/>
      <c r="K138" s="262"/>
      <c r="L138" s="262"/>
      <c r="M138" s="262"/>
      <c r="N138" s="262"/>
      <c r="O138" s="262">
        <f t="shared" si="29"/>
        <v>2</v>
      </c>
      <c r="P138" s="705">
        <f>36.76*1.245</f>
        <v>45.766200000000005</v>
      </c>
      <c r="Q138" s="264">
        <f t="shared" si="30"/>
        <v>91.53</v>
      </c>
      <c r="R138" s="254" t="s">
        <v>2659</v>
      </c>
    </row>
    <row r="139" spans="1:19" s="254" customFormat="1" ht="69" customHeight="1">
      <c r="A139" s="260" t="s">
        <v>1199</v>
      </c>
      <c r="B139" s="261" t="s">
        <v>2251</v>
      </c>
      <c r="C139" s="351" t="s">
        <v>2252</v>
      </c>
      <c r="D139" s="250" t="s">
        <v>179</v>
      </c>
      <c r="E139" s="834">
        <v>22</v>
      </c>
      <c r="F139" s="262"/>
      <c r="G139" s="262"/>
      <c r="H139" s="262">
        <v>3</v>
      </c>
      <c r="I139" s="262"/>
      <c r="J139" s="262"/>
      <c r="K139" s="262"/>
      <c r="L139" s="262"/>
      <c r="M139" s="262"/>
      <c r="N139" s="262"/>
      <c r="O139" s="262">
        <f t="shared" si="29"/>
        <v>25</v>
      </c>
      <c r="P139" s="263">
        <f>152.28*1.245</f>
        <v>189.58860000000001</v>
      </c>
      <c r="Q139" s="264">
        <f t="shared" si="30"/>
        <v>4739.71</v>
      </c>
      <c r="R139" s="254" t="s">
        <v>2659</v>
      </c>
    </row>
    <row r="140" spans="1:19" s="254" customFormat="1" ht="20.100000000000001" customHeight="1">
      <c r="A140" s="260" t="s">
        <v>1200</v>
      </c>
      <c r="B140" s="261" t="s">
        <v>2483</v>
      </c>
      <c r="C140" s="351" t="s">
        <v>2253</v>
      </c>
      <c r="D140" s="250" t="s">
        <v>179</v>
      </c>
      <c r="E140" s="834">
        <v>14</v>
      </c>
      <c r="F140" s="262"/>
      <c r="G140" s="262"/>
      <c r="H140" s="262"/>
      <c r="I140" s="262"/>
      <c r="J140" s="262"/>
      <c r="K140" s="262"/>
      <c r="L140" s="262"/>
      <c r="M140" s="262"/>
      <c r="N140" s="262"/>
      <c r="O140" s="262">
        <f t="shared" si="29"/>
        <v>14</v>
      </c>
      <c r="P140" s="263">
        <f>18.41*1.245</f>
        <v>22.920450000000002</v>
      </c>
      <c r="Q140" s="264">
        <f t="shared" si="30"/>
        <v>320.88</v>
      </c>
      <c r="R140" s="254" t="s">
        <v>2659</v>
      </c>
    </row>
    <row r="141" spans="1:19" s="254" customFormat="1" ht="20.100000000000001" customHeight="1">
      <c r="A141" s="260" t="s">
        <v>2320</v>
      </c>
      <c r="B141" s="261" t="s">
        <v>2485</v>
      </c>
      <c r="C141" s="351" t="s">
        <v>2484</v>
      </c>
      <c r="D141" s="250" t="s">
        <v>1943</v>
      </c>
      <c r="E141" s="834">
        <f>6+11</f>
        <v>17</v>
      </c>
      <c r="F141" s="262"/>
      <c r="G141" s="262"/>
      <c r="H141" s="262"/>
      <c r="I141" s="262"/>
      <c r="J141" s="262"/>
      <c r="K141" s="262"/>
      <c r="L141" s="262"/>
      <c r="M141" s="262"/>
      <c r="N141" s="262"/>
      <c r="O141" s="262">
        <f t="shared" si="29"/>
        <v>17</v>
      </c>
      <c r="P141" s="263">
        <f>445.37*1.245</f>
        <v>554.48565000000008</v>
      </c>
      <c r="Q141" s="264">
        <f t="shared" si="30"/>
        <v>9426.25</v>
      </c>
      <c r="R141" s="254" t="s">
        <v>2659</v>
      </c>
    </row>
    <row r="142" spans="1:19" s="254" customFormat="1" ht="20.100000000000001" customHeight="1">
      <c r="A142" s="260" t="s">
        <v>2321</v>
      </c>
      <c r="B142" s="261" t="s">
        <v>1743</v>
      </c>
      <c r="C142" s="351" t="s">
        <v>3119</v>
      </c>
      <c r="D142" s="250" t="s">
        <v>1943</v>
      </c>
      <c r="E142" s="834">
        <v>42</v>
      </c>
      <c r="F142" s="262"/>
      <c r="G142" s="262"/>
      <c r="H142" s="262"/>
      <c r="I142" s="262"/>
      <c r="J142" s="262"/>
      <c r="K142" s="262"/>
      <c r="L142" s="262"/>
      <c r="M142" s="262"/>
      <c r="N142" s="262"/>
      <c r="O142" s="262">
        <f t="shared" si="29"/>
        <v>42</v>
      </c>
      <c r="P142" s="263">
        <f>COMPOSIÇÕES!B1353</f>
        <v>150.71969999999999</v>
      </c>
      <c r="Q142" s="264">
        <f t="shared" si="30"/>
        <v>6330.22</v>
      </c>
      <c r="R142" s="1061" t="s">
        <v>1602</v>
      </c>
    </row>
    <row r="143" spans="1:19" s="254" customFormat="1" ht="41.25" customHeight="1">
      <c r="A143" s="260" t="s">
        <v>2322</v>
      </c>
      <c r="B143" s="261"/>
      <c r="C143" s="351" t="s">
        <v>2408</v>
      </c>
      <c r="D143" s="250" t="s">
        <v>1538</v>
      </c>
      <c r="E143" s="834">
        <v>20</v>
      </c>
      <c r="F143" s="262"/>
      <c r="G143" s="262"/>
      <c r="H143" s="262"/>
      <c r="I143" s="262"/>
      <c r="J143" s="262"/>
      <c r="K143" s="262"/>
      <c r="L143" s="262"/>
      <c r="M143" s="262"/>
      <c r="N143" s="262"/>
      <c r="O143" s="262">
        <f t="shared" si="29"/>
        <v>20</v>
      </c>
      <c r="P143" s="705">
        <f>594.6*1.245</f>
        <v>740.27700000000004</v>
      </c>
      <c r="Q143" s="264">
        <f t="shared" si="30"/>
        <v>14805.54</v>
      </c>
      <c r="R143" s="254" t="s">
        <v>825</v>
      </c>
    </row>
    <row r="144" spans="1:19" s="254" customFormat="1" ht="36.75" customHeight="1">
      <c r="A144" s="260" t="s">
        <v>2323</v>
      </c>
      <c r="B144" s="248" t="s">
        <v>1780</v>
      </c>
      <c r="C144" s="265" t="s">
        <v>2254</v>
      </c>
      <c r="D144" s="250" t="s">
        <v>1538</v>
      </c>
      <c r="E144" s="834">
        <v>20</v>
      </c>
      <c r="F144" s="262"/>
      <c r="G144" s="262"/>
      <c r="H144" s="262"/>
      <c r="I144" s="262"/>
      <c r="J144" s="262"/>
      <c r="K144" s="262"/>
      <c r="L144" s="262"/>
      <c r="M144" s="262"/>
      <c r="N144" s="262"/>
      <c r="O144" s="262">
        <f t="shared" si="29"/>
        <v>20</v>
      </c>
      <c r="P144" s="252">
        <f>COMPOSIÇÕES!B1420</f>
        <v>77.16510000000001</v>
      </c>
      <c r="Q144" s="253">
        <f t="shared" si="30"/>
        <v>1543.3</v>
      </c>
      <c r="R144" s="254" t="s">
        <v>1602</v>
      </c>
      <c r="S144" s="269"/>
    </row>
    <row r="145" spans="1:19" s="254" customFormat="1" ht="38.25" customHeight="1">
      <c r="A145" s="260" t="s">
        <v>2324</v>
      </c>
      <c r="B145" s="248" t="s">
        <v>1781</v>
      </c>
      <c r="C145" s="265" t="s">
        <v>1782</v>
      </c>
      <c r="D145" s="250" t="s">
        <v>1538</v>
      </c>
      <c r="E145" s="834">
        <v>218</v>
      </c>
      <c r="F145" s="262"/>
      <c r="G145" s="262">
        <v>24</v>
      </c>
      <c r="H145" s="262">
        <v>29</v>
      </c>
      <c r="I145" s="262"/>
      <c r="J145" s="262"/>
      <c r="K145" s="262"/>
      <c r="L145" s="262"/>
      <c r="M145" s="262"/>
      <c r="N145" s="262"/>
      <c r="O145" s="262">
        <f t="shared" si="29"/>
        <v>271</v>
      </c>
      <c r="P145" s="252">
        <f>COMPOSIÇÕES!B1402</f>
        <v>116.41995000000003</v>
      </c>
      <c r="Q145" s="253">
        <f t="shared" si="30"/>
        <v>31549.8</v>
      </c>
      <c r="R145" s="254" t="s">
        <v>1602</v>
      </c>
      <c r="S145" s="269"/>
    </row>
    <row r="146" spans="1:19" s="254" customFormat="1" ht="66.75" customHeight="1">
      <c r="A146" s="260" t="s">
        <v>2921</v>
      </c>
      <c r="B146" s="248" t="s">
        <v>2255</v>
      </c>
      <c r="C146" s="389" t="s">
        <v>2256</v>
      </c>
      <c r="D146" s="250" t="s">
        <v>1538</v>
      </c>
      <c r="E146" s="834">
        <v>7</v>
      </c>
      <c r="F146" s="262"/>
      <c r="G146" s="262"/>
      <c r="H146" s="262"/>
      <c r="I146" s="262"/>
      <c r="J146" s="262"/>
      <c r="K146" s="262"/>
      <c r="L146" s="262"/>
      <c r="M146" s="262"/>
      <c r="N146" s="262"/>
      <c r="O146" s="262">
        <f t="shared" si="29"/>
        <v>7</v>
      </c>
      <c r="P146" s="252">
        <f>312.17*1.245</f>
        <v>388.65165000000007</v>
      </c>
      <c r="Q146" s="253">
        <f t="shared" si="30"/>
        <v>2720.56</v>
      </c>
      <c r="R146" s="254" t="s">
        <v>2659</v>
      </c>
      <c r="S146" s="269"/>
    </row>
    <row r="147" spans="1:19" s="254" customFormat="1" ht="68.25" customHeight="1">
      <c r="A147" s="260" t="s">
        <v>2325</v>
      </c>
      <c r="B147" s="248" t="s">
        <v>2259</v>
      </c>
      <c r="C147" s="359" t="s">
        <v>2260</v>
      </c>
      <c r="D147" s="250" t="s">
        <v>1538</v>
      </c>
      <c r="E147" s="834">
        <v>4</v>
      </c>
      <c r="F147" s="262"/>
      <c r="G147" s="262"/>
      <c r="H147" s="262"/>
      <c r="I147" s="262"/>
      <c r="J147" s="262"/>
      <c r="K147" s="262"/>
      <c r="L147" s="262"/>
      <c r="M147" s="262"/>
      <c r="N147" s="262">
        <v>2</v>
      </c>
      <c r="O147" s="262">
        <f t="shared" si="29"/>
        <v>6</v>
      </c>
      <c r="P147" s="252">
        <f>425.58*1.245</f>
        <v>529.84710000000007</v>
      </c>
      <c r="Q147" s="253">
        <f t="shared" si="30"/>
        <v>3179.08</v>
      </c>
      <c r="R147" s="254" t="s">
        <v>2659</v>
      </c>
      <c r="S147" s="269"/>
    </row>
    <row r="148" spans="1:19" s="254" customFormat="1" ht="68.25" customHeight="1">
      <c r="A148" s="260" t="s">
        <v>2326</v>
      </c>
      <c r="B148" s="248" t="s">
        <v>2257</v>
      </c>
      <c r="C148" s="359" t="s">
        <v>2258</v>
      </c>
      <c r="D148" s="250" t="s">
        <v>1538</v>
      </c>
      <c r="E148" s="834"/>
      <c r="F148" s="262"/>
      <c r="G148" s="262">
        <v>1</v>
      </c>
      <c r="H148" s="262"/>
      <c r="I148" s="262"/>
      <c r="J148" s="262"/>
      <c r="K148" s="262"/>
      <c r="L148" s="262"/>
      <c r="M148" s="262"/>
      <c r="N148" s="262"/>
      <c r="O148" s="262">
        <f t="shared" si="29"/>
        <v>1</v>
      </c>
      <c r="P148" s="252">
        <f>72.11*1.245</f>
        <v>89.776950000000014</v>
      </c>
      <c r="Q148" s="253">
        <f t="shared" si="30"/>
        <v>89.77</v>
      </c>
      <c r="R148" s="254" t="s">
        <v>2659</v>
      </c>
      <c r="S148" s="269"/>
    </row>
    <row r="149" spans="1:19" s="254" customFormat="1" ht="66" customHeight="1">
      <c r="A149" s="260" t="s">
        <v>2327</v>
      </c>
      <c r="B149" s="248" t="s">
        <v>2261</v>
      </c>
      <c r="C149" s="389" t="s">
        <v>2262</v>
      </c>
      <c r="D149" s="250" t="s">
        <v>1538</v>
      </c>
      <c r="E149" s="834"/>
      <c r="F149" s="262"/>
      <c r="G149" s="262"/>
      <c r="H149" s="262">
        <v>1</v>
      </c>
      <c r="I149" s="262"/>
      <c r="J149" s="262"/>
      <c r="K149" s="262"/>
      <c r="L149" s="262"/>
      <c r="M149" s="262"/>
      <c r="N149" s="262"/>
      <c r="O149" s="262">
        <f t="shared" si="29"/>
        <v>1</v>
      </c>
      <c r="P149" s="252">
        <f>493.42*1.245</f>
        <v>614.30790000000002</v>
      </c>
      <c r="Q149" s="253">
        <f t="shared" si="30"/>
        <v>614.29999999999995</v>
      </c>
      <c r="R149" s="254" t="s">
        <v>2659</v>
      </c>
      <c r="S149" s="269"/>
    </row>
    <row r="150" spans="1:19" s="254" customFormat="1" ht="27.75" customHeight="1">
      <c r="A150" s="260" t="s">
        <v>2328</v>
      </c>
      <c r="B150" s="248" t="s">
        <v>2486</v>
      </c>
      <c r="C150" s="359" t="s">
        <v>2273</v>
      </c>
      <c r="D150" s="250" t="s">
        <v>1538</v>
      </c>
      <c r="E150" s="834">
        <v>7</v>
      </c>
      <c r="F150" s="262"/>
      <c r="G150" s="262"/>
      <c r="H150" s="262"/>
      <c r="I150" s="262"/>
      <c r="J150" s="262"/>
      <c r="K150" s="262"/>
      <c r="L150" s="262"/>
      <c r="M150" s="262"/>
      <c r="N150" s="262"/>
      <c r="O150" s="262">
        <f t="shared" ref="O150" si="31">SUM(E150:N150)</f>
        <v>7</v>
      </c>
      <c r="P150" s="252">
        <f>286.81*1.245</f>
        <v>357.07845000000003</v>
      </c>
      <c r="Q150" s="253">
        <f t="shared" ref="Q150" si="32">TRUNC(O150*P150,2)</f>
        <v>2499.54</v>
      </c>
      <c r="R150" s="254" t="s">
        <v>2659</v>
      </c>
      <c r="S150" s="269"/>
    </row>
    <row r="151" spans="1:19" s="254" customFormat="1" ht="31.5" customHeight="1">
      <c r="A151" s="260" t="s">
        <v>2329</v>
      </c>
      <c r="B151" s="248" t="s">
        <v>2494</v>
      </c>
      <c r="C151" s="359" t="s">
        <v>2263</v>
      </c>
      <c r="D151" s="250" t="s">
        <v>1538</v>
      </c>
      <c r="E151" s="834">
        <v>8</v>
      </c>
      <c r="F151" s="262"/>
      <c r="G151" s="262"/>
      <c r="H151" s="262"/>
      <c r="I151" s="262"/>
      <c r="J151" s="262"/>
      <c r="K151" s="262"/>
      <c r="L151" s="262"/>
      <c r="M151" s="262"/>
      <c r="N151" s="262">
        <v>3</v>
      </c>
      <c r="O151" s="262">
        <f t="shared" si="29"/>
        <v>11</v>
      </c>
      <c r="P151" s="252">
        <f>95.15*1.245</f>
        <v>118.46175000000002</v>
      </c>
      <c r="Q151" s="253">
        <f t="shared" si="30"/>
        <v>1303.07</v>
      </c>
      <c r="R151" s="254" t="s">
        <v>2659</v>
      </c>
      <c r="S151" s="269"/>
    </row>
    <row r="152" spans="1:19" s="254" customFormat="1" ht="32.25" customHeight="1">
      <c r="A152" s="260" t="s">
        <v>2330</v>
      </c>
      <c r="B152" s="248" t="s">
        <v>2494</v>
      </c>
      <c r="C152" s="359" t="s">
        <v>2264</v>
      </c>
      <c r="D152" s="250" t="s">
        <v>1538</v>
      </c>
      <c r="E152" s="834"/>
      <c r="F152" s="262"/>
      <c r="G152" s="262"/>
      <c r="H152" s="262">
        <v>1</v>
      </c>
      <c r="I152" s="262"/>
      <c r="J152" s="262"/>
      <c r="K152" s="262"/>
      <c r="L152" s="262"/>
      <c r="M152" s="262"/>
      <c r="N152" s="262"/>
      <c r="O152" s="262">
        <f t="shared" si="29"/>
        <v>1</v>
      </c>
      <c r="P152" s="252">
        <f>95.15*1.245</f>
        <v>118.46175000000002</v>
      </c>
      <c r="Q152" s="253">
        <f t="shared" si="30"/>
        <v>118.46</v>
      </c>
      <c r="R152" s="254" t="s">
        <v>2659</v>
      </c>
      <c r="S152" s="269"/>
    </row>
    <row r="153" spans="1:19" s="254" customFormat="1" ht="31.5" customHeight="1">
      <c r="A153" s="260" t="s">
        <v>2331</v>
      </c>
      <c r="B153" s="248" t="s">
        <v>2494</v>
      </c>
      <c r="C153" s="359" t="s">
        <v>2265</v>
      </c>
      <c r="D153" s="250" t="s">
        <v>1538</v>
      </c>
      <c r="E153" s="834">
        <v>4</v>
      </c>
      <c r="F153" s="262"/>
      <c r="G153" s="262"/>
      <c r="H153" s="262"/>
      <c r="I153" s="262"/>
      <c r="J153" s="262"/>
      <c r="K153" s="262"/>
      <c r="L153" s="262"/>
      <c r="M153" s="262"/>
      <c r="N153" s="262">
        <v>4</v>
      </c>
      <c r="O153" s="262">
        <f t="shared" si="29"/>
        <v>8</v>
      </c>
      <c r="P153" s="252">
        <f>95.15*1.245</f>
        <v>118.46175000000002</v>
      </c>
      <c r="Q153" s="253">
        <f t="shared" si="30"/>
        <v>947.69</v>
      </c>
      <c r="R153" s="254" t="s">
        <v>2659</v>
      </c>
      <c r="S153" s="269"/>
    </row>
    <row r="154" spans="1:19" s="254" customFormat="1" ht="29.25" customHeight="1">
      <c r="A154" s="260" t="s">
        <v>2332</v>
      </c>
      <c r="B154" s="248" t="s">
        <v>2493</v>
      </c>
      <c r="C154" s="359" t="s">
        <v>2266</v>
      </c>
      <c r="D154" s="250" t="s">
        <v>1538</v>
      </c>
      <c r="E154" s="834"/>
      <c r="F154" s="262"/>
      <c r="G154" s="262"/>
      <c r="H154" s="262">
        <v>1</v>
      </c>
      <c r="I154" s="262"/>
      <c r="J154" s="262"/>
      <c r="K154" s="262"/>
      <c r="L154" s="262"/>
      <c r="M154" s="262"/>
      <c r="N154" s="262">
        <v>1</v>
      </c>
      <c r="O154" s="262">
        <f t="shared" si="29"/>
        <v>2</v>
      </c>
      <c r="P154" s="252">
        <f>688.54*1.245</f>
        <v>857.23230000000001</v>
      </c>
      <c r="Q154" s="253">
        <f t="shared" si="30"/>
        <v>1714.46</v>
      </c>
      <c r="R154" s="254" t="s">
        <v>2659</v>
      </c>
      <c r="S154" s="269"/>
    </row>
    <row r="155" spans="1:19" s="254" customFormat="1" ht="21.95" customHeight="1">
      <c r="A155" s="260" t="s">
        <v>2333</v>
      </c>
      <c r="B155" s="248" t="s">
        <v>2488</v>
      </c>
      <c r="C155" s="359" t="s">
        <v>2267</v>
      </c>
      <c r="D155" s="250" t="s">
        <v>1538</v>
      </c>
      <c r="E155" s="834">
        <v>67</v>
      </c>
      <c r="F155" s="262"/>
      <c r="G155" s="262"/>
      <c r="H155" s="262">
        <v>11</v>
      </c>
      <c r="I155" s="262"/>
      <c r="J155" s="262"/>
      <c r="K155" s="262"/>
      <c r="L155" s="262"/>
      <c r="M155" s="262"/>
      <c r="N155" s="262">
        <v>2</v>
      </c>
      <c r="O155" s="262">
        <f t="shared" si="29"/>
        <v>80</v>
      </c>
      <c r="P155" s="252">
        <f>8.82*1.245</f>
        <v>10.980900000000002</v>
      </c>
      <c r="Q155" s="253">
        <f t="shared" si="30"/>
        <v>878.47</v>
      </c>
      <c r="R155" s="254" t="s">
        <v>2659</v>
      </c>
      <c r="S155" s="269"/>
    </row>
    <row r="156" spans="1:19" s="254" customFormat="1" ht="21.95" customHeight="1">
      <c r="A156" s="260" t="s">
        <v>2334</v>
      </c>
      <c r="B156" s="248" t="s">
        <v>2487</v>
      </c>
      <c r="C156" s="359" t="s">
        <v>2268</v>
      </c>
      <c r="D156" s="250" t="s">
        <v>1538</v>
      </c>
      <c r="E156" s="834">
        <v>37</v>
      </c>
      <c r="F156" s="262"/>
      <c r="G156" s="262"/>
      <c r="H156" s="704">
        <v>4</v>
      </c>
      <c r="I156" s="262"/>
      <c r="J156" s="262"/>
      <c r="K156" s="262"/>
      <c r="L156" s="262"/>
      <c r="M156" s="262"/>
      <c r="N156" s="262"/>
      <c r="O156" s="262">
        <f t="shared" si="29"/>
        <v>41</v>
      </c>
      <c r="P156" s="252">
        <f>10.64*1.245</f>
        <v>13.246800000000002</v>
      </c>
      <c r="Q156" s="253">
        <f t="shared" si="30"/>
        <v>543.11</v>
      </c>
      <c r="R156" s="254" t="s">
        <v>2659</v>
      </c>
      <c r="S156" s="269"/>
    </row>
    <row r="157" spans="1:19" s="254" customFormat="1" ht="21.95" customHeight="1">
      <c r="A157" s="260" t="s">
        <v>2335</v>
      </c>
      <c r="B157" s="248" t="s">
        <v>2489</v>
      </c>
      <c r="C157" s="359" t="s">
        <v>2269</v>
      </c>
      <c r="D157" s="250" t="s">
        <v>1538</v>
      </c>
      <c r="E157" s="834">
        <v>10</v>
      </c>
      <c r="F157" s="262"/>
      <c r="G157" s="262"/>
      <c r="H157" s="262">
        <v>1</v>
      </c>
      <c r="I157" s="262"/>
      <c r="J157" s="262"/>
      <c r="K157" s="262"/>
      <c r="L157" s="262"/>
      <c r="M157" s="262"/>
      <c r="N157" s="262"/>
      <c r="O157" s="262">
        <f t="shared" si="29"/>
        <v>11</v>
      </c>
      <c r="P157" s="252">
        <f>42.26*1.245</f>
        <v>52.613700000000001</v>
      </c>
      <c r="Q157" s="253">
        <f t="shared" si="30"/>
        <v>578.75</v>
      </c>
      <c r="R157" s="254" t="s">
        <v>2659</v>
      </c>
      <c r="S157" s="269"/>
    </row>
    <row r="158" spans="1:19" s="254" customFormat="1" ht="21.95" customHeight="1">
      <c r="A158" s="260" t="s">
        <v>2336</v>
      </c>
      <c r="B158" s="248" t="s">
        <v>2492</v>
      </c>
      <c r="C158" s="359" t="s">
        <v>2270</v>
      </c>
      <c r="D158" s="250" t="s">
        <v>1538</v>
      </c>
      <c r="E158" s="834">
        <v>11</v>
      </c>
      <c r="F158" s="262"/>
      <c r="G158" s="262"/>
      <c r="H158" s="262"/>
      <c r="I158" s="262"/>
      <c r="J158" s="262"/>
      <c r="K158" s="262"/>
      <c r="L158" s="262"/>
      <c r="M158" s="262"/>
      <c r="N158" s="262"/>
      <c r="O158" s="262">
        <f t="shared" si="29"/>
        <v>11</v>
      </c>
      <c r="P158" s="252">
        <f>58.51*1.245</f>
        <v>72.844949999999997</v>
      </c>
      <c r="Q158" s="253">
        <f t="shared" si="30"/>
        <v>801.29</v>
      </c>
      <c r="R158" s="254" t="s">
        <v>2659</v>
      </c>
      <c r="S158" s="269"/>
    </row>
    <row r="159" spans="1:19" s="254" customFormat="1" ht="21.95" customHeight="1">
      <c r="A159" s="260" t="s">
        <v>2337</v>
      </c>
      <c r="B159" s="248" t="s">
        <v>2490</v>
      </c>
      <c r="C159" s="359" t="s">
        <v>2271</v>
      </c>
      <c r="D159" s="250" t="s">
        <v>1538</v>
      </c>
      <c r="E159" s="834">
        <v>3</v>
      </c>
      <c r="F159" s="262"/>
      <c r="G159" s="262"/>
      <c r="H159" s="262">
        <v>2</v>
      </c>
      <c r="I159" s="262"/>
      <c r="J159" s="262"/>
      <c r="K159" s="262"/>
      <c r="L159" s="262"/>
      <c r="M159" s="262"/>
      <c r="N159" s="262"/>
      <c r="O159" s="262">
        <f t="shared" si="29"/>
        <v>5</v>
      </c>
      <c r="P159" s="252">
        <f>45.93*1.245</f>
        <v>57.182850000000002</v>
      </c>
      <c r="Q159" s="253">
        <f t="shared" si="30"/>
        <v>285.91000000000003</v>
      </c>
      <c r="R159" s="254" t="s">
        <v>2659</v>
      </c>
      <c r="S159" s="269"/>
    </row>
    <row r="160" spans="1:19" s="254" customFormat="1" ht="21.95" customHeight="1">
      <c r="A160" s="260" t="s">
        <v>2338</v>
      </c>
      <c r="B160" s="248" t="s">
        <v>2491</v>
      </c>
      <c r="C160" s="359" t="s">
        <v>2272</v>
      </c>
      <c r="D160" s="250" t="s">
        <v>1538</v>
      </c>
      <c r="E160" s="834">
        <v>2</v>
      </c>
      <c r="F160" s="262"/>
      <c r="G160" s="262"/>
      <c r="H160" s="262"/>
      <c r="I160" s="262"/>
      <c r="J160" s="262"/>
      <c r="K160" s="262"/>
      <c r="L160" s="262"/>
      <c r="M160" s="262"/>
      <c r="N160" s="262">
        <v>2</v>
      </c>
      <c r="O160" s="262">
        <f t="shared" si="29"/>
        <v>4</v>
      </c>
      <c r="P160" s="252">
        <f>48.64*1.245</f>
        <v>60.556800000000003</v>
      </c>
      <c r="Q160" s="253">
        <f t="shared" si="30"/>
        <v>242.22</v>
      </c>
      <c r="R160" s="254" t="s">
        <v>2659</v>
      </c>
      <c r="S160" s="269"/>
    </row>
    <row r="161" spans="1:20" s="254" customFormat="1" ht="33.75" customHeight="1">
      <c r="A161" s="260" t="s">
        <v>2339</v>
      </c>
      <c r="B161" s="248" t="s">
        <v>2495</v>
      </c>
      <c r="C161" s="359" t="s">
        <v>2496</v>
      </c>
      <c r="D161" s="250" t="s">
        <v>1538</v>
      </c>
      <c r="E161" s="834"/>
      <c r="F161" s="262"/>
      <c r="G161" s="262"/>
      <c r="H161" s="262"/>
      <c r="I161" s="262"/>
      <c r="J161" s="262"/>
      <c r="K161" s="262"/>
      <c r="L161" s="262"/>
      <c r="M161" s="262"/>
      <c r="N161" s="262">
        <v>1</v>
      </c>
      <c r="O161" s="262">
        <f t="shared" si="29"/>
        <v>1</v>
      </c>
      <c r="P161" s="263">
        <f>1266.62*1.245</f>
        <v>1576.9419</v>
      </c>
      <c r="Q161" s="253">
        <f t="shared" si="30"/>
        <v>1576.94</v>
      </c>
      <c r="R161" s="254" t="s">
        <v>2659</v>
      </c>
      <c r="S161" s="269"/>
    </row>
    <row r="162" spans="1:20" s="254" customFormat="1" ht="52.5" customHeight="1">
      <c r="A162" s="260" t="s">
        <v>2340</v>
      </c>
      <c r="B162" s="248" t="s">
        <v>2545</v>
      </c>
      <c r="C162" s="359" t="s">
        <v>2546</v>
      </c>
      <c r="D162" s="250" t="s">
        <v>1538</v>
      </c>
      <c r="E162" s="834"/>
      <c r="F162" s="262"/>
      <c r="G162" s="262"/>
      <c r="H162" s="262"/>
      <c r="I162" s="262"/>
      <c r="J162" s="262"/>
      <c r="K162" s="262"/>
      <c r="L162" s="262"/>
      <c r="M162" s="262"/>
      <c r="N162" s="262">
        <v>1</v>
      </c>
      <c r="O162" s="262">
        <f t="shared" si="29"/>
        <v>1</v>
      </c>
      <c r="P162" s="263">
        <f>648.59*1.245</f>
        <v>807.49455000000012</v>
      </c>
      <c r="Q162" s="253">
        <f t="shared" si="30"/>
        <v>807.49</v>
      </c>
      <c r="R162" s="254" t="s">
        <v>2659</v>
      </c>
      <c r="S162" s="269"/>
    </row>
    <row r="163" spans="1:20" s="254" customFormat="1" ht="50.25" customHeight="1">
      <c r="A163" s="260" t="s">
        <v>2922</v>
      </c>
      <c r="B163" s="951" t="s">
        <v>2543</v>
      </c>
      <c r="C163" s="390" t="s">
        <v>2544</v>
      </c>
      <c r="D163" s="250" t="s">
        <v>1538</v>
      </c>
      <c r="E163" s="256"/>
      <c r="F163" s="834"/>
      <c r="G163" s="262"/>
      <c r="H163" s="262"/>
      <c r="I163" s="262"/>
      <c r="J163" s="262"/>
      <c r="K163" s="262"/>
      <c r="L163" s="262"/>
      <c r="M163" s="262"/>
      <c r="N163" s="262"/>
      <c r="O163" s="262">
        <v>1</v>
      </c>
      <c r="P163" s="704">
        <f>13858.93*1.245</f>
        <v>17254.367850000002</v>
      </c>
      <c r="Q163" s="253">
        <f t="shared" si="30"/>
        <v>17254.36</v>
      </c>
      <c r="R163" s="1056" t="s">
        <v>2659</v>
      </c>
      <c r="T163" s="269"/>
    </row>
    <row r="164" spans="1:20" s="254" customFormat="1" ht="27" customHeight="1">
      <c r="A164" s="1258"/>
      <c r="B164" s="1244"/>
      <c r="C164" s="1243" t="s">
        <v>3051</v>
      </c>
      <c r="D164" s="391"/>
      <c r="E164" s="391"/>
      <c r="F164" s="835"/>
      <c r="G164" s="392"/>
      <c r="H164" s="392"/>
      <c r="I164" s="392"/>
      <c r="J164" s="392"/>
      <c r="K164" s="392"/>
      <c r="L164" s="392"/>
      <c r="M164" s="392"/>
      <c r="N164" s="392"/>
      <c r="O164" s="392"/>
      <c r="P164" s="882"/>
      <c r="Q164" s="1262">
        <f>SUM(Q133:Q163)</f>
        <v>135345.49000000005</v>
      </c>
      <c r="R164" s="1259"/>
      <c r="T164" s="269"/>
    </row>
    <row r="165" spans="1:20" s="254" customFormat="1" ht="29.25" customHeight="1">
      <c r="A165" s="309" t="s">
        <v>1016</v>
      </c>
      <c r="B165" s="380"/>
      <c r="C165" s="305" t="s">
        <v>1195</v>
      </c>
      <c r="D165" s="366"/>
      <c r="E165" s="822"/>
      <c r="F165" s="368"/>
      <c r="G165" s="368"/>
      <c r="H165" s="368"/>
      <c r="I165" s="368"/>
      <c r="J165" s="368"/>
      <c r="K165" s="368"/>
      <c r="L165" s="368"/>
      <c r="M165" s="368"/>
      <c r="N165" s="368"/>
      <c r="O165" s="368"/>
      <c r="P165" s="369"/>
      <c r="Q165" s="370"/>
      <c r="S165" s="269"/>
    </row>
    <row r="166" spans="1:20" s="254" customFormat="1" ht="52.5" customHeight="1">
      <c r="A166" s="247" t="s">
        <v>1201</v>
      </c>
      <c r="B166" s="248" t="s">
        <v>182</v>
      </c>
      <c r="C166" s="284" t="s">
        <v>1785</v>
      </c>
      <c r="D166" s="256" t="s">
        <v>1538</v>
      </c>
      <c r="E166" s="820">
        <f>2+1+1+(2*7)+6+(8*2)+2</f>
        <v>42</v>
      </c>
      <c r="F166" s="251"/>
      <c r="G166" s="251"/>
      <c r="H166" s="251">
        <f>2+11</f>
        <v>13</v>
      </c>
      <c r="I166" s="251"/>
      <c r="J166" s="251"/>
      <c r="K166" s="251"/>
      <c r="L166" s="251"/>
      <c r="M166" s="251"/>
      <c r="N166" s="251"/>
      <c r="O166" s="251">
        <f t="shared" si="29"/>
        <v>55</v>
      </c>
      <c r="P166" s="252">
        <f>COMPOSIÇÕES!B1463</f>
        <v>119.84370000000001</v>
      </c>
      <c r="Q166" s="253">
        <f t="shared" si="30"/>
        <v>6591.4</v>
      </c>
      <c r="R166" s="254" t="s">
        <v>1602</v>
      </c>
      <c r="S166" s="266"/>
    </row>
    <row r="167" spans="1:20" s="254" customFormat="1" ht="49.5" customHeight="1">
      <c r="A167" s="247" t="s">
        <v>1202</v>
      </c>
      <c r="B167" s="248" t="s">
        <v>191</v>
      </c>
      <c r="C167" s="265" t="s">
        <v>190</v>
      </c>
      <c r="D167" s="250" t="s">
        <v>1538</v>
      </c>
      <c r="E167" s="820"/>
      <c r="F167" s="251"/>
      <c r="G167" s="251"/>
      <c r="H167" s="251"/>
      <c r="I167" s="251"/>
      <c r="J167" s="251"/>
      <c r="K167" s="251"/>
      <c r="L167" s="251"/>
      <c r="M167" s="251"/>
      <c r="N167" s="251">
        <v>1</v>
      </c>
      <c r="O167" s="251">
        <f t="shared" si="29"/>
        <v>1</v>
      </c>
      <c r="P167" s="252">
        <f>COMPOSIÇÕES!B1495</f>
        <v>644.48669999999981</v>
      </c>
      <c r="Q167" s="253">
        <f t="shared" si="30"/>
        <v>644.48</v>
      </c>
      <c r="R167" s="254" t="s">
        <v>1602</v>
      </c>
      <c r="S167" s="266"/>
    </row>
    <row r="168" spans="1:20" s="254" customFormat="1" ht="31.5" customHeight="1">
      <c r="A168" s="247" t="s">
        <v>1203</v>
      </c>
      <c r="B168" s="951" t="s">
        <v>2803</v>
      </c>
      <c r="C168" s="265" t="s">
        <v>2891</v>
      </c>
      <c r="D168" s="250" t="s">
        <v>1538</v>
      </c>
      <c r="E168" s="820"/>
      <c r="F168" s="251"/>
      <c r="G168" s="251"/>
      <c r="H168" s="251"/>
      <c r="I168" s="251"/>
      <c r="J168" s="251"/>
      <c r="K168" s="251"/>
      <c r="L168" s="251"/>
      <c r="M168" s="251"/>
      <c r="N168" s="251">
        <v>1</v>
      </c>
      <c r="O168" s="251">
        <f t="shared" si="29"/>
        <v>1</v>
      </c>
      <c r="P168" s="362">
        <v>58899.93</v>
      </c>
      <c r="Q168" s="253">
        <f t="shared" si="30"/>
        <v>58899.93</v>
      </c>
      <c r="R168" s="254" t="s">
        <v>2659</v>
      </c>
      <c r="S168" s="266"/>
    </row>
    <row r="169" spans="1:20" s="254" customFormat="1" ht="18.95" customHeight="1">
      <c r="A169" s="247" t="s">
        <v>1204</v>
      </c>
      <c r="B169" s="248" t="s">
        <v>2497</v>
      </c>
      <c r="C169" s="265" t="s">
        <v>2301</v>
      </c>
      <c r="D169" s="250" t="s">
        <v>1538</v>
      </c>
      <c r="E169" s="820">
        <v>2</v>
      </c>
      <c r="F169" s="251"/>
      <c r="G169" s="251"/>
      <c r="H169" s="251">
        <v>2</v>
      </c>
      <c r="I169" s="251"/>
      <c r="J169" s="251"/>
      <c r="K169" s="251"/>
      <c r="L169" s="251"/>
      <c r="M169" s="251"/>
      <c r="N169" s="251"/>
      <c r="O169" s="251">
        <f t="shared" si="29"/>
        <v>4</v>
      </c>
      <c r="P169" s="362">
        <f>33.7*1.245</f>
        <v>41.956500000000005</v>
      </c>
      <c r="Q169" s="253">
        <f t="shared" si="30"/>
        <v>167.82</v>
      </c>
      <c r="R169" s="254" t="s">
        <v>2659</v>
      </c>
      <c r="S169" s="266"/>
    </row>
    <row r="170" spans="1:20" s="254" customFormat="1" ht="18.95" customHeight="1">
      <c r="A170" s="247" t="s">
        <v>1205</v>
      </c>
      <c r="B170" s="248" t="s">
        <v>2498</v>
      </c>
      <c r="C170" s="265" t="s">
        <v>2299</v>
      </c>
      <c r="D170" s="250" t="s">
        <v>1538</v>
      </c>
      <c r="E170" s="820">
        <f>1+1+1+(2*7)+2</f>
        <v>19</v>
      </c>
      <c r="F170" s="251"/>
      <c r="G170" s="251"/>
      <c r="H170" s="251">
        <v>27</v>
      </c>
      <c r="I170" s="251"/>
      <c r="J170" s="251"/>
      <c r="K170" s="251"/>
      <c r="L170" s="251"/>
      <c r="M170" s="251"/>
      <c r="N170" s="251"/>
      <c r="O170" s="251">
        <f t="shared" si="29"/>
        <v>46</v>
      </c>
      <c r="P170" s="362">
        <f>35.15*1.245</f>
        <v>43.761749999999999</v>
      </c>
      <c r="Q170" s="253">
        <f t="shared" si="30"/>
        <v>2013.04</v>
      </c>
      <c r="R170" s="254" t="s">
        <v>2659</v>
      </c>
      <c r="S170" s="266"/>
    </row>
    <row r="171" spans="1:20" s="254" customFormat="1" ht="21.95" customHeight="1">
      <c r="A171" s="247" t="s">
        <v>1206</v>
      </c>
      <c r="B171" s="248" t="s">
        <v>2499</v>
      </c>
      <c r="C171" s="265" t="s">
        <v>2300</v>
      </c>
      <c r="D171" s="250" t="s">
        <v>1538</v>
      </c>
      <c r="E171" s="820"/>
      <c r="F171" s="251"/>
      <c r="G171" s="251"/>
      <c r="H171" s="251">
        <v>1</v>
      </c>
      <c r="I171" s="251"/>
      <c r="J171" s="251"/>
      <c r="K171" s="251"/>
      <c r="L171" s="251"/>
      <c r="M171" s="251"/>
      <c r="N171" s="251"/>
      <c r="O171" s="251">
        <f t="shared" si="29"/>
        <v>1</v>
      </c>
      <c r="P171" s="362">
        <f>58.69*1.245</f>
        <v>73.069050000000004</v>
      </c>
      <c r="Q171" s="253">
        <f t="shared" si="30"/>
        <v>73.06</v>
      </c>
      <c r="R171" s="254" t="s">
        <v>2659</v>
      </c>
      <c r="S171" s="266"/>
    </row>
    <row r="172" spans="1:20" s="254" customFormat="1" ht="21.95" customHeight="1">
      <c r="A172" s="247" t="s">
        <v>2346</v>
      </c>
      <c r="B172" s="248" t="s">
        <v>2500</v>
      </c>
      <c r="C172" s="265" t="s">
        <v>2302</v>
      </c>
      <c r="D172" s="250" t="s">
        <v>1538</v>
      </c>
      <c r="E172" s="820"/>
      <c r="F172" s="251"/>
      <c r="G172" s="251"/>
      <c r="H172" s="251"/>
      <c r="I172" s="251"/>
      <c r="J172" s="251"/>
      <c r="K172" s="251"/>
      <c r="L172" s="251"/>
      <c r="M172" s="251"/>
      <c r="N172" s="251">
        <v>1</v>
      </c>
      <c r="O172" s="251">
        <f t="shared" si="29"/>
        <v>1</v>
      </c>
      <c r="P172" s="362">
        <f>237.17*1.245</f>
        <v>295.27665000000002</v>
      </c>
      <c r="Q172" s="253">
        <f t="shared" si="30"/>
        <v>295.27</v>
      </c>
      <c r="R172" s="254" t="s">
        <v>2659</v>
      </c>
      <c r="S172" s="266"/>
    </row>
    <row r="173" spans="1:20" s="254" customFormat="1" ht="21.95" customHeight="1">
      <c r="A173" s="247" t="s">
        <v>2347</v>
      </c>
      <c r="B173" s="248" t="s">
        <v>2500</v>
      </c>
      <c r="C173" s="265" t="s">
        <v>2303</v>
      </c>
      <c r="D173" s="250" t="s">
        <v>1538</v>
      </c>
      <c r="E173" s="820"/>
      <c r="F173" s="251"/>
      <c r="G173" s="251"/>
      <c r="H173" s="251"/>
      <c r="I173" s="251"/>
      <c r="J173" s="251"/>
      <c r="K173" s="251"/>
      <c r="L173" s="251"/>
      <c r="M173" s="251"/>
      <c r="N173" s="251">
        <v>1</v>
      </c>
      <c r="O173" s="251">
        <f t="shared" si="29"/>
        <v>1</v>
      </c>
      <c r="P173" s="362">
        <f>237.17*1.245</f>
        <v>295.27665000000002</v>
      </c>
      <c r="Q173" s="253">
        <f t="shared" si="30"/>
        <v>295.27</v>
      </c>
      <c r="R173" s="254" t="s">
        <v>2659</v>
      </c>
      <c r="S173" s="266"/>
    </row>
    <row r="174" spans="1:20" s="254" customFormat="1" ht="21.75" customHeight="1">
      <c r="A174" s="247" t="s">
        <v>2348</v>
      </c>
      <c r="B174" s="248" t="s">
        <v>1950</v>
      </c>
      <c r="C174" s="265" t="s">
        <v>2380</v>
      </c>
      <c r="D174" s="250" t="s">
        <v>1538</v>
      </c>
      <c r="E174" s="820">
        <v>14</v>
      </c>
      <c r="F174" s="251"/>
      <c r="G174" s="251"/>
      <c r="H174" s="251"/>
      <c r="I174" s="251"/>
      <c r="J174" s="251"/>
      <c r="K174" s="251"/>
      <c r="L174" s="251"/>
      <c r="M174" s="251"/>
      <c r="N174" s="251"/>
      <c r="O174" s="251">
        <f t="shared" si="29"/>
        <v>14</v>
      </c>
      <c r="P174" s="362">
        <f>180.03*1.245</f>
        <v>224.13735000000003</v>
      </c>
      <c r="Q174" s="253">
        <f t="shared" si="30"/>
        <v>3137.92</v>
      </c>
      <c r="R174" s="254" t="s">
        <v>2659</v>
      </c>
      <c r="S174" s="266"/>
    </row>
    <row r="175" spans="1:20" s="254" customFormat="1" ht="21.95" customHeight="1">
      <c r="A175" s="247" t="s">
        <v>2349</v>
      </c>
      <c r="B175" s="248" t="s">
        <v>2506</v>
      </c>
      <c r="C175" s="265" t="s">
        <v>2304</v>
      </c>
      <c r="D175" s="250" t="s">
        <v>418</v>
      </c>
      <c r="E175" s="820"/>
      <c r="F175" s="251"/>
      <c r="G175" s="251"/>
      <c r="H175" s="251"/>
      <c r="I175" s="251"/>
      <c r="J175" s="251"/>
      <c r="K175" s="251"/>
      <c r="L175" s="251"/>
      <c r="M175" s="251"/>
      <c r="N175" s="251">
        <v>8</v>
      </c>
      <c r="O175" s="251">
        <f t="shared" si="29"/>
        <v>8</v>
      </c>
      <c r="P175" s="362">
        <f>67.79*1.245</f>
        <v>84.398550000000014</v>
      </c>
      <c r="Q175" s="253">
        <f t="shared" si="30"/>
        <v>675.18</v>
      </c>
      <c r="R175" s="254" t="s">
        <v>2659</v>
      </c>
      <c r="S175" s="266"/>
    </row>
    <row r="176" spans="1:20" s="254" customFormat="1" ht="21.95" customHeight="1">
      <c r="A176" s="247" t="s">
        <v>2350</v>
      </c>
      <c r="B176" s="248" t="s">
        <v>2505</v>
      </c>
      <c r="C176" s="265" t="s">
        <v>2305</v>
      </c>
      <c r="D176" s="250" t="s">
        <v>418</v>
      </c>
      <c r="E176" s="820"/>
      <c r="F176" s="251"/>
      <c r="G176" s="251"/>
      <c r="H176" s="251"/>
      <c r="I176" s="251"/>
      <c r="J176" s="251"/>
      <c r="K176" s="251"/>
      <c r="L176" s="251"/>
      <c r="M176" s="251"/>
      <c r="N176" s="251">
        <v>48.15</v>
      </c>
      <c r="O176" s="251">
        <f t="shared" si="29"/>
        <v>48.15</v>
      </c>
      <c r="P176" s="362">
        <f>34.2*1.245</f>
        <v>42.579000000000008</v>
      </c>
      <c r="Q176" s="253">
        <f t="shared" si="30"/>
        <v>2050.17</v>
      </c>
      <c r="R176" s="254" t="s">
        <v>2659</v>
      </c>
      <c r="S176" s="266"/>
    </row>
    <row r="177" spans="1:19" s="254" customFormat="1" ht="21.95" customHeight="1">
      <c r="A177" s="247" t="s">
        <v>2351</v>
      </c>
      <c r="B177" s="248" t="s">
        <v>2504</v>
      </c>
      <c r="C177" s="265" t="s">
        <v>2306</v>
      </c>
      <c r="D177" s="250" t="s">
        <v>418</v>
      </c>
      <c r="E177" s="820"/>
      <c r="F177" s="251"/>
      <c r="G177" s="251"/>
      <c r="H177" s="251"/>
      <c r="I177" s="251"/>
      <c r="J177" s="251"/>
      <c r="K177" s="251"/>
      <c r="L177" s="251"/>
      <c r="M177" s="251"/>
      <c r="N177" s="251">
        <v>55.85</v>
      </c>
      <c r="O177" s="251">
        <f t="shared" si="29"/>
        <v>55.85</v>
      </c>
      <c r="P177" s="362">
        <f>12.81*1.245</f>
        <v>15.948450000000001</v>
      </c>
      <c r="Q177" s="253">
        <f t="shared" si="30"/>
        <v>890.72</v>
      </c>
      <c r="R177" s="254" t="s">
        <v>2659</v>
      </c>
      <c r="S177" s="266"/>
    </row>
    <row r="178" spans="1:19" s="254" customFormat="1" ht="21.95" customHeight="1">
      <c r="A178" s="247" t="s">
        <v>2352</v>
      </c>
      <c r="B178" s="248" t="s">
        <v>2503</v>
      </c>
      <c r="C178" s="265" t="s">
        <v>2307</v>
      </c>
      <c r="D178" s="250" t="s">
        <v>418</v>
      </c>
      <c r="E178" s="820"/>
      <c r="F178" s="251"/>
      <c r="G178" s="251"/>
      <c r="H178" s="251"/>
      <c r="I178" s="251"/>
      <c r="J178" s="251"/>
      <c r="K178" s="251"/>
      <c r="L178" s="251"/>
      <c r="M178" s="251"/>
      <c r="N178" s="251">
        <v>22.85</v>
      </c>
      <c r="O178" s="251">
        <f t="shared" si="29"/>
        <v>22.85</v>
      </c>
      <c r="P178" s="362">
        <f>10.36*1.245</f>
        <v>12.898200000000001</v>
      </c>
      <c r="Q178" s="253">
        <f t="shared" si="30"/>
        <v>294.72000000000003</v>
      </c>
      <c r="R178" s="254" t="s">
        <v>2659</v>
      </c>
      <c r="S178" s="266"/>
    </row>
    <row r="179" spans="1:19" s="254" customFormat="1" ht="21.95" customHeight="1">
      <c r="A179" s="247" t="s">
        <v>2353</v>
      </c>
      <c r="B179" s="248" t="s">
        <v>2502</v>
      </c>
      <c r="C179" s="265" t="s">
        <v>2309</v>
      </c>
      <c r="D179" s="250" t="s">
        <v>418</v>
      </c>
      <c r="E179" s="820"/>
      <c r="F179" s="251"/>
      <c r="G179" s="251"/>
      <c r="H179" s="251"/>
      <c r="I179" s="251"/>
      <c r="J179" s="251"/>
      <c r="K179" s="251"/>
      <c r="L179" s="251"/>
      <c r="M179" s="251"/>
      <c r="N179" s="251">
        <v>8.6999999999999993</v>
      </c>
      <c r="O179" s="251">
        <f t="shared" si="29"/>
        <v>8.6999999999999993</v>
      </c>
      <c r="P179" s="362">
        <f>22.34*1.245</f>
        <v>27.813300000000002</v>
      </c>
      <c r="Q179" s="253">
        <f t="shared" si="30"/>
        <v>241.97</v>
      </c>
      <c r="R179" s="254" t="s">
        <v>2659</v>
      </c>
      <c r="S179" s="266"/>
    </row>
    <row r="180" spans="1:19" s="254" customFormat="1" ht="21.95" customHeight="1">
      <c r="A180" s="247" t="s">
        <v>2354</v>
      </c>
      <c r="B180" s="248" t="s">
        <v>2501</v>
      </c>
      <c r="C180" s="265" t="s">
        <v>2308</v>
      </c>
      <c r="D180" s="250" t="s">
        <v>418</v>
      </c>
      <c r="E180" s="820"/>
      <c r="F180" s="251"/>
      <c r="G180" s="251"/>
      <c r="H180" s="251"/>
      <c r="I180" s="251"/>
      <c r="J180" s="251"/>
      <c r="K180" s="251"/>
      <c r="L180" s="251"/>
      <c r="M180" s="251"/>
      <c r="N180" s="251">
        <v>225.8</v>
      </c>
      <c r="O180" s="251">
        <f t="shared" si="29"/>
        <v>225.8</v>
      </c>
      <c r="P180" s="362">
        <f>16.3*1.245</f>
        <v>20.293500000000002</v>
      </c>
      <c r="Q180" s="253">
        <f t="shared" si="30"/>
        <v>4582.2700000000004</v>
      </c>
      <c r="R180" s="254" t="s">
        <v>2659</v>
      </c>
      <c r="S180" s="266"/>
    </row>
    <row r="181" spans="1:19" s="254" customFormat="1" ht="24.75" customHeight="1">
      <c r="A181" s="1245"/>
      <c r="B181" s="1250"/>
      <c r="C181" s="1257" t="s">
        <v>3050</v>
      </c>
      <c r="D181" s="391"/>
      <c r="E181" s="835"/>
      <c r="F181" s="392"/>
      <c r="G181" s="392"/>
      <c r="H181" s="392"/>
      <c r="I181" s="392"/>
      <c r="J181" s="392"/>
      <c r="K181" s="392"/>
      <c r="L181" s="392"/>
      <c r="M181" s="392"/>
      <c r="N181" s="392"/>
      <c r="O181" s="392"/>
      <c r="P181" s="883"/>
      <c r="Q181" s="1262">
        <f>SUM(Q166:Q180)</f>
        <v>80853.22</v>
      </c>
      <c r="S181" s="266"/>
    </row>
    <row r="182" spans="1:19" s="254" customFormat="1" ht="21.95" customHeight="1">
      <c r="A182" s="309" t="s">
        <v>1196</v>
      </c>
      <c r="B182" s="380"/>
      <c r="C182" s="305" t="s">
        <v>1217</v>
      </c>
      <c r="D182" s="391"/>
      <c r="E182" s="835"/>
      <c r="F182" s="392"/>
      <c r="G182" s="392"/>
      <c r="H182" s="392"/>
      <c r="I182" s="392"/>
      <c r="J182" s="392"/>
      <c r="K182" s="392"/>
      <c r="L182" s="392"/>
      <c r="M182" s="392"/>
      <c r="N182" s="392"/>
      <c r="O182" s="392"/>
      <c r="P182" s="393"/>
      <c r="Q182" s="394"/>
      <c r="S182" s="266"/>
    </row>
    <row r="183" spans="1:19" s="254" customFormat="1" ht="42.75" customHeight="1">
      <c r="A183" s="247" t="s">
        <v>1207</v>
      </c>
      <c r="B183" s="358" t="s">
        <v>2704</v>
      </c>
      <c r="C183" s="359" t="s">
        <v>1152</v>
      </c>
      <c r="D183" s="250" t="s">
        <v>1538</v>
      </c>
      <c r="E183" s="820"/>
      <c r="F183" s="251"/>
      <c r="G183" s="251"/>
      <c r="H183" s="251"/>
      <c r="I183" s="251"/>
      <c r="J183" s="251"/>
      <c r="K183" s="251"/>
      <c r="L183" s="251"/>
      <c r="M183" s="251"/>
      <c r="N183" s="251">
        <v>1</v>
      </c>
      <c r="O183" s="251">
        <f t="shared" si="29"/>
        <v>1</v>
      </c>
      <c r="P183" s="362">
        <f>COMPOSIÇÕES!B1552</f>
        <v>22467.979650000001</v>
      </c>
      <c r="Q183" s="253">
        <f t="shared" si="30"/>
        <v>22467.97</v>
      </c>
      <c r="R183" s="1060" t="s">
        <v>1602</v>
      </c>
      <c r="S183" s="266"/>
    </row>
    <row r="184" spans="1:19" s="254" customFormat="1" ht="54" customHeight="1">
      <c r="A184" s="247" t="s">
        <v>1208</v>
      </c>
      <c r="B184" s="358" t="s">
        <v>3203</v>
      </c>
      <c r="C184" s="359" t="s">
        <v>2667</v>
      </c>
      <c r="D184" s="250" t="s">
        <v>1538</v>
      </c>
      <c r="E184" s="820"/>
      <c r="F184" s="251"/>
      <c r="G184" s="251"/>
      <c r="H184" s="251"/>
      <c r="I184" s="251"/>
      <c r="J184" s="251"/>
      <c r="K184" s="251"/>
      <c r="L184" s="251"/>
      <c r="M184" s="251"/>
      <c r="N184" s="251">
        <v>2</v>
      </c>
      <c r="O184" s="251">
        <f t="shared" si="29"/>
        <v>2</v>
      </c>
      <c r="P184" s="362">
        <v>9138.15</v>
      </c>
      <c r="Q184" s="253">
        <f t="shared" si="30"/>
        <v>18276.3</v>
      </c>
      <c r="R184" s="1060" t="s">
        <v>2659</v>
      </c>
      <c r="S184" s="266"/>
    </row>
    <row r="185" spans="1:19" s="254" customFormat="1" ht="27" customHeight="1">
      <c r="A185" s="1245"/>
      <c r="B185" s="1244"/>
      <c r="C185" s="1243" t="s">
        <v>3049</v>
      </c>
      <c r="D185" s="391"/>
      <c r="E185" s="835"/>
      <c r="F185" s="392"/>
      <c r="G185" s="392"/>
      <c r="H185" s="392"/>
      <c r="I185" s="392"/>
      <c r="J185" s="392"/>
      <c r="K185" s="392"/>
      <c r="L185" s="392"/>
      <c r="M185" s="392"/>
      <c r="N185" s="392"/>
      <c r="O185" s="392"/>
      <c r="P185" s="883"/>
      <c r="Q185" s="1262">
        <f>SUM(Q183:Q184)</f>
        <v>40744.270000000004</v>
      </c>
      <c r="R185" s="1060"/>
      <c r="S185" s="266"/>
    </row>
    <row r="186" spans="1:19" s="254" customFormat="1" ht="24.75" customHeight="1">
      <c r="A186" s="309" t="s">
        <v>1209</v>
      </c>
      <c r="B186" s="380"/>
      <c r="C186" s="305" t="s">
        <v>1197</v>
      </c>
      <c r="D186" s="366"/>
      <c r="E186" s="822"/>
      <c r="F186" s="368"/>
      <c r="G186" s="368"/>
      <c r="H186" s="368"/>
      <c r="I186" s="368"/>
      <c r="J186" s="368"/>
      <c r="K186" s="368"/>
      <c r="L186" s="368"/>
      <c r="M186" s="368"/>
      <c r="N186" s="368"/>
      <c r="O186" s="368"/>
      <c r="P186" s="369"/>
      <c r="Q186" s="370"/>
      <c r="S186" s="266"/>
    </row>
    <row r="187" spans="1:19" s="254" customFormat="1" ht="28.5" customHeight="1">
      <c r="A187" s="247" t="s">
        <v>1211</v>
      </c>
      <c r="B187" s="395" t="s">
        <v>311</v>
      </c>
      <c r="C187" s="265" t="s">
        <v>310</v>
      </c>
      <c r="D187" s="256" t="s">
        <v>1538</v>
      </c>
      <c r="E187" s="820">
        <v>14</v>
      </c>
      <c r="F187" s="820"/>
      <c r="G187" s="251"/>
      <c r="H187" s="251">
        <v>2</v>
      </c>
      <c r="I187" s="251"/>
      <c r="J187" s="251"/>
      <c r="K187" s="251"/>
      <c r="L187" s="251"/>
      <c r="M187" s="251"/>
      <c r="N187" s="251"/>
      <c r="O187" s="251">
        <f t="shared" si="29"/>
        <v>16</v>
      </c>
      <c r="P187" s="252">
        <f>COMPOSIÇÕES!B2046</f>
        <v>384.68009999999992</v>
      </c>
      <c r="Q187" s="253">
        <f t="shared" si="30"/>
        <v>6154.88</v>
      </c>
      <c r="R187" s="1061" t="s">
        <v>1602</v>
      </c>
      <c r="S187" s="266"/>
    </row>
    <row r="188" spans="1:19" s="254" customFormat="1" ht="30.75" customHeight="1">
      <c r="A188" s="247" t="s">
        <v>2923</v>
      </c>
      <c r="B188" s="395" t="s">
        <v>316</v>
      </c>
      <c r="C188" s="265" t="s">
        <v>315</v>
      </c>
      <c r="D188" s="256" t="s">
        <v>1538</v>
      </c>
      <c r="E188" s="820">
        <f>2+1+1+(2*7)+8+6</f>
        <v>32</v>
      </c>
      <c r="F188" s="251"/>
      <c r="G188" s="251"/>
      <c r="H188" s="251">
        <v>11</v>
      </c>
      <c r="I188" s="251"/>
      <c r="J188" s="251"/>
      <c r="K188" s="251"/>
      <c r="L188" s="251"/>
      <c r="M188" s="251"/>
      <c r="N188" s="251"/>
      <c r="O188" s="251">
        <f t="shared" si="29"/>
        <v>43</v>
      </c>
      <c r="P188" s="252">
        <f>COMPOSIÇÕES!B2067</f>
        <v>216.00749999999999</v>
      </c>
      <c r="Q188" s="253">
        <f t="shared" si="30"/>
        <v>9288.32</v>
      </c>
      <c r="R188" s="1061" t="s">
        <v>1602</v>
      </c>
      <c r="S188" s="266"/>
    </row>
    <row r="189" spans="1:19" s="254" customFormat="1" ht="24" customHeight="1">
      <c r="A189" s="247" t="s">
        <v>1212</v>
      </c>
      <c r="B189" s="248" t="s">
        <v>2558</v>
      </c>
      <c r="C189" s="265" t="s">
        <v>2804</v>
      </c>
      <c r="D189" s="256" t="s">
        <v>1538</v>
      </c>
      <c r="E189" s="820">
        <v>4</v>
      </c>
      <c r="F189" s="251"/>
      <c r="G189" s="251"/>
      <c r="H189" s="251">
        <v>2</v>
      </c>
      <c r="I189" s="251"/>
      <c r="J189" s="251"/>
      <c r="K189" s="251"/>
      <c r="L189" s="251"/>
      <c r="M189" s="251"/>
      <c r="N189" s="251"/>
      <c r="O189" s="251">
        <f t="shared" si="29"/>
        <v>6</v>
      </c>
      <c r="P189" s="252">
        <f>47.87*1.245</f>
        <v>59.598150000000004</v>
      </c>
      <c r="Q189" s="253">
        <f t="shared" si="30"/>
        <v>357.58</v>
      </c>
      <c r="R189" s="254" t="s">
        <v>2659</v>
      </c>
      <c r="S189" s="266"/>
    </row>
    <row r="190" spans="1:19" s="254" customFormat="1" ht="24" customHeight="1">
      <c r="A190" s="247" t="s">
        <v>1213</v>
      </c>
      <c r="B190" s="248" t="s">
        <v>2547</v>
      </c>
      <c r="C190" s="265" t="s">
        <v>2805</v>
      </c>
      <c r="D190" s="256" t="s">
        <v>1538</v>
      </c>
      <c r="E190" s="820"/>
      <c r="F190" s="251"/>
      <c r="G190" s="251"/>
      <c r="H190" s="251">
        <v>2</v>
      </c>
      <c r="I190" s="251"/>
      <c r="J190" s="251"/>
      <c r="K190" s="251"/>
      <c r="L190" s="251"/>
      <c r="M190" s="251"/>
      <c r="N190" s="251"/>
      <c r="O190" s="251">
        <f t="shared" si="29"/>
        <v>2</v>
      </c>
      <c r="P190" s="252">
        <f>8.08*1.245</f>
        <v>10.059600000000001</v>
      </c>
      <c r="Q190" s="253">
        <f t="shared" si="30"/>
        <v>20.11</v>
      </c>
      <c r="R190" s="254" t="s">
        <v>2659</v>
      </c>
      <c r="S190" s="266"/>
    </row>
    <row r="191" spans="1:19" s="254" customFormat="1" ht="63" customHeight="1">
      <c r="A191" s="247" t="s">
        <v>1227</v>
      </c>
      <c r="B191" s="248" t="s">
        <v>3204</v>
      </c>
      <c r="C191" s="873" t="s">
        <v>2713</v>
      </c>
      <c r="D191" s="256" t="s">
        <v>1538</v>
      </c>
      <c r="E191" s="820"/>
      <c r="F191" s="251"/>
      <c r="G191" s="251"/>
      <c r="H191" s="251">
        <v>1</v>
      </c>
      <c r="I191" s="251"/>
      <c r="J191" s="251"/>
      <c r="K191" s="251"/>
      <c r="L191" s="251"/>
      <c r="M191" s="251"/>
      <c r="N191" s="251"/>
      <c r="O191" s="251">
        <f t="shared" si="29"/>
        <v>1</v>
      </c>
      <c r="P191" s="362">
        <f>1102.99*1.245</f>
        <v>1373.2225500000002</v>
      </c>
      <c r="Q191" s="253">
        <f t="shared" si="30"/>
        <v>1373.22</v>
      </c>
      <c r="R191" s="1061" t="s">
        <v>2659</v>
      </c>
      <c r="S191" s="266"/>
    </row>
    <row r="192" spans="1:19" s="254" customFormat="1" ht="21.95" customHeight="1">
      <c r="A192" s="247" t="s">
        <v>1228</v>
      </c>
      <c r="B192" s="248" t="s">
        <v>2877</v>
      </c>
      <c r="C192" s="265" t="s">
        <v>2318</v>
      </c>
      <c r="D192" s="256" t="s">
        <v>1538</v>
      </c>
      <c r="E192" s="820"/>
      <c r="F192" s="251"/>
      <c r="G192" s="251"/>
      <c r="H192" s="251"/>
      <c r="I192" s="251"/>
      <c r="J192" s="251"/>
      <c r="K192" s="251"/>
      <c r="L192" s="251"/>
      <c r="M192" s="251"/>
      <c r="N192" s="251">
        <v>4</v>
      </c>
      <c r="O192" s="251">
        <f t="shared" si="29"/>
        <v>4</v>
      </c>
      <c r="P192" s="252">
        <f>134.16*1.245</f>
        <v>167.0292</v>
      </c>
      <c r="Q192" s="253">
        <f t="shared" si="30"/>
        <v>668.11</v>
      </c>
      <c r="R192" s="254" t="s">
        <v>2659</v>
      </c>
      <c r="S192" s="266"/>
    </row>
    <row r="193" spans="1:19" s="254" customFormat="1" ht="21.95" customHeight="1">
      <c r="A193" s="247" t="s">
        <v>2924</v>
      </c>
      <c r="B193" s="248" t="s">
        <v>2878</v>
      </c>
      <c r="C193" s="265" t="s">
        <v>2378</v>
      </c>
      <c r="D193" s="256" t="s">
        <v>1538</v>
      </c>
      <c r="E193" s="820"/>
      <c r="F193" s="251"/>
      <c r="G193" s="251"/>
      <c r="H193" s="251"/>
      <c r="I193" s="251"/>
      <c r="J193" s="251"/>
      <c r="K193" s="251"/>
      <c r="L193" s="251"/>
      <c r="M193" s="251"/>
      <c r="N193" s="251">
        <v>1</v>
      </c>
      <c r="O193" s="251">
        <f t="shared" si="29"/>
        <v>1</v>
      </c>
      <c r="P193" s="252">
        <f>212.92*1.245</f>
        <v>265.08539999999999</v>
      </c>
      <c r="Q193" s="253">
        <f t="shared" si="30"/>
        <v>265.08</v>
      </c>
      <c r="R193" s="254" t="s">
        <v>2659</v>
      </c>
      <c r="S193" s="266"/>
    </row>
    <row r="194" spans="1:19" s="254" customFormat="1" ht="21.95" customHeight="1">
      <c r="A194" s="247" t="s">
        <v>1229</v>
      </c>
      <c r="B194" s="248" t="s">
        <v>2878</v>
      </c>
      <c r="C194" s="265" t="s">
        <v>2379</v>
      </c>
      <c r="D194" s="256" t="s">
        <v>1538</v>
      </c>
      <c r="E194" s="820"/>
      <c r="F194" s="251"/>
      <c r="G194" s="251"/>
      <c r="H194" s="251"/>
      <c r="I194" s="251"/>
      <c r="J194" s="251"/>
      <c r="K194" s="251"/>
      <c r="L194" s="251"/>
      <c r="M194" s="251"/>
      <c r="N194" s="251">
        <v>2</v>
      </c>
      <c r="O194" s="251">
        <f t="shared" si="29"/>
        <v>2</v>
      </c>
      <c r="P194" s="252">
        <f>212.92*1.245</f>
        <v>265.08539999999999</v>
      </c>
      <c r="Q194" s="253">
        <f t="shared" si="30"/>
        <v>530.16999999999996</v>
      </c>
      <c r="R194" s="254" t="s">
        <v>2659</v>
      </c>
      <c r="S194" s="266"/>
    </row>
    <row r="195" spans="1:19" s="254" customFormat="1" ht="21.95" customHeight="1">
      <c r="A195" s="247" t="s">
        <v>2355</v>
      </c>
      <c r="B195" s="248" t="s">
        <v>2879</v>
      </c>
      <c r="C195" s="265" t="s">
        <v>2319</v>
      </c>
      <c r="D195" s="256" t="s">
        <v>1538</v>
      </c>
      <c r="E195" s="820"/>
      <c r="F195" s="251"/>
      <c r="G195" s="251"/>
      <c r="H195" s="251"/>
      <c r="I195" s="251"/>
      <c r="J195" s="251"/>
      <c r="K195" s="251"/>
      <c r="L195" s="251"/>
      <c r="M195" s="251"/>
      <c r="N195" s="251">
        <v>1</v>
      </c>
      <c r="O195" s="251">
        <f t="shared" si="29"/>
        <v>1</v>
      </c>
      <c r="P195" s="252">
        <f>682.21*1.245</f>
        <v>849.35145000000011</v>
      </c>
      <c r="Q195" s="253">
        <f t="shared" si="30"/>
        <v>849.35</v>
      </c>
      <c r="R195" s="254" t="s">
        <v>2659</v>
      </c>
      <c r="S195" s="266"/>
    </row>
    <row r="196" spans="1:19" s="254" customFormat="1" ht="21.95" customHeight="1">
      <c r="A196" s="247" t="s">
        <v>2356</v>
      </c>
      <c r="B196" s="248" t="s">
        <v>2878</v>
      </c>
      <c r="C196" s="265" t="s">
        <v>2371</v>
      </c>
      <c r="D196" s="256" t="s">
        <v>1538</v>
      </c>
      <c r="E196" s="820"/>
      <c r="F196" s="251"/>
      <c r="G196" s="251"/>
      <c r="H196" s="251"/>
      <c r="I196" s="251"/>
      <c r="J196" s="251"/>
      <c r="K196" s="251"/>
      <c r="L196" s="251"/>
      <c r="M196" s="251"/>
      <c r="N196" s="251">
        <v>1</v>
      </c>
      <c r="O196" s="251">
        <f t="shared" si="29"/>
        <v>1</v>
      </c>
      <c r="P196" s="252">
        <f>212.92*1.245</f>
        <v>265.08539999999999</v>
      </c>
      <c r="Q196" s="253">
        <f t="shared" si="30"/>
        <v>265.08</v>
      </c>
      <c r="R196" s="254" t="s">
        <v>2659</v>
      </c>
      <c r="S196" s="266"/>
    </row>
    <row r="197" spans="1:19" s="254" customFormat="1" ht="21.95" customHeight="1">
      <c r="A197" s="247" t="s">
        <v>2357</v>
      </c>
      <c r="B197" s="248" t="s">
        <v>2878</v>
      </c>
      <c r="C197" s="265" t="s">
        <v>2372</v>
      </c>
      <c r="D197" s="256" t="s">
        <v>1538</v>
      </c>
      <c r="E197" s="820"/>
      <c r="F197" s="251"/>
      <c r="G197" s="251"/>
      <c r="H197" s="251"/>
      <c r="I197" s="251"/>
      <c r="J197" s="251"/>
      <c r="K197" s="251"/>
      <c r="L197" s="251"/>
      <c r="M197" s="251"/>
      <c r="N197" s="251">
        <v>1</v>
      </c>
      <c r="O197" s="251">
        <f t="shared" si="29"/>
        <v>1</v>
      </c>
      <c r="P197" s="252">
        <f>212.92*1.245</f>
        <v>265.08539999999999</v>
      </c>
      <c r="Q197" s="253">
        <f t="shared" si="30"/>
        <v>265.08</v>
      </c>
      <c r="R197" s="254" t="s">
        <v>2659</v>
      </c>
      <c r="S197" s="266"/>
    </row>
    <row r="198" spans="1:19" s="254" customFormat="1" ht="21.95" customHeight="1">
      <c r="A198" s="247" t="s">
        <v>2358</v>
      </c>
      <c r="B198" s="248" t="s">
        <v>2879</v>
      </c>
      <c r="C198" s="265" t="s">
        <v>2373</v>
      </c>
      <c r="D198" s="256" t="s">
        <v>1538</v>
      </c>
      <c r="E198" s="820"/>
      <c r="F198" s="251"/>
      <c r="G198" s="251"/>
      <c r="H198" s="251">
        <v>1</v>
      </c>
      <c r="I198" s="251"/>
      <c r="J198" s="251"/>
      <c r="K198" s="251"/>
      <c r="L198" s="251"/>
      <c r="M198" s="251"/>
      <c r="N198" s="251">
        <v>1</v>
      </c>
      <c r="O198" s="251">
        <f t="shared" si="29"/>
        <v>2</v>
      </c>
      <c r="P198" s="252">
        <f>682.21*1.245</f>
        <v>849.35145000000011</v>
      </c>
      <c r="Q198" s="253">
        <f t="shared" si="30"/>
        <v>1698.7</v>
      </c>
      <c r="R198" s="254" t="s">
        <v>2659</v>
      </c>
      <c r="S198" s="266"/>
    </row>
    <row r="199" spans="1:19" s="254" customFormat="1" ht="21.95" customHeight="1">
      <c r="A199" s="247" t="s">
        <v>2359</v>
      </c>
      <c r="B199" s="248" t="s">
        <v>2556</v>
      </c>
      <c r="C199" s="265" t="s">
        <v>2374</v>
      </c>
      <c r="D199" s="256" t="s">
        <v>1538</v>
      </c>
      <c r="E199" s="820"/>
      <c r="F199" s="251"/>
      <c r="G199" s="251"/>
      <c r="H199" s="251"/>
      <c r="I199" s="251"/>
      <c r="J199" s="251"/>
      <c r="K199" s="251"/>
      <c r="L199" s="251"/>
      <c r="M199" s="251"/>
      <c r="N199" s="251">
        <v>2</v>
      </c>
      <c r="O199" s="251">
        <f t="shared" si="29"/>
        <v>2</v>
      </c>
      <c r="P199" s="252">
        <f>419.4*1.245</f>
        <v>522.15300000000002</v>
      </c>
      <c r="Q199" s="253">
        <f t="shared" si="30"/>
        <v>1044.3</v>
      </c>
      <c r="R199" s="254" t="s">
        <v>2659</v>
      </c>
      <c r="S199" s="266"/>
    </row>
    <row r="200" spans="1:19" s="254" customFormat="1" ht="21.95" customHeight="1">
      <c r="A200" s="247" t="s">
        <v>2360</v>
      </c>
      <c r="B200" s="248" t="s">
        <v>2556</v>
      </c>
      <c r="C200" s="265" t="s">
        <v>2375</v>
      </c>
      <c r="D200" s="256" t="s">
        <v>1538</v>
      </c>
      <c r="E200" s="820"/>
      <c r="F200" s="251"/>
      <c r="G200" s="251"/>
      <c r="H200" s="251"/>
      <c r="I200" s="251"/>
      <c r="J200" s="251"/>
      <c r="K200" s="251"/>
      <c r="L200" s="251"/>
      <c r="M200" s="251"/>
      <c r="N200" s="251">
        <v>1</v>
      </c>
      <c r="O200" s="251">
        <f t="shared" si="29"/>
        <v>1</v>
      </c>
      <c r="P200" s="252">
        <f>419.4*1.245</f>
        <v>522.15300000000002</v>
      </c>
      <c r="Q200" s="253">
        <f t="shared" si="30"/>
        <v>522.15</v>
      </c>
      <c r="R200" s="254" t="s">
        <v>2659</v>
      </c>
      <c r="S200" s="266"/>
    </row>
    <row r="201" spans="1:19" s="254" customFormat="1" ht="21.95" customHeight="1">
      <c r="A201" s="247" t="s">
        <v>2361</v>
      </c>
      <c r="B201" s="248" t="s">
        <v>2557</v>
      </c>
      <c r="C201" s="265" t="s">
        <v>2376</v>
      </c>
      <c r="D201" s="256" t="s">
        <v>1538</v>
      </c>
      <c r="E201" s="820"/>
      <c r="F201" s="251"/>
      <c r="G201" s="251"/>
      <c r="H201" s="251"/>
      <c r="I201" s="251"/>
      <c r="J201" s="251"/>
      <c r="K201" s="251"/>
      <c r="L201" s="251"/>
      <c r="M201" s="251"/>
      <c r="N201" s="251">
        <v>1</v>
      </c>
      <c r="O201" s="251">
        <f t="shared" si="29"/>
        <v>1</v>
      </c>
      <c r="P201" s="252">
        <f>578.8*1.245</f>
        <v>720.60599999999999</v>
      </c>
      <c r="Q201" s="253">
        <f t="shared" si="30"/>
        <v>720.6</v>
      </c>
      <c r="R201" s="254" t="s">
        <v>2659</v>
      </c>
      <c r="S201" s="266"/>
    </row>
    <row r="202" spans="1:19" s="254" customFormat="1" ht="21.95" customHeight="1">
      <c r="A202" s="247" t="s">
        <v>2362</v>
      </c>
      <c r="B202" s="248" t="s">
        <v>2879</v>
      </c>
      <c r="C202" s="265" t="s">
        <v>2377</v>
      </c>
      <c r="D202" s="256" t="s">
        <v>1538</v>
      </c>
      <c r="E202" s="820"/>
      <c r="F202" s="251"/>
      <c r="G202" s="251"/>
      <c r="H202" s="251"/>
      <c r="I202" s="251"/>
      <c r="J202" s="251"/>
      <c r="K202" s="251"/>
      <c r="L202" s="251"/>
      <c r="M202" s="251"/>
      <c r="N202" s="251">
        <v>1</v>
      </c>
      <c r="O202" s="251">
        <f t="shared" si="29"/>
        <v>1</v>
      </c>
      <c r="P202" s="252">
        <f>682.21*1.245</f>
        <v>849.35145000000011</v>
      </c>
      <c r="Q202" s="253">
        <f t="shared" si="30"/>
        <v>849.35</v>
      </c>
      <c r="R202" s="254" t="s">
        <v>2659</v>
      </c>
      <c r="S202" s="266"/>
    </row>
    <row r="203" spans="1:19" s="254" customFormat="1" ht="21.95" customHeight="1">
      <c r="A203" s="247" t="s">
        <v>2363</v>
      </c>
      <c r="B203" s="248" t="s">
        <v>2551</v>
      </c>
      <c r="C203" s="265" t="s">
        <v>2313</v>
      </c>
      <c r="D203" s="256" t="s">
        <v>418</v>
      </c>
      <c r="E203" s="820"/>
      <c r="F203" s="251"/>
      <c r="G203" s="251"/>
      <c r="H203" s="251"/>
      <c r="I203" s="251"/>
      <c r="J203" s="251"/>
      <c r="K203" s="251"/>
      <c r="L203" s="251"/>
      <c r="M203" s="251"/>
      <c r="N203" s="251">
        <v>70.06</v>
      </c>
      <c r="O203" s="251">
        <f t="shared" si="29"/>
        <v>70.06</v>
      </c>
      <c r="P203" s="252">
        <f>34*1.245</f>
        <v>42.330000000000005</v>
      </c>
      <c r="Q203" s="253">
        <f t="shared" si="30"/>
        <v>2965.63</v>
      </c>
      <c r="R203" s="254" t="s">
        <v>2659</v>
      </c>
      <c r="S203" s="266"/>
    </row>
    <row r="204" spans="1:19" s="254" customFormat="1" ht="21.95" customHeight="1">
      <c r="A204" s="247" t="s">
        <v>2364</v>
      </c>
      <c r="B204" s="248" t="s">
        <v>2553</v>
      </c>
      <c r="C204" s="265" t="s">
        <v>2314</v>
      </c>
      <c r="D204" s="256" t="s">
        <v>418</v>
      </c>
      <c r="E204" s="820"/>
      <c r="F204" s="251"/>
      <c r="G204" s="251"/>
      <c r="H204" s="251"/>
      <c r="I204" s="251"/>
      <c r="J204" s="251"/>
      <c r="K204" s="251"/>
      <c r="L204" s="251"/>
      <c r="M204" s="251"/>
      <c r="N204" s="251">
        <v>93.33</v>
      </c>
      <c r="O204" s="251">
        <f t="shared" si="29"/>
        <v>93.33</v>
      </c>
      <c r="P204" s="252">
        <f>38.82*1.245</f>
        <v>48.330900000000007</v>
      </c>
      <c r="Q204" s="253">
        <f t="shared" si="30"/>
        <v>4510.72</v>
      </c>
      <c r="R204" s="254" t="s">
        <v>2659</v>
      </c>
      <c r="S204" s="266"/>
    </row>
    <row r="205" spans="1:19" s="254" customFormat="1" ht="21.95" customHeight="1">
      <c r="A205" s="247" t="s">
        <v>2365</v>
      </c>
      <c r="B205" s="248" t="s">
        <v>2554</v>
      </c>
      <c r="C205" s="265" t="s">
        <v>2315</v>
      </c>
      <c r="D205" s="256" t="s">
        <v>418</v>
      </c>
      <c r="E205" s="820"/>
      <c r="F205" s="251"/>
      <c r="G205" s="251"/>
      <c r="H205" s="251"/>
      <c r="I205" s="251"/>
      <c r="J205" s="251"/>
      <c r="K205" s="251"/>
      <c r="L205" s="251"/>
      <c r="M205" s="251"/>
      <c r="N205" s="251">
        <v>8.15</v>
      </c>
      <c r="O205" s="251">
        <f t="shared" si="29"/>
        <v>8.15</v>
      </c>
      <c r="P205" s="252">
        <f>29.92*1.245</f>
        <v>37.250400000000006</v>
      </c>
      <c r="Q205" s="253">
        <f t="shared" si="30"/>
        <v>303.58999999999997</v>
      </c>
      <c r="R205" s="254" t="s">
        <v>2659</v>
      </c>
      <c r="S205" s="266"/>
    </row>
    <row r="206" spans="1:19" s="254" customFormat="1" ht="21.95" customHeight="1">
      <c r="A206" s="247" t="s">
        <v>2366</v>
      </c>
      <c r="B206" s="248" t="s">
        <v>2552</v>
      </c>
      <c r="C206" s="265" t="s">
        <v>2316</v>
      </c>
      <c r="D206" s="256" t="s">
        <v>418</v>
      </c>
      <c r="E206" s="820"/>
      <c r="F206" s="251"/>
      <c r="G206" s="251"/>
      <c r="H206" s="251"/>
      <c r="I206" s="251"/>
      <c r="J206" s="251"/>
      <c r="K206" s="251"/>
      <c r="L206" s="251"/>
      <c r="M206" s="251"/>
      <c r="N206" s="251">
        <v>99.1</v>
      </c>
      <c r="O206" s="251">
        <f t="shared" si="29"/>
        <v>99.1</v>
      </c>
      <c r="P206" s="252">
        <f>13.75*1.245</f>
        <v>17.118750000000002</v>
      </c>
      <c r="Q206" s="253">
        <f t="shared" si="30"/>
        <v>1696.46</v>
      </c>
      <c r="R206" s="254" t="s">
        <v>2659</v>
      </c>
      <c r="S206" s="266"/>
    </row>
    <row r="207" spans="1:19" s="254" customFormat="1" ht="21.95" customHeight="1">
      <c r="A207" s="247" t="s">
        <v>2367</v>
      </c>
      <c r="B207" s="248" t="s">
        <v>2555</v>
      </c>
      <c r="C207" s="265" t="s">
        <v>2317</v>
      </c>
      <c r="D207" s="256" t="s">
        <v>418</v>
      </c>
      <c r="E207" s="820"/>
      <c r="F207" s="251"/>
      <c r="G207" s="251"/>
      <c r="H207" s="251"/>
      <c r="I207" s="251"/>
      <c r="J207" s="251"/>
      <c r="K207" s="251"/>
      <c r="L207" s="251"/>
      <c r="M207" s="251"/>
      <c r="N207" s="251">
        <v>12.7</v>
      </c>
      <c r="O207" s="251">
        <f t="shared" si="29"/>
        <v>12.7</v>
      </c>
      <c r="P207" s="252">
        <f>19.99*1.245</f>
        <v>24.887550000000001</v>
      </c>
      <c r="Q207" s="253">
        <f t="shared" si="30"/>
        <v>316.07</v>
      </c>
      <c r="R207" s="254" t="s">
        <v>2659</v>
      </c>
      <c r="S207" s="266"/>
    </row>
    <row r="208" spans="1:19" s="254" customFormat="1" ht="21.95" customHeight="1">
      <c r="A208" s="247" t="s">
        <v>2368</v>
      </c>
      <c r="B208" s="248" t="s">
        <v>2548</v>
      </c>
      <c r="C208" s="265" t="s">
        <v>2311</v>
      </c>
      <c r="D208" s="256" t="s">
        <v>1538</v>
      </c>
      <c r="E208" s="820"/>
      <c r="F208" s="251"/>
      <c r="G208" s="251"/>
      <c r="H208" s="251"/>
      <c r="I208" s="251"/>
      <c r="J208" s="251"/>
      <c r="K208" s="251"/>
      <c r="L208" s="251"/>
      <c r="M208" s="251"/>
      <c r="N208" s="251">
        <v>1</v>
      </c>
      <c r="O208" s="251">
        <f t="shared" si="29"/>
        <v>1</v>
      </c>
      <c r="P208" s="252">
        <f>10033.91*1.245</f>
        <v>12492.21795</v>
      </c>
      <c r="Q208" s="253">
        <f t="shared" si="30"/>
        <v>12492.21</v>
      </c>
      <c r="R208" s="254" t="s">
        <v>2659</v>
      </c>
      <c r="S208" s="266"/>
    </row>
    <row r="209" spans="1:19" s="254" customFormat="1" ht="21.95" customHeight="1">
      <c r="A209" s="247" t="s">
        <v>2369</v>
      </c>
      <c r="B209" s="248" t="s">
        <v>2549</v>
      </c>
      <c r="C209" s="265" t="s">
        <v>2312</v>
      </c>
      <c r="D209" s="256" t="s">
        <v>1538</v>
      </c>
      <c r="E209" s="820"/>
      <c r="F209" s="251"/>
      <c r="G209" s="251"/>
      <c r="H209" s="251"/>
      <c r="I209" s="251"/>
      <c r="J209" s="251"/>
      <c r="K209" s="251"/>
      <c r="L209" s="251"/>
      <c r="M209" s="251"/>
      <c r="N209" s="251">
        <v>1</v>
      </c>
      <c r="O209" s="251">
        <f t="shared" si="29"/>
        <v>1</v>
      </c>
      <c r="P209" s="252">
        <f>4205.85*1.245</f>
        <v>5236.2832500000013</v>
      </c>
      <c r="Q209" s="253">
        <f t="shared" si="30"/>
        <v>5236.28</v>
      </c>
      <c r="R209" s="254" t="s">
        <v>2659</v>
      </c>
      <c r="S209" s="266"/>
    </row>
    <row r="210" spans="1:19" s="254" customFormat="1" ht="21.95" customHeight="1">
      <c r="A210" s="247" t="s">
        <v>2370</v>
      </c>
      <c r="B210" s="248" t="s">
        <v>2550</v>
      </c>
      <c r="C210" s="265" t="s">
        <v>2310</v>
      </c>
      <c r="D210" s="256" t="s">
        <v>1538</v>
      </c>
      <c r="E210" s="820"/>
      <c r="F210" s="251"/>
      <c r="G210" s="251"/>
      <c r="H210" s="251"/>
      <c r="I210" s="251"/>
      <c r="J210" s="251"/>
      <c r="K210" s="251"/>
      <c r="L210" s="251"/>
      <c r="M210" s="251"/>
      <c r="N210" s="251">
        <v>1</v>
      </c>
      <c r="O210" s="251">
        <f t="shared" si="29"/>
        <v>1</v>
      </c>
      <c r="P210" s="252">
        <f>12547*1.245</f>
        <v>15621.015000000001</v>
      </c>
      <c r="Q210" s="253">
        <f t="shared" si="30"/>
        <v>15621.01</v>
      </c>
      <c r="R210" s="254" t="s">
        <v>2659</v>
      </c>
      <c r="S210" s="266"/>
    </row>
    <row r="211" spans="1:19" s="254" customFormat="1" ht="24.75" customHeight="1">
      <c r="A211" s="1245"/>
      <c r="B211" s="1256"/>
      <c r="C211" s="1260" t="s">
        <v>3048</v>
      </c>
      <c r="D211" s="391"/>
      <c r="E211" s="835"/>
      <c r="F211" s="392"/>
      <c r="G211" s="392"/>
      <c r="H211" s="392"/>
      <c r="I211" s="392"/>
      <c r="J211" s="392"/>
      <c r="K211" s="392"/>
      <c r="L211" s="392"/>
      <c r="M211" s="392"/>
      <c r="N211" s="392"/>
      <c r="O211" s="392"/>
      <c r="P211" s="393"/>
      <c r="Q211" s="1262">
        <f>SUM(Q187:Q210)</f>
        <v>68014.05</v>
      </c>
      <c r="S211" s="266"/>
    </row>
    <row r="212" spans="1:19" s="254" customFormat="1" ht="21.95" customHeight="1">
      <c r="A212" s="309" t="s">
        <v>1214</v>
      </c>
      <c r="B212" s="380"/>
      <c r="C212" s="305" t="s">
        <v>1210</v>
      </c>
      <c r="D212" s="366"/>
      <c r="E212" s="822"/>
      <c r="F212" s="368"/>
      <c r="G212" s="368"/>
      <c r="H212" s="368"/>
      <c r="I212" s="368"/>
      <c r="J212" s="368"/>
      <c r="K212" s="368"/>
      <c r="L212" s="368"/>
      <c r="M212" s="368"/>
      <c r="N212" s="368"/>
      <c r="O212" s="368"/>
      <c r="P212" s="369"/>
      <c r="Q212" s="370"/>
      <c r="S212" s="266"/>
    </row>
    <row r="213" spans="1:19" s="254" customFormat="1" ht="21.95" customHeight="1">
      <c r="A213" s="378" t="s">
        <v>1216</v>
      </c>
      <c r="B213" s="360" t="s">
        <v>2672</v>
      </c>
      <c r="C213" s="359" t="s">
        <v>2671</v>
      </c>
      <c r="D213" s="360" t="s">
        <v>1538</v>
      </c>
      <c r="E213" s="787"/>
      <c r="F213" s="361"/>
      <c r="G213" s="361"/>
      <c r="H213" s="361">
        <v>2</v>
      </c>
      <c r="I213" s="361"/>
      <c r="J213" s="361"/>
      <c r="K213" s="361"/>
      <c r="L213" s="361"/>
      <c r="M213" s="361"/>
      <c r="N213" s="361"/>
      <c r="O213" s="361">
        <f t="shared" ref="O213:O220" si="33">SUM(E213:N213)</f>
        <v>2</v>
      </c>
      <c r="P213" s="362">
        <f>5130.48*1.245</f>
        <v>6387.4476000000004</v>
      </c>
      <c r="Q213" s="375">
        <f t="shared" si="30"/>
        <v>12774.89</v>
      </c>
      <c r="R213" s="254" t="s">
        <v>2659</v>
      </c>
      <c r="S213" s="266"/>
    </row>
    <row r="214" spans="1:19" s="254" customFormat="1" ht="21.95" customHeight="1">
      <c r="A214" s="378" t="s">
        <v>1218</v>
      </c>
      <c r="B214" s="360" t="s">
        <v>2670</v>
      </c>
      <c r="C214" s="359" t="s">
        <v>2669</v>
      </c>
      <c r="D214" s="360" t="s">
        <v>1538</v>
      </c>
      <c r="E214" s="787">
        <f>2*10</f>
        <v>20</v>
      </c>
      <c r="F214" s="361"/>
      <c r="G214" s="361">
        <v>4</v>
      </c>
      <c r="H214" s="361"/>
      <c r="I214" s="361"/>
      <c r="J214" s="361"/>
      <c r="K214" s="361"/>
      <c r="L214" s="361"/>
      <c r="M214" s="361"/>
      <c r="N214" s="361"/>
      <c r="O214" s="361">
        <f t="shared" si="33"/>
        <v>24</v>
      </c>
      <c r="P214" s="362">
        <f>6517.63*1.245</f>
        <v>8114.4493500000008</v>
      </c>
      <c r="Q214" s="375">
        <f t="shared" si="30"/>
        <v>194746.78</v>
      </c>
      <c r="R214" s="254" t="s">
        <v>2659</v>
      </c>
      <c r="S214" s="266"/>
    </row>
    <row r="215" spans="1:19" s="254" customFormat="1" ht="21.95" customHeight="1">
      <c r="A215" s="378" t="s">
        <v>2418</v>
      </c>
      <c r="B215" s="360" t="s">
        <v>2502</v>
      </c>
      <c r="C215" s="359" t="s">
        <v>2423</v>
      </c>
      <c r="D215" s="360" t="s">
        <v>418</v>
      </c>
      <c r="E215" s="787">
        <f>memoria!H290</f>
        <v>70.400000000000006</v>
      </c>
      <c r="F215" s="361"/>
      <c r="G215" s="361"/>
      <c r="H215" s="361">
        <f>memoria!N290</f>
        <v>23.4</v>
      </c>
      <c r="I215" s="361"/>
      <c r="J215" s="361"/>
      <c r="K215" s="361"/>
      <c r="L215" s="361"/>
      <c r="M215" s="361"/>
      <c r="N215" s="361"/>
      <c r="O215" s="361">
        <f t="shared" si="33"/>
        <v>93.800000000000011</v>
      </c>
      <c r="P215" s="362">
        <f>22.34*1.245</f>
        <v>27.813300000000002</v>
      </c>
      <c r="Q215" s="375">
        <f t="shared" si="30"/>
        <v>2608.88</v>
      </c>
      <c r="R215" s="254" t="s">
        <v>2659</v>
      </c>
      <c r="S215" s="266"/>
    </row>
    <row r="216" spans="1:19" s="254" customFormat="1" ht="34.5" customHeight="1">
      <c r="A216" s="378" t="s">
        <v>2419</v>
      </c>
      <c r="B216" s="364" t="s">
        <v>474</v>
      </c>
      <c r="C216" s="359" t="s">
        <v>2384</v>
      </c>
      <c r="D216" s="360" t="s">
        <v>1398</v>
      </c>
      <c r="E216" s="787">
        <f>memoria!H292</f>
        <v>9.0486000000000004</v>
      </c>
      <c r="F216" s="361"/>
      <c r="G216" s="361"/>
      <c r="H216" s="361">
        <f>memoria!N292</f>
        <v>3.3210000000000002</v>
      </c>
      <c r="I216" s="361"/>
      <c r="J216" s="361"/>
      <c r="K216" s="361"/>
      <c r="L216" s="361"/>
      <c r="M216" s="361"/>
      <c r="N216" s="361"/>
      <c r="O216" s="361">
        <f t="shared" si="33"/>
        <v>12.3696</v>
      </c>
      <c r="P216" s="362">
        <f>COMPOSIÇÕES!B235</f>
        <v>77.115299999999991</v>
      </c>
      <c r="Q216" s="375">
        <f t="shared" si="30"/>
        <v>953.88</v>
      </c>
      <c r="R216" s="254" t="s">
        <v>1602</v>
      </c>
      <c r="S216" s="266"/>
    </row>
    <row r="217" spans="1:19" s="254" customFormat="1" ht="21.95" customHeight="1">
      <c r="A217" s="378" t="s">
        <v>2420</v>
      </c>
      <c r="B217" s="364" t="s">
        <v>2559</v>
      </c>
      <c r="C217" s="359" t="s">
        <v>2425</v>
      </c>
      <c r="D217" s="360" t="s">
        <v>1398</v>
      </c>
      <c r="E217" s="787">
        <f>memoria!H293</f>
        <v>1.5081</v>
      </c>
      <c r="F217" s="361"/>
      <c r="G217" s="361"/>
      <c r="H217" s="361">
        <f>memoria!N293</f>
        <v>0.5535000000000001</v>
      </c>
      <c r="I217" s="361"/>
      <c r="J217" s="361"/>
      <c r="K217" s="361"/>
      <c r="L217" s="361"/>
      <c r="M217" s="361"/>
      <c r="N217" s="361"/>
      <c r="O217" s="361">
        <f t="shared" si="33"/>
        <v>2.0616000000000003</v>
      </c>
      <c r="P217" s="362">
        <f>152.97*1.245</f>
        <v>190.44765000000001</v>
      </c>
      <c r="Q217" s="375">
        <f t="shared" si="30"/>
        <v>392.62</v>
      </c>
      <c r="R217" s="254" t="s">
        <v>2659</v>
      </c>
      <c r="S217" s="266"/>
    </row>
    <row r="218" spans="1:19" s="254" customFormat="1" ht="21.95" customHeight="1">
      <c r="A218" s="378" t="s">
        <v>2421</v>
      </c>
      <c r="B218" s="360" t="s">
        <v>2502</v>
      </c>
      <c r="C218" s="359" t="s">
        <v>2424</v>
      </c>
      <c r="D218" s="360" t="s">
        <v>418</v>
      </c>
      <c r="E218" s="787">
        <f>memoria!H289</f>
        <v>100.54</v>
      </c>
      <c r="F218" s="361"/>
      <c r="G218" s="361"/>
      <c r="H218" s="361">
        <f>memoria!N289</f>
        <v>36.900000000000006</v>
      </c>
      <c r="I218" s="361"/>
      <c r="J218" s="361"/>
      <c r="K218" s="361"/>
      <c r="L218" s="361"/>
      <c r="M218" s="361"/>
      <c r="N218" s="361"/>
      <c r="O218" s="361">
        <f t="shared" si="33"/>
        <v>137.44</v>
      </c>
      <c r="P218" s="362">
        <f>22.34*1.245</f>
        <v>27.813300000000002</v>
      </c>
      <c r="Q218" s="375">
        <f t="shared" si="30"/>
        <v>3822.65</v>
      </c>
      <c r="R218" s="254" t="s">
        <v>2659</v>
      </c>
      <c r="S218" s="266"/>
    </row>
    <row r="219" spans="1:19" s="254" customFormat="1" ht="21.95" customHeight="1">
      <c r="A219" s="378" t="s">
        <v>2422</v>
      </c>
      <c r="B219" s="364" t="s">
        <v>1154</v>
      </c>
      <c r="C219" s="265" t="s">
        <v>2286</v>
      </c>
      <c r="D219" s="360" t="s">
        <v>1398</v>
      </c>
      <c r="E219" s="787">
        <f>memoria!H294</f>
        <v>7.4596819264000009</v>
      </c>
      <c r="F219" s="361"/>
      <c r="G219" s="361"/>
      <c r="H219" s="361">
        <f>memoria!N294</f>
        <v>2.7378383040000003</v>
      </c>
      <c r="I219" s="361"/>
      <c r="J219" s="361"/>
      <c r="K219" s="361"/>
      <c r="L219" s="361"/>
      <c r="M219" s="361"/>
      <c r="N219" s="361"/>
      <c r="O219" s="361">
        <f t="shared" si="33"/>
        <v>10.197520230400002</v>
      </c>
      <c r="P219" s="362">
        <f>COMPOSIÇÕES!B267</f>
        <v>46.749749999999999</v>
      </c>
      <c r="Q219" s="375">
        <f t="shared" si="30"/>
        <v>476.73</v>
      </c>
      <c r="R219" s="254" t="s">
        <v>1602</v>
      </c>
      <c r="S219" s="266"/>
    </row>
    <row r="220" spans="1:19" s="254" customFormat="1" ht="36" customHeight="1">
      <c r="A220" s="378" t="s">
        <v>2427</v>
      </c>
      <c r="B220" s="364" t="s">
        <v>1155</v>
      </c>
      <c r="C220" s="265" t="s">
        <v>1630</v>
      </c>
      <c r="D220" s="360" t="s">
        <v>1398</v>
      </c>
      <c r="E220" s="787">
        <f>memoria!H295</f>
        <v>2.0655934956799999</v>
      </c>
      <c r="F220" s="361"/>
      <c r="G220" s="361"/>
      <c r="H220" s="361">
        <f>memoria!N295</f>
        <v>0.75811020480000013</v>
      </c>
      <c r="I220" s="361"/>
      <c r="J220" s="361"/>
      <c r="K220" s="361"/>
      <c r="L220" s="361"/>
      <c r="M220" s="361"/>
      <c r="N220" s="361"/>
      <c r="O220" s="361">
        <f t="shared" si="33"/>
        <v>2.8237037004800003</v>
      </c>
      <c r="P220" s="362">
        <f>COMPOSIÇÕES!B284</f>
        <v>23.094749999999998</v>
      </c>
      <c r="Q220" s="375">
        <f t="shared" si="30"/>
        <v>65.209999999999994</v>
      </c>
      <c r="R220" s="254" t="s">
        <v>1602</v>
      </c>
      <c r="S220" s="266"/>
    </row>
    <row r="221" spans="1:19" s="254" customFormat="1" ht="28.5" customHeight="1">
      <c r="A221" s="387"/>
      <c r="B221" s="380"/>
      <c r="C221" s="383" t="s">
        <v>3047</v>
      </c>
      <c r="D221" s="979"/>
      <c r="E221" s="822"/>
      <c r="F221" s="368"/>
      <c r="G221" s="368"/>
      <c r="H221" s="368"/>
      <c r="I221" s="368"/>
      <c r="J221" s="368"/>
      <c r="K221" s="368"/>
      <c r="L221" s="368"/>
      <c r="M221" s="368"/>
      <c r="N221" s="368"/>
      <c r="O221" s="882"/>
      <c r="P221" s="369"/>
      <c r="Q221" s="370">
        <f>SUM(Q213:Q220)</f>
        <v>215841.63999999998</v>
      </c>
      <c r="S221" s="266"/>
    </row>
    <row r="222" spans="1:19" s="254" customFormat="1" ht="21.95" customHeight="1">
      <c r="A222" s="309" t="s">
        <v>1219</v>
      </c>
      <c r="B222" s="380"/>
      <c r="C222" s="305" t="s">
        <v>1215</v>
      </c>
      <c r="D222" s="366"/>
      <c r="E222" s="822"/>
      <c r="F222" s="368"/>
      <c r="G222" s="368"/>
      <c r="H222" s="368"/>
      <c r="I222" s="368"/>
      <c r="J222" s="368"/>
      <c r="K222" s="368"/>
      <c r="L222" s="368"/>
      <c r="M222" s="368"/>
      <c r="N222" s="368"/>
      <c r="O222" s="368"/>
      <c r="P222" s="369"/>
      <c r="Q222" s="370"/>
      <c r="S222" s="266"/>
    </row>
    <row r="223" spans="1:19" s="254" customFormat="1" ht="48.75" customHeight="1">
      <c r="A223" s="247" t="s">
        <v>1220</v>
      </c>
      <c r="B223" s="951" t="s">
        <v>2008</v>
      </c>
      <c r="C223" s="265" t="s">
        <v>1896</v>
      </c>
      <c r="D223" s="256" t="s">
        <v>1538</v>
      </c>
      <c r="E223" s="820">
        <f>3+3</f>
        <v>6</v>
      </c>
      <c r="F223" s="251"/>
      <c r="G223" s="251"/>
      <c r="H223" s="251"/>
      <c r="I223" s="251"/>
      <c r="J223" s="251"/>
      <c r="K223" s="251"/>
      <c r="L223" s="251"/>
      <c r="M223" s="251"/>
      <c r="N223" s="251"/>
      <c r="O223" s="251">
        <f t="shared" ref="O223:O257" si="34">SUM(E223:N223)</f>
        <v>6</v>
      </c>
      <c r="P223" s="252">
        <f>COMPOSIÇÕES!B1675</f>
        <v>211.18934999999999</v>
      </c>
      <c r="Q223" s="253">
        <f t="shared" si="30"/>
        <v>1267.1300000000001</v>
      </c>
      <c r="R223" s="254" t="s">
        <v>1602</v>
      </c>
      <c r="S223" s="266"/>
    </row>
    <row r="224" spans="1:19" s="254" customFormat="1" ht="61.5" customHeight="1">
      <c r="A224" s="247" t="s">
        <v>1221</v>
      </c>
      <c r="B224" s="951" t="s">
        <v>2009</v>
      </c>
      <c r="C224" s="265" t="s">
        <v>2234</v>
      </c>
      <c r="D224" s="256" t="s">
        <v>1538</v>
      </c>
      <c r="E224" s="820">
        <f>1+1</f>
        <v>2</v>
      </c>
      <c r="F224" s="251"/>
      <c r="G224" s="251"/>
      <c r="H224" s="251"/>
      <c r="I224" s="251"/>
      <c r="J224" s="251"/>
      <c r="K224" s="251"/>
      <c r="L224" s="251"/>
      <c r="M224" s="251"/>
      <c r="N224" s="251"/>
      <c r="O224" s="251">
        <f t="shared" si="34"/>
        <v>2</v>
      </c>
      <c r="P224" s="252">
        <f>COMPOSIÇÕES!B1691</f>
        <v>756.5367</v>
      </c>
      <c r="Q224" s="253">
        <f t="shared" si="30"/>
        <v>1513.07</v>
      </c>
      <c r="R224" s="254" t="s">
        <v>1602</v>
      </c>
      <c r="S224" s="266"/>
    </row>
    <row r="225" spans="1:20" s="254" customFormat="1" ht="66.75" customHeight="1">
      <c r="A225" s="247" t="s">
        <v>1222</v>
      </c>
      <c r="B225" s="951" t="s">
        <v>2220</v>
      </c>
      <c r="C225" s="265" t="s">
        <v>2221</v>
      </c>
      <c r="D225" s="256" t="s">
        <v>1538</v>
      </c>
      <c r="E225" s="820">
        <f>3+3</f>
        <v>6</v>
      </c>
      <c r="F225" s="251"/>
      <c r="G225" s="251"/>
      <c r="H225" s="251"/>
      <c r="I225" s="251"/>
      <c r="J225" s="251"/>
      <c r="K225" s="251"/>
      <c r="L225" s="251"/>
      <c r="M225" s="251"/>
      <c r="N225" s="251"/>
      <c r="O225" s="251">
        <f t="shared" si="34"/>
        <v>6</v>
      </c>
      <c r="P225" s="252">
        <f>COMPOSIÇÕES!B1767</f>
        <v>391.25369999999998</v>
      </c>
      <c r="Q225" s="253">
        <f t="shared" si="30"/>
        <v>2347.52</v>
      </c>
      <c r="R225" s="254" t="s">
        <v>1602</v>
      </c>
      <c r="S225" s="266"/>
    </row>
    <row r="226" spans="1:20" s="254" customFormat="1" ht="52.5" customHeight="1">
      <c r="A226" s="247" t="s">
        <v>1223</v>
      </c>
      <c r="B226" s="951" t="s">
        <v>2235</v>
      </c>
      <c r="C226" s="265" t="s">
        <v>2030</v>
      </c>
      <c r="D226" s="256" t="s">
        <v>1538</v>
      </c>
      <c r="E226" s="820"/>
      <c r="F226" s="251"/>
      <c r="G226" s="251"/>
      <c r="H226" s="251">
        <f>1+1</f>
        <v>2</v>
      </c>
      <c r="I226" s="251"/>
      <c r="J226" s="251"/>
      <c r="K226" s="251"/>
      <c r="L226" s="251"/>
      <c r="M226" s="251"/>
      <c r="N226" s="251"/>
      <c r="O226" s="251">
        <f t="shared" si="34"/>
        <v>2</v>
      </c>
      <c r="P226" s="252">
        <f>COMPOSIÇÕES!B1659</f>
        <v>478.50329999999997</v>
      </c>
      <c r="Q226" s="253">
        <f t="shared" si="30"/>
        <v>957</v>
      </c>
      <c r="R226" s="254" t="s">
        <v>1602</v>
      </c>
      <c r="S226" s="266"/>
    </row>
    <row r="227" spans="1:20" s="254" customFormat="1" ht="36" customHeight="1">
      <c r="A227" s="247" t="s">
        <v>1224</v>
      </c>
      <c r="B227" s="951" t="s">
        <v>3199</v>
      </c>
      <c r="C227" s="265" t="s">
        <v>3196</v>
      </c>
      <c r="D227" s="256" t="s">
        <v>1538</v>
      </c>
      <c r="E227" s="820">
        <v>2</v>
      </c>
      <c r="F227" s="251"/>
      <c r="G227" s="251"/>
      <c r="H227" s="251"/>
      <c r="I227" s="251"/>
      <c r="J227" s="251"/>
      <c r="K227" s="251"/>
      <c r="L227" s="251"/>
      <c r="M227" s="251"/>
      <c r="N227" s="251"/>
      <c r="O227" s="251">
        <f t="shared" si="34"/>
        <v>2</v>
      </c>
      <c r="P227" s="252">
        <f>COMPOSIÇÕES!B1707</f>
        <v>604.34789999999998</v>
      </c>
      <c r="Q227" s="253">
        <f t="shared" si="30"/>
        <v>1208.69</v>
      </c>
      <c r="R227" s="254" t="s">
        <v>1602</v>
      </c>
      <c r="S227" s="266"/>
    </row>
    <row r="228" spans="1:20" s="254" customFormat="1" ht="35.25" customHeight="1">
      <c r="A228" s="247" t="s">
        <v>1225</v>
      </c>
      <c r="B228" s="951" t="s">
        <v>3200</v>
      </c>
      <c r="C228" s="265" t="s">
        <v>3198</v>
      </c>
      <c r="D228" s="256" t="s">
        <v>1538</v>
      </c>
      <c r="E228" s="820">
        <v>6</v>
      </c>
      <c r="F228" s="251"/>
      <c r="G228" s="251"/>
      <c r="H228" s="251">
        <v>2</v>
      </c>
      <c r="I228" s="251"/>
      <c r="J228" s="251"/>
      <c r="K228" s="251"/>
      <c r="L228" s="251"/>
      <c r="M228" s="251"/>
      <c r="N228" s="251"/>
      <c r="O228" s="251">
        <f t="shared" si="34"/>
        <v>8</v>
      </c>
      <c r="P228" s="252">
        <f>COMPOSIÇÕES!B1723</f>
        <v>57.04590000000001</v>
      </c>
      <c r="Q228" s="253">
        <f t="shared" si="30"/>
        <v>456.36</v>
      </c>
      <c r="R228" s="254" t="s">
        <v>1602</v>
      </c>
      <c r="S228" s="266"/>
    </row>
    <row r="229" spans="1:20" s="254" customFormat="1" ht="60.75" customHeight="1">
      <c r="A229" s="247" t="s">
        <v>1226</v>
      </c>
      <c r="B229" s="248" t="s">
        <v>1944</v>
      </c>
      <c r="C229" s="265" t="s">
        <v>1945</v>
      </c>
      <c r="D229" s="256" t="s">
        <v>1538</v>
      </c>
      <c r="E229" s="820">
        <v>6</v>
      </c>
      <c r="F229" s="251"/>
      <c r="G229" s="251"/>
      <c r="H229" s="251"/>
      <c r="I229" s="251"/>
      <c r="J229" s="251"/>
      <c r="K229" s="251"/>
      <c r="L229" s="251"/>
      <c r="M229" s="251"/>
      <c r="N229" s="251"/>
      <c r="O229" s="251">
        <f t="shared" si="34"/>
        <v>6</v>
      </c>
      <c r="P229" s="252">
        <f>434.65*1.2457</f>
        <v>541.44350499999996</v>
      </c>
      <c r="Q229" s="253">
        <f t="shared" si="30"/>
        <v>3248.66</v>
      </c>
      <c r="R229" s="254" t="s">
        <v>2659</v>
      </c>
      <c r="S229" s="266"/>
    </row>
    <row r="230" spans="1:20" s="254" customFormat="1" ht="55.5" customHeight="1">
      <c r="A230" s="247" t="s">
        <v>1230</v>
      </c>
      <c r="B230" s="248" t="s">
        <v>2880</v>
      </c>
      <c r="C230" s="374" t="s">
        <v>2778</v>
      </c>
      <c r="D230" s="256" t="s">
        <v>134</v>
      </c>
      <c r="E230" s="787">
        <v>4</v>
      </c>
      <c r="F230" s="251"/>
      <c r="G230" s="251"/>
      <c r="H230" s="251"/>
      <c r="I230" s="251"/>
      <c r="J230" s="251"/>
      <c r="K230" s="251"/>
      <c r="L230" s="251"/>
      <c r="M230" s="251"/>
      <c r="N230" s="251"/>
      <c r="O230" s="251">
        <f t="shared" si="34"/>
        <v>4</v>
      </c>
      <c r="P230" s="362">
        <f>COMPOSIÇÕES!B1830</f>
        <v>3624.1576500000001</v>
      </c>
      <c r="Q230" s="253">
        <f t="shared" si="30"/>
        <v>14496.63</v>
      </c>
      <c r="R230" s="254" t="s">
        <v>1602</v>
      </c>
      <c r="S230" s="266"/>
    </row>
    <row r="231" spans="1:20" s="254" customFormat="1" ht="33" customHeight="1">
      <c r="A231" s="247" t="s">
        <v>1231</v>
      </c>
      <c r="B231" s="395" t="s">
        <v>2703</v>
      </c>
      <c r="C231" s="374" t="s">
        <v>2700</v>
      </c>
      <c r="D231" s="256" t="s">
        <v>1538</v>
      </c>
      <c r="E231" s="787">
        <v>7</v>
      </c>
      <c r="F231" s="251"/>
      <c r="G231" s="251"/>
      <c r="H231" s="251"/>
      <c r="I231" s="251"/>
      <c r="J231" s="251"/>
      <c r="K231" s="251"/>
      <c r="L231" s="251"/>
      <c r="M231" s="251"/>
      <c r="N231" s="251"/>
      <c r="O231" s="251">
        <f t="shared" si="34"/>
        <v>7</v>
      </c>
      <c r="P231" s="252">
        <f>COMPOSIÇÕES!B1970</f>
        <v>742.25655000000006</v>
      </c>
      <c r="Q231" s="253">
        <f t="shared" si="30"/>
        <v>5195.79</v>
      </c>
      <c r="R231" s="1061" t="s">
        <v>1602</v>
      </c>
      <c r="S231" s="266"/>
    </row>
    <row r="232" spans="1:20" s="254" customFormat="1" ht="33" customHeight="1">
      <c r="A232" s="247" t="s">
        <v>1232</v>
      </c>
      <c r="B232" s="248" t="s">
        <v>2762</v>
      </c>
      <c r="C232" s="374" t="s">
        <v>2760</v>
      </c>
      <c r="D232" s="256" t="s">
        <v>1574</v>
      </c>
      <c r="E232" s="787">
        <f>(7+10+5+6)*(2.38*0.4)</f>
        <v>26.655999999999999</v>
      </c>
      <c r="F232" s="251"/>
      <c r="G232" s="251"/>
      <c r="H232" s="251"/>
      <c r="I232" s="251"/>
      <c r="J232" s="251"/>
      <c r="K232" s="251"/>
      <c r="L232" s="251"/>
      <c r="M232" s="251"/>
      <c r="N232" s="251"/>
      <c r="O232" s="251">
        <f t="shared" si="34"/>
        <v>26.655999999999999</v>
      </c>
      <c r="P232" s="362">
        <f>COMPOSIÇÕES!B1849</f>
        <v>115.2372</v>
      </c>
      <c r="Q232" s="253">
        <f t="shared" si="30"/>
        <v>3071.76</v>
      </c>
      <c r="R232" s="254" t="s">
        <v>1602</v>
      </c>
      <c r="S232" s="266"/>
    </row>
    <row r="233" spans="1:20" s="254" customFormat="1" ht="21.75" customHeight="1">
      <c r="A233" s="247" t="s">
        <v>1233</v>
      </c>
      <c r="B233" s="248" t="s">
        <v>2882</v>
      </c>
      <c r="C233" s="374" t="s">
        <v>2770</v>
      </c>
      <c r="D233" s="256" t="s">
        <v>1538</v>
      </c>
      <c r="E233" s="787">
        <f>(7+2+1+1)</f>
        <v>11</v>
      </c>
      <c r="F233" s="251"/>
      <c r="G233" s="251"/>
      <c r="H233" s="251"/>
      <c r="I233" s="251"/>
      <c r="J233" s="251"/>
      <c r="K233" s="251"/>
      <c r="L233" s="251"/>
      <c r="M233" s="251"/>
      <c r="N233" s="251"/>
      <c r="O233" s="251">
        <f t="shared" si="34"/>
        <v>11</v>
      </c>
      <c r="P233" s="362">
        <f>COMPOSIÇÕES!B1868</f>
        <v>786.80265000000009</v>
      </c>
      <c r="Q233" s="253">
        <f t="shared" si="30"/>
        <v>8654.82</v>
      </c>
      <c r="R233" s="254" t="s">
        <v>1602</v>
      </c>
      <c r="S233" s="266"/>
    </row>
    <row r="234" spans="1:20" s="254" customFormat="1" ht="53.25" customHeight="1">
      <c r="A234" s="247" t="s">
        <v>1234</v>
      </c>
      <c r="B234" s="248" t="s">
        <v>1946</v>
      </c>
      <c r="C234" s="359" t="s">
        <v>1947</v>
      </c>
      <c r="D234" s="256" t="s">
        <v>1538</v>
      </c>
      <c r="E234" s="820">
        <v>2</v>
      </c>
      <c r="F234" s="251"/>
      <c r="G234" s="251"/>
      <c r="H234" s="251"/>
      <c r="I234" s="251"/>
      <c r="J234" s="251"/>
      <c r="K234" s="251"/>
      <c r="L234" s="251"/>
      <c r="M234" s="251"/>
      <c r="N234" s="251"/>
      <c r="O234" s="251">
        <f t="shared" si="34"/>
        <v>2</v>
      </c>
      <c r="P234" s="252">
        <f>656.2*1.245</f>
        <v>816.96900000000016</v>
      </c>
      <c r="Q234" s="264">
        <f t="shared" si="30"/>
        <v>1633.93</v>
      </c>
      <c r="R234" s="254" t="s">
        <v>2659</v>
      </c>
      <c r="S234" s="266"/>
    </row>
    <row r="235" spans="1:20" s="254" customFormat="1" ht="81" customHeight="1">
      <c r="A235" s="247" t="s">
        <v>1235</v>
      </c>
      <c r="B235" s="248" t="s">
        <v>2560</v>
      </c>
      <c r="C235" s="1128" t="s">
        <v>2779</v>
      </c>
      <c r="D235" s="256" t="s">
        <v>1538</v>
      </c>
      <c r="E235" s="820">
        <f>1+1</f>
        <v>2</v>
      </c>
      <c r="F235" s="251"/>
      <c r="G235" s="251"/>
      <c r="H235" s="251"/>
      <c r="I235" s="251"/>
      <c r="J235" s="251"/>
      <c r="K235" s="251"/>
      <c r="L235" s="251"/>
      <c r="M235" s="251"/>
      <c r="N235" s="251"/>
      <c r="O235" s="251">
        <f t="shared" si="34"/>
        <v>2</v>
      </c>
      <c r="P235" s="252">
        <f>178.27*1.245</f>
        <v>221.94615000000005</v>
      </c>
      <c r="Q235" s="253">
        <f t="shared" si="30"/>
        <v>443.89</v>
      </c>
      <c r="R235" s="254" t="s">
        <v>2659</v>
      </c>
      <c r="S235" s="266"/>
    </row>
    <row r="236" spans="1:20" s="254" customFormat="1" ht="80.25" customHeight="1">
      <c r="A236" s="247" t="s">
        <v>1236</v>
      </c>
      <c r="B236" s="951" t="s">
        <v>2780</v>
      </c>
      <c r="C236" s="374" t="s">
        <v>2781</v>
      </c>
      <c r="D236" s="256" t="s">
        <v>1538</v>
      </c>
      <c r="E236" s="820"/>
      <c r="F236" s="251"/>
      <c r="G236" s="251"/>
      <c r="H236" s="251">
        <f>1+1</f>
        <v>2</v>
      </c>
      <c r="I236" s="251"/>
      <c r="J236" s="251"/>
      <c r="K236" s="251"/>
      <c r="L236" s="251"/>
      <c r="M236" s="251"/>
      <c r="N236" s="251"/>
      <c r="O236" s="251">
        <f t="shared" si="34"/>
        <v>2</v>
      </c>
      <c r="P236" s="252">
        <f>543.21*1.245</f>
        <v>676.29645000000005</v>
      </c>
      <c r="Q236" s="253">
        <f t="shared" si="30"/>
        <v>1352.59</v>
      </c>
      <c r="R236" s="254" t="s">
        <v>2659</v>
      </c>
      <c r="S236" s="266"/>
    </row>
    <row r="237" spans="1:20" s="254" customFormat="1" ht="38.25" customHeight="1">
      <c r="A237" s="247" t="s">
        <v>1237</v>
      </c>
      <c r="B237" s="248" t="s">
        <v>1950</v>
      </c>
      <c r="C237" s="265" t="s">
        <v>1951</v>
      </c>
      <c r="D237" s="256" t="s">
        <v>1538</v>
      </c>
      <c r="E237" s="820">
        <f>6+6</f>
        <v>12</v>
      </c>
      <c r="F237" s="251"/>
      <c r="G237" s="251"/>
      <c r="H237" s="251"/>
      <c r="I237" s="251"/>
      <c r="J237" s="251"/>
      <c r="K237" s="251"/>
      <c r="L237" s="251"/>
      <c r="M237" s="251"/>
      <c r="N237" s="251"/>
      <c r="O237" s="251">
        <f t="shared" si="34"/>
        <v>12</v>
      </c>
      <c r="P237" s="252">
        <f>180.03*1.245</f>
        <v>224.13735000000003</v>
      </c>
      <c r="Q237" s="253">
        <f t="shared" si="30"/>
        <v>2689.64</v>
      </c>
      <c r="R237" s="254" t="s">
        <v>2659</v>
      </c>
      <c r="S237" s="266"/>
    </row>
    <row r="238" spans="1:20" s="254" customFormat="1" ht="24.75" customHeight="1">
      <c r="A238" s="247" t="s">
        <v>1238</v>
      </c>
      <c r="B238" s="951" t="s">
        <v>2886</v>
      </c>
      <c r="C238" s="265" t="s">
        <v>1981</v>
      </c>
      <c r="D238" s="256" t="s">
        <v>1538</v>
      </c>
      <c r="E238" s="820">
        <f>1+1</f>
        <v>2</v>
      </c>
      <c r="F238" s="251"/>
      <c r="G238" s="251"/>
      <c r="H238" s="251"/>
      <c r="I238" s="251"/>
      <c r="J238" s="251"/>
      <c r="K238" s="251"/>
      <c r="L238" s="251"/>
      <c r="M238" s="251"/>
      <c r="N238" s="251"/>
      <c r="O238" s="251">
        <f t="shared" si="34"/>
        <v>2</v>
      </c>
      <c r="P238" s="362">
        <f>COMPOSIÇÕES!B1743</f>
        <v>4386.6828000000005</v>
      </c>
      <c r="Q238" s="253">
        <f t="shared" si="30"/>
        <v>8773.36</v>
      </c>
      <c r="R238" s="1061" t="s">
        <v>2659</v>
      </c>
      <c r="S238" s="266"/>
    </row>
    <row r="239" spans="1:20" s="254" customFormat="1" ht="33.75" customHeight="1">
      <c r="A239" s="247" t="s">
        <v>1239</v>
      </c>
      <c r="B239" s="951" t="s">
        <v>304</v>
      </c>
      <c r="C239" s="265" t="s">
        <v>2794</v>
      </c>
      <c r="D239" s="256" t="s">
        <v>1538</v>
      </c>
      <c r="E239" s="787">
        <f>8+8+2+1</f>
        <v>19</v>
      </c>
      <c r="F239" s="251"/>
      <c r="G239" s="251"/>
      <c r="H239" s="251"/>
      <c r="I239" s="251"/>
      <c r="J239" s="251"/>
      <c r="K239" s="251"/>
      <c r="L239" s="251"/>
      <c r="M239" s="251"/>
      <c r="N239" s="251"/>
      <c r="O239" s="251">
        <f t="shared" si="34"/>
        <v>19</v>
      </c>
      <c r="P239" s="252">
        <f>COMPOSIÇÕES!B1905</f>
        <v>194.39429999999999</v>
      </c>
      <c r="Q239" s="253">
        <f t="shared" si="30"/>
        <v>3693.49</v>
      </c>
      <c r="R239" s="254" t="s">
        <v>1602</v>
      </c>
      <c r="S239" s="266"/>
      <c r="T239" s="254" t="s">
        <v>2782</v>
      </c>
    </row>
    <row r="240" spans="1:20" s="254" customFormat="1" ht="48.75" customHeight="1">
      <c r="A240" s="247" t="s">
        <v>1965</v>
      </c>
      <c r="B240" s="951" t="s">
        <v>304</v>
      </c>
      <c r="C240" s="1069" t="s">
        <v>1977</v>
      </c>
      <c r="D240" s="250" t="s">
        <v>1538</v>
      </c>
      <c r="E240" s="788">
        <f>1+1</f>
        <v>2</v>
      </c>
      <c r="F240" s="273"/>
      <c r="G240" s="273"/>
      <c r="H240" s="273"/>
      <c r="I240" s="273"/>
      <c r="J240" s="273"/>
      <c r="K240" s="273"/>
      <c r="L240" s="273"/>
      <c r="M240" s="273"/>
      <c r="N240" s="273"/>
      <c r="O240" s="251">
        <f t="shared" si="34"/>
        <v>2</v>
      </c>
      <c r="P240" s="263">
        <f>COMPOSIÇÕES!B1929</f>
        <v>758.25480000000016</v>
      </c>
      <c r="Q240" s="264">
        <f t="shared" si="30"/>
        <v>1516.5</v>
      </c>
      <c r="R240" s="254" t="s">
        <v>1602</v>
      </c>
      <c r="S240" s="266"/>
    </row>
    <row r="241" spans="1:19" s="254" customFormat="1" ht="41.25" customHeight="1">
      <c r="A241" s="247" t="s">
        <v>1966</v>
      </c>
      <c r="B241" s="951" t="s">
        <v>2117</v>
      </c>
      <c r="C241" s="1069" t="s">
        <v>2627</v>
      </c>
      <c r="D241" s="250" t="s">
        <v>1538</v>
      </c>
      <c r="E241" s="788">
        <v>7</v>
      </c>
      <c r="F241" s="251"/>
      <c r="G241" s="251"/>
      <c r="H241" s="251"/>
      <c r="I241" s="251"/>
      <c r="J241" s="251"/>
      <c r="K241" s="251"/>
      <c r="L241" s="251"/>
      <c r="M241" s="251"/>
      <c r="N241" s="251"/>
      <c r="O241" s="251">
        <f t="shared" si="34"/>
        <v>7</v>
      </c>
      <c r="P241" s="705">
        <f>37.47*1.245</f>
        <v>46.650150000000004</v>
      </c>
      <c r="Q241" s="264">
        <f t="shared" si="30"/>
        <v>326.55</v>
      </c>
      <c r="R241" s="254" t="s">
        <v>2659</v>
      </c>
      <c r="S241" s="266"/>
    </row>
    <row r="242" spans="1:19" s="254" customFormat="1" ht="47.25" customHeight="1">
      <c r="A242" s="247" t="s">
        <v>1967</v>
      </c>
      <c r="B242" s="250" t="s">
        <v>2866</v>
      </c>
      <c r="C242" s="265" t="s">
        <v>2869</v>
      </c>
      <c r="D242" s="250" t="s">
        <v>1538</v>
      </c>
      <c r="E242" s="788"/>
      <c r="F242" s="251"/>
      <c r="G242" s="251"/>
      <c r="H242" s="251">
        <v>7</v>
      </c>
      <c r="I242" s="251"/>
      <c r="J242" s="251"/>
      <c r="K242" s="251"/>
      <c r="L242" s="251"/>
      <c r="M242" s="251"/>
      <c r="N242" s="251"/>
      <c r="O242" s="251">
        <f t="shared" si="34"/>
        <v>7</v>
      </c>
      <c r="P242" s="705">
        <f>92.82*1.245</f>
        <v>115.5609</v>
      </c>
      <c r="Q242" s="264">
        <f t="shared" si="30"/>
        <v>808.92</v>
      </c>
      <c r="R242" s="254" t="s">
        <v>2659</v>
      </c>
      <c r="S242" s="266"/>
    </row>
    <row r="243" spans="1:19" s="254" customFormat="1" ht="39" customHeight="1">
      <c r="A243" s="247" t="s">
        <v>1968</v>
      </c>
      <c r="B243" s="250" t="s">
        <v>2867</v>
      </c>
      <c r="C243" s="265" t="s">
        <v>2868</v>
      </c>
      <c r="D243" s="250" t="s">
        <v>1538</v>
      </c>
      <c r="E243" s="788">
        <v>7</v>
      </c>
      <c r="F243" s="251"/>
      <c r="G243" s="251"/>
      <c r="H243" s="251">
        <v>7</v>
      </c>
      <c r="I243" s="251"/>
      <c r="J243" s="251"/>
      <c r="K243" s="251"/>
      <c r="L243" s="251"/>
      <c r="M243" s="251"/>
      <c r="N243" s="251"/>
      <c r="O243" s="251">
        <f t="shared" si="34"/>
        <v>14</v>
      </c>
      <c r="P243" s="705">
        <f>137.95*1.245</f>
        <v>171.74775</v>
      </c>
      <c r="Q243" s="264">
        <f t="shared" si="30"/>
        <v>2404.46</v>
      </c>
      <c r="R243" s="254" t="s">
        <v>2659</v>
      </c>
      <c r="S243" s="266"/>
    </row>
    <row r="244" spans="1:19" s="254" customFormat="1" ht="39.75" customHeight="1">
      <c r="A244" s="247" t="s">
        <v>1969</v>
      </c>
      <c r="B244" s="250" t="s">
        <v>2864</v>
      </c>
      <c r="C244" s="265" t="s">
        <v>2865</v>
      </c>
      <c r="D244" s="250" t="s">
        <v>1538</v>
      </c>
      <c r="E244" s="788"/>
      <c r="F244" s="251"/>
      <c r="G244" s="251"/>
      <c r="H244" s="251">
        <v>7</v>
      </c>
      <c r="I244" s="251"/>
      <c r="J244" s="251"/>
      <c r="K244" s="251"/>
      <c r="L244" s="251"/>
      <c r="M244" s="251"/>
      <c r="N244" s="251"/>
      <c r="O244" s="251">
        <f t="shared" si="34"/>
        <v>7</v>
      </c>
      <c r="P244" s="705">
        <f>49.04*1.245</f>
        <v>61.054800000000007</v>
      </c>
      <c r="Q244" s="264">
        <f t="shared" si="30"/>
        <v>427.38</v>
      </c>
      <c r="R244" s="254" t="s">
        <v>2659</v>
      </c>
      <c r="S244" s="266"/>
    </row>
    <row r="245" spans="1:19" s="254" customFormat="1" ht="39" customHeight="1">
      <c r="A245" s="247" t="s">
        <v>1970</v>
      </c>
      <c r="B245" s="250" t="s">
        <v>2011</v>
      </c>
      <c r="C245" s="265" t="s">
        <v>2031</v>
      </c>
      <c r="D245" s="250" t="s">
        <v>1538</v>
      </c>
      <c r="E245" s="788"/>
      <c r="F245" s="251"/>
      <c r="G245" s="251"/>
      <c r="H245" s="251">
        <f>1+1</f>
        <v>2</v>
      </c>
      <c r="I245" s="251"/>
      <c r="J245" s="251"/>
      <c r="K245" s="251"/>
      <c r="L245" s="251"/>
      <c r="M245" s="251"/>
      <c r="N245" s="251"/>
      <c r="O245" s="251">
        <f t="shared" si="34"/>
        <v>2</v>
      </c>
      <c r="P245" s="263">
        <f>68.3*1.245</f>
        <v>85.033500000000004</v>
      </c>
      <c r="Q245" s="264">
        <f t="shared" si="30"/>
        <v>170.06</v>
      </c>
      <c r="R245" s="254" t="s">
        <v>2659</v>
      </c>
      <c r="S245" s="266"/>
    </row>
    <row r="246" spans="1:19" s="254" customFormat="1" ht="24.75" customHeight="1">
      <c r="A246" s="247" t="s">
        <v>2014</v>
      </c>
      <c r="B246" s="1160" t="s">
        <v>2888</v>
      </c>
      <c r="C246" s="265" t="s">
        <v>2012</v>
      </c>
      <c r="D246" s="250" t="s">
        <v>1538</v>
      </c>
      <c r="E246" s="788">
        <f>1+1</f>
        <v>2</v>
      </c>
      <c r="F246" s="251"/>
      <c r="G246" s="251"/>
      <c r="H246" s="251"/>
      <c r="I246" s="251"/>
      <c r="J246" s="251"/>
      <c r="K246" s="251"/>
      <c r="L246" s="251"/>
      <c r="M246" s="251"/>
      <c r="N246" s="251"/>
      <c r="O246" s="251">
        <f t="shared" si="34"/>
        <v>2</v>
      </c>
      <c r="P246" s="263">
        <f>COMPOSIÇÕES!B1786</f>
        <v>2674.6584000000003</v>
      </c>
      <c r="Q246" s="264">
        <f t="shared" si="30"/>
        <v>5349.31</v>
      </c>
      <c r="R246" s="1061" t="s">
        <v>1602</v>
      </c>
      <c r="S246" s="266"/>
    </row>
    <row r="247" spans="1:19" s="254" customFormat="1" ht="35.25" customHeight="1">
      <c r="A247" s="247" t="s">
        <v>2015</v>
      </c>
      <c r="B247" s="248" t="s">
        <v>3175</v>
      </c>
      <c r="C247" s="265" t="s">
        <v>2013</v>
      </c>
      <c r="D247" s="256" t="s">
        <v>1943</v>
      </c>
      <c r="E247" s="787">
        <f>1+1</f>
        <v>2</v>
      </c>
      <c r="F247" s="251"/>
      <c r="G247" s="251"/>
      <c r="H247" s="251"/>
      <c r="I247" s="251"/>
      <c r="J247" s="251"/>
      <c r="K247" s="251"/>
      <c r="L247" s="251"/>
      <c r="M247" s="251"/>
      <c r="N247" s="251"/>
      <c r="O247" s="251">
        <f t="shared" si="34"/>
        <v>2</v>
      </c>
      <c r="P247" s="862">
        <f>COMPOSIÇÕES!B1804</f>
        <v>524.65544999999986</v>
      </c>
      <c r="Q247" s="253">
        <f t="shared" si="30"/>
        <v>1049.31</v>
      </c>
      <c r="R247" s="254" t="s">
        <v>1602</v>
      </c>
      <c r="S247" s="266"/>
    </row>
    <row r="248" spans="1:19" s="254" customFormat="1" ht="55.5" customHeight="1">
      <c r="A248" s="247" t="s">
        <v>2145</v>
      </c>
      <c r="B248" s="270" t="s">
        <v>1952</v>
      </c>
      <c r="C248" s="271" t="s">
        <v>1982</v>
      </c>
      <c r="D248" s="272" t="s">
        <v>1943</v>
      </c>
      <c r="E248" s="860">
        <f>1+1</f>
        <v>2</v>
      </c>
      <c r="F248" s="273"/>
      <c r="G248" s="273"/>
      <c r="H248" s="273"/>
      <c r="I248" s="273"/>
      <c r="J248" s="273"/>
      <c r="K248" s="273"/>
      <c r="L248" s="273"/>
      <c r="M248" s="273"/>
      <c r="N248" s="273"/>
      <c r="O248" s="277">
        <f t="shared" si="34"/>
        <v>2</v>
      </c>
      <c r="P248" s="274">
        <f>COMPOSIÇÕES!B2025</f>
        <v>356.85480000000007</v>
      </c>
      <c r="Q248" s="337">
        <f t="shared" si="30"/>
        <v>713.7</v>
      </c>
      <c r="R248" s="254" t="s">
        <v>1602</v>
      </c>
      <c r="S248" s="266"/>
    </row>
    <row r="249" spans="1:19" s="254" customFormat="1" ht="36" customHeight="1">
      <c r="A249" s="247" t="s">
        <v>2146</v>
      </c>
      <c r="B249" s="364" t="s">
        <v>1948</v>
      </c>
      <c r="C249" s="265" t="s">
        <v>1949</v>
      </c>
      <c r="D249" s="256" t="s">
        <v>1943</v>
      </c>
      <c r="E249" s="787">
        <f>2+2</f>
        <v>4</v>
      </c>
      <c r="F249" s="251"/>
      <c r="G249" s="251"/>
      <c r="H249" s="251"/>
      <c r="I249" s="251"/>
      <c r="J249" s="251"/>
      <c r="K249" s="251"/>
      <c r="L249" s="251"/>
      <c r="M249" s="251"/>
      <c r="N249" s="251"/>
      <c r="O249" s="251">
        <f t="shared" si="34"/>
        <v>4</v>
      </c>
      <c r="P249" s="252">
        <f>56.79*1.245</f>
        <v>70.703550000000007</v>
      </c>
      <c r="Q249" s="337">
        <f t="shared" si="30"/>
        <v>282.81</v>
      </c>
      <c r="R249" s="254" t="s">
        <v>2659</v>
      </c>
      <c r="S249" s="266"/>
    </row>
    <row r="250" spans="1:19" s="254" customFormat="1" ht="38.25" customHeight="1">
      <c r="A250" s="247" t="s">
        <v>2147</v>
      </c>
      <c r="B250" s="364" t="s">
        <v>2679</v>
      </c>
      <c r="C250" s="265" t="s">
        <v>2680</v>
      </c>
      <c r="D250" s="256" t="s">
        <v>1943</v>
      </c>
      <c r="E250" s="787">
        <v>14</v>
      </c>
      <c r="F250" s="251"/>
      <c r="G250" s="251"/>
      <c r="H250" s="251"/>
      <c r="I250" s="251"/>
      <c r="J250" s="251"/>
      <c r="K250" s="251"/>
      <c r="L250" s="251"/>
      <c r="M250" s="251"/>
      <c r="N250" s="251"/>
      <c r="O250" s="251">
        <f t="shared" si="34"/>
        <v>14</v>
      </c>
      <c r="P250" s="362">
        <f>35.38*1.245</f>
        <v>44.048100000000005</v>
      </c>
      <c r="Q250" s="253">
        <f t="shared" si="30"/>
        <v>616.66999999999996</v>
      </c>
      <c r="R250" s="1061" t="s">
        <v>2659</v>
      </c>
      <c r="S250" s="266"/>
    </row>
    <row r="251" spans="1:19" s="254" customFormat="1" ht="32.1" customHeight="1">
      <c r="A251" s="247" t="s">
        <v>2148</v>
      </c>
      <c r="B251" s="250" t="s">
        <v>2675</v>
      </c>
      <c r="C251" s="265" t="s">
        <v>2676</v>
      </c>
      <c r="D251" s="250" t="s">
        <v>134</v>
      </c>
      <c r="E251" s="788">
        <v>4</v>
      </c>
      <c r="F251" s="273"/>
      <c r="G251" s="273"/>
      <c r="H251" s="273"/>
      <c r="I251" s="273"/>
      <c r="J251" s="273"/>
      <c r="K251" s="273"/>
      <c r="L251" s="273"/>
      <c r="M251" s="273"/>
      <c r="N251" s="273"/>
      <c r="O251" s="251">
        <f t="shared" si="34"/>
        <v>4</v>
      </c>
      <c r="P251" s="263">
        <f>COMPOSIÇÕES!B1568</f>
        <v>72.807600000000008</v>
      </c>
      <c r="Q251" s="264">
        <f t="shared" si="30"/>
        <v>291.23</v>
      </c>
      <c r="R251" s="254" t="s">
        <v>1602</v>
      </c>
      <c r="S251" s="266"/>
    </row>
    <row r="252" spans="1:19" s="254" customFormat="1" ht="37.5" customHeight="1">
      <c r="A252" s="247" t="s">
        <v>2925</v>
      </c>
      <c r="B252" s="250" t="s">
        <v>2033</v>
      </c>
      <c r="C252" s="265" t="s">
        <v>2034</v>
      </c>
      <c r="D252" s="250" t="s">
        <v>1538</v>
      </c>
      <c r="E252" s="788"/>
      <c r="F252" s="251"/>
      <c r="G252" s="251"/>
      <c r="H252" s="251">
        <v>2</v>
      </c>
      <c r="I252" s="251"/>
      <c r="J252" s="251"/>
      <c r="K252" s="251"/>
      <c r="L252" s="251"/>
      <c r="M252" s="251"/>
      <c r="N252" s="251"/>
      <c r="O252" s="251">
        <f t="shared" si="34"/>
        <v>2</v>
      </c>
      <c r="P252" s="263">
        <f>103.2*1.245</f>
        <v>128.48400000000001</v>
      </c>
      <c r="Q252" s="264">
        <f t="shared" si="30"/>
        <v>256.95999999999998</v>
      </c>
      <c r="R252" s="254" t="s">
        <v>2659</v>
      </c>
      <c r="S252" s="266"/>
    </row>
    <row r="253" spans="1:19" s="254" customFormat="1" ht="35.25" customHeight="1">
      <c r="A253" s="247" t="s">
        <v>2926</v>
      </c>
      <c r="B253" s="250" t="s">
        <v>847</v>
      </c>
      <c r="C253" s="265" t="s">
        <v>2035</v>
      </c>
      <c r="D253" s="250" t="s">
        <v>12</v>
      </c>
      <c r="E253" s="788">
        <f>((2.5*0.9)*2)*2</f>
        <v>9</v>
      </c>
      <c r="F253" s="251"/>
      <c r="G253" s="251"/>
      <c r="H253" s="251">
        <f>0.5*0.9*2</f>
        <v>0.9</v>
      </c>
      <c r="I253" s="251"/>
      <c r="J253" s="251"/>
      <c r="K253" s="251"/>
      <c r="L253" s="251"/>
      <c r="M253" s="251"/>
      <c r="N253" s="251"/>
      <c r="O253" s="251">
        <f t="shared" si="34"/>
        <v>9.9</v>
      </c>
      <c r="P253" s="263">
        <f>356.31*1.245</f>
        <v>443.60595000000006</v>
      </c>
      <c r="Q253" s="264">
        <f t="shared" si="30"/>
        <v>4391.6899999999996</v>
      </c>
      <c r="R253" s="254" t="s">
        <v>2659</v>
      </c>
      <c r="S253" s="266"/>
    </row>
    <row r="254" spans="1:19" s="254" customFormat="1" ht="78" customHeight="1">
      <c r="A254" s="247" t="s">
        <v>2927</v>
      </c>
      <c r="B254" s="364" t="s">
        <v>1954</v>
      </c>
      <c r="C254" s="284" t="s">
        <v>1983</v>
      </c>
      <c r="D254" s="256" t="s">
        <v>1943</v>
      </c>
      <c r="E254" s="861">
        <v>5</v>
      </c>
      <c r="F254" s="396"/>
      <c r="G254" s="396"/>
      <c r="H254" s="396"/>
      <c r="I254" s="396"/>
      <c r="J254" s="396"/>
      <c r="K254" s="396"/>
      <c r="L254" s="396"/>
      <c r="M254" s="396"/>
      <c r="N254" s="396"/>
      <c r="O254" s="251">
        <f t="shared" si="34"/>
        <v>5</v>
      </c>
      <c r="P254" s="949">
        <f>COMPOSIÇÕES!B1586</f>
        <v>301.46430000000004</v>
      </c>
      <c r="Q254" s="874">
        <f t="shared" si="30"/>
        <v>1507.32</v>
      </c>
      <c r="R254" s="254" t="s">
        <v>1602</v>
      </c>
      <c r="S254" s="266"/>
    </row>
    <row r="255" spans="1:19" s="254" customFormat="1" ht="69.75" customHeight="1">
      <c r="A255" s="247" t="s">
        <v>2928</v>
      </c>
      <c r="B255" s="364" t="s">
        <v>1953</v>
      </c>
      <c r="C255" s="284" t="s">
        <v>1956</v>
      </c>
      <c r="D255" s="256" t="s">
        <v>1943</v>
      </c>
      <c r="E255" s="861">
        <v>2</v>
      </c>
      <c r="F255" s="396"/>
      <c r="G255" s="396"/>
      <c r="H255" s="396"/>
      <c r="I255" s="396"/>
      <c r="J255" s="396"/>
      <c r="K255" s="396"/>
      <c r="L255" s="396"/>
      <c r="M255" s="396"/>
      <c r="N255" s="396"/>
      <c r="O255" s="251">
        <f t="shared" si="34"/>
        <v>2</v>
      </c>
      <c r="P255" s="949">
        <f>COMPOSIÇÕES!B1604</f>
        <v>285.45359999999999</v>
      </c>
      <c r="Q255" s="874">
        <f t="shared" si="30"/>
        <v>570.9</v>
      </c>
      <c r="R255" s="254" t="s">
        <v>1602</v>
      </c>
      <c r="S255" s="266"/>
    </row>
    <row r="256" spans="1:19" s="254" customFormat="1" ht="72.75" customHeight="1">
      <c r="A256" s="247" t="s">
        <v>3201</v>
      </c>
      <c r="B256" s="358" t="s">
        <v>1955</v>
      </c>
      <c r="C256" s="284" t="s">
        <v>2693</v>
      </c>
      <c r="D256" s="256" t="s">
        <v>1943</v>
      </c>
      <c r="E256" s="861">
        <v>2</v>
      </c>
      <c r="F256" s="396"/>
      <c r="G256" s="396"/>
      <c r="H256" s="396"/>
      <c r="I256" s="396"/>
      <c r="J256" s="396"/>
      <c r="K256" s="396"/>
      <c r="L256" s="396"/>
      <c r="M256" s="396"/>
      <c r="N256" s="396"/>
      <c r="O256" s="251">
        <f t="shared" si="34"/>
        <v>2</v>
      </c>
      <c r="P256" s="949">
        <f>COMPOSIÇÕES!B1622</f>
        <v>261.38775000000004</v>
      </c>
      <c r="Q256" s="874">
        <f t="shared" si="30"/>
        <v>522.77</v>
      </c>
      <c r="R256" s="254" t="s">
        <v>1602</v>
      </c>
      <c r="S256" s="266"/>
    </row>
    <row r="257" spans="1:19" s="254" customFormat="1" ht="72.75" customHeight="1">
      <c r="A257" s="247" t="s">
        <v>3202</v>
      </c>
      <c r="B257" s="364" t="s">
        <v>1957</v>
      </c>
      <c r="C257" s="284" t="s">
        <v>3118</v>
      </c>
      <c r="D257" s="256" t="s">
        <v>1943</v>
      </c>
      <c r="E257" s="861">
        <v>2</v>
      </c>
      <c r="F257" s="396"/>
      <c r="G257" s="396"/>
      <c r="H257" s="396"/>
      <c r="I257" s="396"/>
      <c r="J257" s="396"/>
      <c r="K257" s="396"/>
      <c r="L257" s="396"/>
      <c r="M257" s="396"/>
      <c r="N257" s="396"/>
      <c r="O257" s="251">
        <f t="shared" si="34"/>
        <v>2</v>
      </c>
      <c r="P257" s="1062">
        <f>COMPOSIÇÕES!B1640</f>
        <v>1159.7299499999999</v>
      </c>
      <c r="Q257" s="874">
        <f t="shared" si="30"/>
        <v>2319.4499999999998</v>
      </c>
      <c r="R257" s="254" t="s">
        <v>1602</v>
      </c>
      <c r="S257" s="266"/>
    </row>
    <row r="258" spans="1:19" s="254" customFormat="1" ht="33.75" customHeight="1">
      <c r="A258" s="1245"/>
      <c r="B258" s="1250"/>
      <c r="C258" s="1254" t="s">
        <v>3046</v>
      </c>
      <c r="D258" s="391"/>
      <c r="E258" s="1251"/>
      <c r="F258" s="1252"/>
      <c r="G258" s="1252"/>
      <c r="H258" s="1252"/>
      <c r="I258" s="1252"/>
      <c r="J258" s="1252"/>
      <c r="K258" s="1252"/>
      <c r="L258" s="1252"/>
      <c r="M258" s="1252"/>
      <c r="N258" s="1252"/>
      <c r="O258" s="392"/>
      <c r="P258" s="1253"/>
      <c r="Q258" s="1263">
        <f>SUM(Q223:Q257)</f>
        <v>84530.319999999992</v>
      </c>
      <c r="S258" s="266"/>
    </row>
    <row r="259" spans="1:19" s="254" customFormat="1" ht="32.1" customHeight="1">
      <c r="A259" s="309" t="s">
        <v>1240</v>
      </c>
      <c r="B259" s="380"/>
      <c r="C259" s="305" t="s">
        <v>1241</v>
      </c>
      <c r="D259" s="366"/>
      <c r="E259" s="822"/>
      <c r="F259" s="368"/>
      <c r="G259" s="368"/>
      <c r="H259" s="368"/>
      <c r="I259" s="368"/>
      <c r="J259" s="368"/>
      <c r="K259" s="368"/>
      <c r="L259" s="368"/>
      <c r="M259" s="368"/>
      <c r="N259" s="368"/>
      <c r="O259" s="368"/>
      <c r="P259" s="369"/>
      <c r="Q259" s="370"/>
      <c r="S259" s="266"/>
    </row>
    <row r="260" spans="1:19" s="254" customFormat="1" ht="36.75" customHeight="1">
      <c r="A260" s="247" t="s">
        <v>2929</v>
      </c>
      <c r="B260" s="248" t="s">
        <v>1129</v>
      </c>
      <c r="C260" s="359" t="s">
        <v>2995</v>
      </c>
      <c r="D260" s="256" t="s">
        <v>4</v>
      </c>
      <c r="E260" s="820">
        <v>56.86</v>
      </c>
      <c r="F260" s="251"/>
      <c r="G260" s="251"/>
      <c r="H260" s="251"/>
      <c r="I260" s="251"/>
      <c r="J260" s="251"/>
      <c r="K260" s="251"/>
      <c r="L260" s="251"/>
      <c r="M260" s="251"/>
      <c r="N260" s="251"/>
      <c r="O260" s="251">
        <f t="shared" ref="O260:O278" si="35">SUM(E260:N260)</f>
        <v>56.86</v>
      </c>
      <c r="P260" s="252">
        <f>COMPOSIÇÕES!B1438</f>
        <v>44.097900000000003</v>
      </c>
      <c r="Q260" s="253">
        <f t="shared" si="30"/>
        <v>2507.4</v>
      </c>
      <c r="R260" s="254" t="s">
        <v>1602</v>
      </c>
      <c r="S260" s="266"/>
    </row>
    <row r="261" spans="1:19" s="254" customFormat="1" ht="36.75" customHeight="1">
      <c r="A261" s="1245"/>
      <c r="B261" s="1250"/>
      <c r="C261" s="1255" t="s">
        <v>3045</v>
      </c>
      <c r="D261" s="391"/>
      <c r="E261" s="835"/>
      <c r="F261" s="392"/>
      <c r="G261" s="392"/>
      <c r="H261" s="392"/>
      <c r="I261" s="392"/>
      <c r="J261" s="392"/>
      <c r="K261" s="392"/>
      <c r="L261" s="392"/>
      <c r="M261" s="392"/>
      <c r="N261" s="392"/>
      <c r="O261" s="392"/>
      <c r="P261" s="393"/>
      <c r="Q261" s="1261">
        <f>Q260</f>
        <v>2507.4</v>
      </c>
      <c r="S261" s="266"/>
    </row>
    <row r="262" spans="1:19" s="254" customFormat="1" ht="30" customHeight="1">
      <c r="A262" s="309" t="s">
        <v>1242</v>
      </c>
      <c r="B262" s="380"/>
      <c r="C262" s="367" t="s">
        <v>1243</v>
      </c>
      <c r="D262" s="366"/>
      <c r="E262" s="822"/>
      <c r="F262" s="368"/>
      <c r="G262" s="368"/>
      <c r="H262" s="368"/>
      <c r="I262" s="368"/>
      <c r="J262" s="368"/>
      <c r="K262" s="368"/>
      <c r="L262" s="368"/>
      <c r="M262" s="368"/>
      <c r="N262" s="368"/>
      <c r="O262" s="368"/>
      <c r="P262" s="369"/>
      <c r="Q262" s="384"/>
      <c r="S262" s="266"/>
    </row>
    <row r="263" spans="1:19" s="254" customFormat="1" ht="69" customHeight="1">
      <c r="A263" s="247" t="s">
        <v>1244</v>
      </c>
      <c r="B263" s="364" t="s">
        <v>2716</v>
      </c>
      <c r="C263" s="265" t="s">
        <v>2715</v>
      </c>
      <c r="D263" s="256" t="s">
        <v>1538</v>
      </c>
      <c r="E263" s="820"/>
      <c r="F263" s="251"/>
      <c r="G263" s="251"/>
      <c r="H263" s="251"/>
      <c r="I263" s="251"/>
      <c r="J263" s="251"/>
      <c r="K263" s="251"/>
      <c r="L263" s="251"/>
      <c r="M263" s="251"/>
      <c r="N263" s="251">
        <v>4</v>
      </c>
      <c r="O263" s="251">
        <f t="shared" si="35"/>
        <v>4</v>
      </c>
      <c r="P263" s="252">
        <f>909.02*1.245</f>
        <v>1131.7299</v>
      </c>
      <c r="Q263" s="1070">
        <f t="shared" ref="Q263:Q279" si="36">TRUNC(O263*P263,2)</f>
        <v>4526.91</v>
      </c>
      <c r="R263" s="254" t="s">
        <v>2659</v>
      </c>
      <c r="S263" s="266"/>
    </row>
    <row r="264" spans="1:19" s="254" customFormat="1" ht="40.5" customHeight="1">
      <c r="A264" s="247" t="s">
        <v>1245</v>
      </c>
      <c r="B264" s="364" t="s">
        <v>3114</v>
      </c>
      <c r="C264" s="265" t="s">
        <v>3115</v>
      </c>
      <c r="D264" s="256" t="s">
        <v>1538</v>
      </c>
      <c r="E264" s="820"/>
      <c r="F264" s="251"/>
      <c r="G264" s="251"/>
      <c r="H264" s="251"/>
      <c r="I264" s="251"/>
      <c r="J264" s="251"/>
      <c r="K264" s="251"/>
      <c r="L264" s="251"/>
      <c r="M264" s="251"/>
      <c r="N264" s="251">
        <v>1</v>
      </c>
      <c r="O264" s="251">
        <f t="shared" si="35"/>
        <v>1</v>
      </c>
      <c r="P264" s="252">
        <f>1820.83*1.245</f>
        <v>2266.9333500000002</v>
      </c>
      <c r="Q264" s="1070">
        <f t="shared" si="36"/>
        <v>2266.9299999999998</v>
      </c>
      <c r="R264" s="254" t="s">
        <v>2659</v>
      </c>
      <c r="S264" s="266"/>
    </row>
    <row r="265" spans="1:19" s="254" customFormat="1" ht="33" customHeight="1">
      <c r="A265" s="247" t="s">
        <v>1246</v>
      </c>
      <c r="B265" s="364" t="s">
        <v>2811</v>
      </c>
      <c r="C265" s="265" t="s">
        <v>2717</v>
      </c>
      <c r="D265" s="256" t="s">
        <v>1538</v>
      </c>
      <c r="E265" s="820"/>
      <c r="F265" s="251"/>
      <c r="G265" s="251"/>
      <c r="H265" s="251"/>
      <c r="I265" s="251"/>
      <c r="J265" s="251"/>
      <c r="K265" s="251"/>
      <c r="L265" s="251"/>
      <c r="M265" s="251"/>
      <c r="N265" s="251">
        <v>2</v>
      </c>
      <c r="O265" s="251">
        <f t="shared" si="35"/>
        <v>2</v>
      </c>
      <c r="P265" s="252">
        <f>274.71*1.245</f>
        <v>342.01395000000002</v>
      </c>
      <c r="Q265" s="1070">
        <f t="shared" si="36"/>
        <v>684.02</v>
      </c>
      <c r="R265" s="254" t="s">
        <v>2659</v>
      </c>
      <c r="S265" s="266"/>
    </row>
    <row r="266" spans="1:19" s="254" customFormat="1" ht="30" customHeight="1">
      <c r="A266" s="247" t="s">
        <v>1247</v>
      </c>
      <c r="B266" s="256" t="s">
        <v>2719</v>
      </c>
      <c r="C266" s="396" t="s">
        <v>2718</v>
      </c>
      <c r="D266" s="256" t="s">
        <v>1538</v>
      </c>
      <c r="E266" s="256"/>
      <c r="F266" s="396"/>
      <c r="G266" s="396"/>
      <c r="H266" s="396"/>
      <c r="I266" s="396"/>
      <c r="J266" s="396"/>
      <c r="K266" s="396"/>
      <c r="L266" s="396"/>
      <c r="M266" s="396"/>
      <c r="N266" s="1073">
        <v>11</v>
      </c>
      <c r="O266" s="251">
        <f t="shared" si="35"/>
        <v>11</v>
      </c>
      <c r="P266" s="1072">
        <f>140.79*1.245</f>
        <v>175.28354999999999</v>
      </c>
      <c r="Q266" s="1071">
        <f>TRUNC(O266*P266,2)</f>
        <v>1928.11</v>
      </c>
      <c r="R266" s="254" t="s">
        <v>2659</v>
      </c>
      <c r="S266" s="266"/>
    </row>
    <row r="267" spans="1:19" s="254" customFormat="1" ht="33" customHeight="1">
      <c r="A267" s="247" t="s">
        <v>1248</v>
      </c>
      <c r="B267" s="364" t="s">
        <v>3033</v>
      </c>
      <c r="C267" s="284" t="s">
        <v>2722</v>
      </c>
      <c r="D267" s="256" t="s">
        <v>1538</v>
      </c>
      <c r="E267" s="820"/>
      <c r="F267" s="251"/>
      <c r="G267" s="251"/>
      <c r="H267" s="251"/>
      <c r="I267" s="251"/>
      <c r="J267" s="251"/>
      <c r="K267" s="251"/>
      <c r="L267" s="251"/>
      <c r="M267" s="251"/>
      <c r="N267" s="251">
        <v>21</v>
      </c>
      <c r="O267" s="251">
        <f t="shared" si="35"/>
        <v>21</v>
      </c>
      <c r="P267" s="252">
        <f>139.06*1.245</f>
        <v>173.12970000000001</v>
      </c>
      <c r="Q267" s="1071">
        <f t="shared" ref="Q267:Q278" si="37">TRUNC(O267*P267,2)</f>
        <v>3635.72</v>
      </c>
      <c r="R267" s="254" t="s">
        <v>2659</v>
      </c>
      <c r="S267" s="266"/>
    </row>
    <row r="268" spans="1:19" s="254" customFormat="1" ht="30" customHeight="1">
      <c r="A268" s="247" t="s">
        <v>1249</v>
      </c>
      <c r="B268" s="364" t="s">
        <v>3034</v>
      </c>
      <c r="C268" s="265" t="s">
        <v>3032</v>
      </c>
      <c r="D268" s="256" t="s">
        <v>1538</v>
      </c>
      <c r="E268" s="820"/>
      <c r="F268" s="251"/>
      <c r="G268" s="251"/>
      <c r="H268" s="251"/>
      <c r="I268" s="251"/>
      <c r="J268" s="251"/>
      <c r="K268" s="251"/>
      <c r="L268" s="251"/>
      <c r="M268" s="251"/>
      <c r="N268" s="251">
        <v>39</v>
      </c>
      <c r="O268" s="251">
        <f t="shared" si="35"/>
        <v>39</v>
      </c>
      <c r="P268" s="252">
        <f>35.57*1.245</f>
        <v>44.284650000000006</v>
      </c>
      <c r="Q268" s="1071">
        <f t="shared" si="37"/>
        <v>1727.1</v>
      </c>
      <c r="R268" s="254" t="s">
        <v>2659</v>
      </c>
      <c r="S268" s="266"/>
    </row>
    <row r="269" spans="1:19" s="254" customFormat="1" ht="40.5" customHeight="1">
      <c r="A269" s="247" t="s">
        <v>2725</v>
      </c>
      <c r="B269" s="364" t="s">
        <v>2721</v>
      </c>
      <c r="C269" s="265" t="s">
        <v>2720</v>
      </c>
      <c r="D269" s="256" t="s">
        <v>1538</v>
      </c>
      <c r="E269" s="820"/>
      <c r="F269" s="251"/>
      <c r="G269" s="251"/>
      <c r="H269" s="251"/>
      <c r="I269" s="251"/>
      <c r="J269" s="251"/>
      <c r="K269" s="251"/>
      <c r="L269" s="251"/>
      <c r="M269" s="251"/>
      <c r="N269" s="251">
        <v>11</v>
      </c>
      <c r="O269" s="251">
        <f t="shared" si="35"/>
        <v>11</v>
      </c>
      <c r="P269" s="252">
        <f>151.76*1.245</f>
        <v>188.94120000000001</v>
      </c>
      <c r="Q269" s="1071">
        <f t="shared" si="37"/>
        <v>2078.35</v>
      </c>
      <c r="R269" s="254" t="s">
        <v>2659</v>
      </c>
      <c r="S269" s="266"/>
    </row>
    <row r="270" spans="1:19" s="254" customFormat="1" ht="30" customHeight="1">
      <c r="A270" s="247" t="s">
        <v>2726</v>
      </c>
      <c r="B270" s="364" t="s">
        <v>2514</v>
      </c>
      <c r="C270" s="265" t="s">
        <v>2515</v>
      </c>
      <c r="D270" s="256" t="s">
        <v>1574</v>
      </c>
      <c r="E270" s="820"/>
      <c r="F270" s="251"/>
      <c r="G270" s="251"/>
      <c r="H270" s="251"/>
      <c r="I270" s="251"/>
      <c r="J270" s="251"/>
      <c r="K270" s="251"/>
      <c r="L270" s="251"/>
      <c r="M270" s="251"/>
      <c r="N270" s="251">
        <f>33+29.5</f>
        <v>62.5</v>
      </c>
      <c r="O270" s="251">
        <f t="shared" ref="O270:O279" si="38">SUM(E270:N270)</f>
        <v>62.5</v>
      </c>
      <c r="P270" s="252">
        <f>COMPOSIÇÕES!B1100</f>
        <v>21.9618</v>
      </c>
      <c r="Q270" s="1071">
        <f t="shared" si="37"/>
        <v>1372.61</v>
      </c>
      <c r="R270" s="254" t="s">
        <v>1602</v>
      </c>
      <c r="S270" s="266"/>
    </row>
    <row r="271" spans="1:19" s="254" customFormat="1" ht="32.25" customHeight="1">
      <c r="A271" s="247" t="s">
        <v>2727</v>
      </c>
      <c r="B271" s="256" t="s">
        <v>3035</v>
      </c>
      <c r="C271" s="284" t="s">
        <v>2723</v>
      </c>
      <c r="D271" s="256" t="s">
        <v>1538</v>
      </c>
      <c r="E271" s="396"/>
      <c r="F271" s="396"/>
      <c r="G271" s="396"/>
      <c r="H271" s="396"/>
      <c r="I271" s="396"/>
      <c r="J271" s="396"/>
      <c r="K271" s="396"/>
      <c r="L271" s="396"/>
      <c r="M271" s="396"/>
      <c r="N271" s="1073">
        <v>1</v>
      </c>
      <c r="O271" s="1073">
        <f t="shared" si="35"/>
        <v>1</v>
      </c>
      <c r="P271" s="1073">
        <f>451.52*1.245</f>
        <v>562.14240000000007</v>
      </c>
      <c r="Q271" s="1071">
        <f t="shared" si="37"/>
        <v>562.14</v>
      </c>
      <c r="R271" s="254" t="s">
        <v>2659</v>
      </c>
      <c r="S271" s="266"/>
    </row>
    <row r="272" spans="1:19" s="254" customFormat="1" ht="53.25" customHeight="1">
      <c r="A272" s="247" t="s">
        <v>2728</v>
      </c>
      <c r="B272" s="256" t="s">
        <v>3074</v>
      </c>
      <c r="C272" s="284" t="s">
        <v>3075</v>
      </c>
      <c r="D272" s="256" t="s">
        <v>418</v>
      </c>
      <c r="E272" s="396"/>
      <c r="F272" s="396"/>
      <c r="G272" s="396"/>
      <c r="H272" s="396"/>
      <c r="I272" s="396"/>
      <c r="J272" s="396"/>
      <c r="K272" s="396"/>
      <c r="L272" s="396"/>
      <c r="M272" s="396"/>
      <c r="N272" s="1073">
        <f>150+50</f>
        <v>200</v>
      </c>
      <c r="O272" s="1073">
        <f t="shared" si="35"/>
        <v>200</v>
      </c>
      <c r="P272" s="1073">
        <f>83.87*1.245</f>
        <v>104.41815000000001</v>
      </c>
      <c r="Q272" s="1071">
        <f t="shared" si="37"/>
        <v>20883.63</v>
      </c>
      <c r="R272" s="254" t="s">
        <v>2659</v>
      </c>
      <c r="S272" s="266"/>
    </row>
    <row r="273" spans="1:19" s="254" customFormat="1" ht="37.5" customHeight="1">
      <c r="A273" s="247" t="s">
        <v>2729</v>
      </c>
      <c r="B273" s="360" t="s">
        <v>3087</v>
      </c>
      <c r="C273" s="359" t="s">
        <v>3077</v>
      </c>
      <c r="D273" s="256" t="s">
        <v>418</v>
      </c>
      <c r="E273" s="396"/>
      <c r="F273" s="396"/>
      <c r="G273" s="396"/>
      <c r="H273" s="396"/>
      <c r="I273" s="396"/>
      <c r="J273" s="396"/>
      <c r="K273" s="396"/>
      <c r="L273" s="396"/>
      <c r="M273" s="396"/>
      <c r="N273" s="1073">
        <v>150</v>
      </c>
      <c r="O273" s="1073">
        <f t="shared" si="35"/>
        <v>150</v>
      </c>
      <c r="P273" s="1073">
        <f>COMPOSIÇÕES!B1242</f>
        <v>27.141000000000002</v>
      </c>
      <c r="Q273" s="1071">
        <f t="shared" si="37"/>
        <v>4071.15</v>
      </c>
      <c r="R273" s="254" t="s">
        <v>1602</v>
      </c>
      <c r="S273" s="266"/>
    </row>
    <row r="274" spans="1:19" s="254" customFormat="1" ht="32.25" customHeight="1">
      <c r="A274" s="247" t="s">
        <v>2730</v>
      </c>
      <c r="B274" s="360" t="s">
        <v>474</v>
      </c>
      <c r="C274" s="359" t="s">
        <v>2076</v>
      </c>
      <c r="D274" s="256" t="s">
        <v>1398</v>
      </c>
      <c r="E274" s="396"/>
      <c r="F274" s="396"/>
      <c r="G274" s="396"/>
      <c r="H274" s="396"/>
      <c r="I274" s="396"/>
      <c r="J274" s="396"/>
      <c r="K274" s="396"/>
      <c r="L274" s="396"/>
      <c r="M274" s="396"/>
      <c r="N274" s="1073">
        <f>(N272+N273)*0.3*0.2</f>
        <v>21</v>
      </c>
      <c r="O274" s="1073">
        <f t="shared" si="35"/>
        <v>21</v>
      </c>
      <c r="P274" s="252">
        <f>COMPOSIÇÕES!B235</f>
        <v>77.115299999999991</v>
      </c>
      <c r="Q274" s="1071">
        <f t="shared" si="37"/>
        <v>1619.42</v>
      </c>
      <c r="R274" s="254" t="s">
        <v>1602</v>
      </c>
      <c r="S274" s="266"/>
    </row>
    <row r="275" spans="1:19" s="254" customFormat="1" ht="32.25" customHeight="1">
      <c r="A275" s="247" t="s">
        <v>3078</v>
      </c>
      <c r="B275" s="364" t="s">
        <v>1154</v>
      </c>
      <c r="C275" s="265" t="s">
        <v>1822</v>
      </c>
      <c r="D275" s="256" t="s">
        <v>1398</v>
      </c>
      <c r="E275" s="396"/>
      <c r="F275" s="396"/>
      <c r="G275" s="396"/>
      <c r="H275" s="396"/>
      <c r="I275" s="396"/>
      <c r="J275" s="396"/>
      <c r="K275" s="396"/>
      <c r="L275" s="396"/>
      <c r="M275" s="396"/>
      <c r="N275" s="1073">
        <f>N274-(3.14*0.065*0.065*N272)-(3.14*0.05*0.05*N273)</f>
        <v>17.169199999999996</v>
      </c>
      <c r="O275" s="1073">
        <f t="shared" si="35"/>
        <v>17.169199999999996</v>
      </c>
      <c r="P275" s="252">
        <f>COMPOSIÇÕES!B267</f>
        <v>46.749749999999999</v>
      </c>
      <c r="Q275" s="1071">
        <f t="shared" si="37"/>
        <v>802.65</v>
      </c>
      <c r="R275" s="254" t="s">
        <v>1602</v>
      </c>
      <c r="S275" s="266"/>
    </row>
    <row r="276" spans="1:19" s="254" customFormat="1" ht="32.25" customHeight="1">
      <c r="A276" s="247" t="s">
        <v>3079</v>
      </c>
      <c r="B276" s="364" t="s">
        <v>2813</v>
      </c>
      <c r="C276" s="284" t="s">
        <v>2724</v>
      </c>
      <c r="D276" s="256" t="s">
        <v>1538</v>
      </c>
      <c r="E276" s="396"/>
      <c r="F276" s="396"/>
      <c r="G276" s="396"/>
      <c r="H276" s="396"/>
      <c r="I276" s="396"/>
      <c r="J276" s="396"/>
      <c r="K276" s="396"/>
      <c r="L276" s="396"/>
      <c r="M276" s="396"/>
      <c r="N276" s="1073">
        <v>3</v>
      </c>
      <c r="O276" s="1073">
        <f t="shared" si="35"/>
        <v>3</v>
      </c>
      <c r="P276" s="946">
        <f>656.04*1.245</f>
        <v>816.76980000000003</v>
      </c>
      <c r="Q276" s="1071">
        <f t="shared" si="37"/>
        <v>2450.3000000000002</v>
      </c>
      <c r="R276" s="254" t="s">
        <v>2659</v>
      </c>
      <c r="S276" s="266"/>
    </row>
    <row r="277" spans="1:19" s="254" customFormat="1" ht="32.25" customHeight="1">
      <c r="A277" s="247" t="s">
        <v>3080</v>
      </c>
      <c r="B277" s="256" t="s">
        <v>2814</v>
      </c>
      <c r="C277" s="284" t="s">
        <v>2815</v>
      </c>
      <c r="D277" s="256" t="s">
        <v>1538</v>
      </c>
      <c r="E277" s="396"/>
      <c r="F277" s="396"/>
      <c r="G277" s="396"/>
      <c r="H277" s="396"/>
      <c r="I277" s="396"/>
      <c r="J277" s="396"/>
      <c r="K277" s="396"/>
      <c r="L277" s="396"/>
      <c r="M277" s="396"/>
      <c r="N277" s="1073">
        <v>4</v>
      </c>
      <c r="O277" s="1073">
        <f t="shared" si="35"/>
        <v>4</v>
      </c>
      <c r="P277" s="1138">
        <f>(218.33+7.36)*1.245</f>
        <v>280.98405000000008</v>
      </c>
      <c r="Q277" s="1071">
        <f t="shared" si="37"/>
        <v>1123.93</v>
      </c>
      <c r="R277" s="254" t="s">
        <v>2659</v>
      </c>
      <c r="S277" s="266"/>
    </row>
    <row r="278" spans="1:19" s="254" customFormat="1" ht="32.25" customHeight="1">
      <c r="A278" s="247" t="s">
        <v>3081</v>
      </c>
      <c r="B278" s="256" t="s">
        <v>2816</v>
      </c>
      <c r="C278" s="284" t="s">
        <v>2731</v>
      </c>
      <c r="D278" s="256" t="s">
        <v>1538</v>
      </c>
      <c r="E278" s="396"/>
      <c r="F278" s="396"/>
      <c r="G278" s="396"/>
      <c r="H278" s="396"/>
      <c r="I278" s="396"/>
      <c r="J278" s="396"/>
      <c r="K278" s="396"/>
      <c r="L278" s="396"/>
      <c r="M278" s="396"/>
      <c r="N278" s="1073">
        <v>5</v>
      </c>
      <c r="O278" s="1073">
        <f t="shared" si="35"/>
        <v>5</v>
      </c>
      <c r="P278" s="1138">
        <f>(187.4+7.36)*1.245</f>
        <v>242.47620000000003</v>
      </c>
      <c r="Q278" s="1071">
        <f t="shared" si="37"/>
        <v>1212.3800000000001</v>
      </c>
      <c r="R278" s="254" t="s">
        <v>2659</v>
      </c>
      <c r="S278" s="266"/>
    </row>
    <row r="279" spans="1:19" s="254" customFormat="1" ht="48.75" customHeight="1">
      <c r="A279" s="247" t="s">
        <v>3113</v>
      </c>
      <c r="B279" s="284" t="s">
        <v>2817</v>
      </c>
      <c r="C279" s="396" t="s">
        <v>2732</v>
      </c>
      <c r="D279" s="256" t="s">
        <v>1538</v>
      </c>
      <c r="E279" s="256"/>
      <c r="F279" s="396"/>
      <c r="G279" s="396"/>
      <c r="H279" s="396"/>
      <c r="I279" s="396"/>
      <c r="J279" s="396"/>
      <c r="K279" s="396"/>
      <c r="L279" s="396"/>
      <c r="M279" s="396"/>
      <c r="N279" s="1073">
        <v>11</v>
      </c>
      <c r="O279" s="251">
        <f t="shared" si="38"/>
        <v>11</v>
      </c>
      <c r="P279" s="949">
        <f>(56.24+4.99)*1.245</f>
        <v>76.231350000000006</v>
      </c>
      <c r="Q279" s="1071">
        <f t="shared" si="36"/>
        <v>838.54</v>
      </c>
      <c r="R279" s="254" t="s">
        <v>2659</v>
      </c>
      <c r="S279" s="266"/>
    </row>
    <row r="280" spans="1:19" s="254" customFormat="1" ht="24.75" customHeight="1">
      <c r="A280" s="1245"/>
      <c r="B280" s="1246"/>
      <c r="C280" s="1248" t="s">
        <v>3044</v>
      </c>
      <c r="D280" s="1246"/>
      <c r="E280" s="331"/>
      <c r="F280" s="1246"/>
      <c r="G280" s="1246"/>
      <c r="H280" s="1246"/>
      <c r="I280" s="1246"/>
      <c r="J280" s="1246"/>
      <c r="K280" s="1246"/>
      <c r="L280" s="1246"/>
      <c r="M280" s="1246"/>
      <c r="N280" s="1246"/>
      <c r="O280" s="332"/>
      <c r="P280" s="1247"/>
      <c r="Q280" s="1249">
        <f>SUM(Q263:Q279)</f>
        <v>51783.890000000007</v>
      </c>
      <c r="S280" s="266"/>
    </row>
    <row r="281" spans="1:19" s="259" customFormat="1" ht="32.25" customHeight="1">
      <c r="A281" s="310"/>
      <c r="B281" s="340"/>
      <c r="C281" s="350" t="s">
        <v>1250</v>
      </c>
      <c r="D281" s="340"/>
      <c r="E281" s="821"/>
      <c r="F281" s="341"/>
      <c r="G281" s="341"/>
      <c r="H281" s="341"/>
      <c r="I281" s="341"/>
      <c r="J281" s="341"/>
      <c r="K281" s="341"/>
      <c r="L281" s="341"/>
      <c r="M281" s="341"/>
      <c r="N281" s="341"/>
      <c r="O281" s="341"/>
      <c r="P281" s="342"/>
      <c r="Q281" s="343">
        <f>Q280+Q261+Q258+Q221+Q211+Q185+Q181+Q164</f>
        <v>679620.28</v>
      </c>
      <c r="R281" s="254"/>
    </row>
    <row r="282" spans="1:19" s="259" customFormat="1" ht="18" customHeight="1">
      <c r="A282" s="413"/>
      <c r="B282" s="414"/>
      <c r="C282" s="415"/>
      <c r="D282" s="414"/>
      <c r="E282" s="836"/>
      <c r="F282" s="416"/>
      <c r="G282" s="416"/>
      <c r="H282" s="416"/>
      <c r="I282" s="416"/>
      <c r="J282" s="416"/>
      <c r="K282" s="416"/>
      <c r="L282" s="416"/>
      <c r="M282" s="416"/>
      <c r="N282" s="416"/>
      <c r="O282" s="416"/>
      <c r="P282" s="417"/>
      <c r="Q282" s="418"/>
      <c r="R282" s="254"/>
    </row>
    <row r="283" spans="1:19" s="259" customFormat="1" ht="29.25" customHeight="1">
      <c r="A283" s="310" t="s">
        <v>1251</v>
      </c>
      <c r="B283" s="340"/>
      <c r="C283" s="312" t="s">
        <v>1252</v>
      </c>
      <c r="D283" s="340" t="s">
        <v>2</v>
      </c>
      <c r="E283" s="821"/>
      <c r="F283" s="341"/>
      <c r="G283" s="341"/>
      <c r="H283" s="341"/>
      <c r="I283" s="341"/>
      <c r="J283" s="341"/>
      <c r="K283" s="341"/>
      <c r="L283" s="341"/>
      <c r="M283" s="341"/>
      <c r="N283" s="341"/>
      <c r="O283" s="341"/>
      <c r="P283" s="342" t="s">
        <v>0</v>
      </c>
      <c r="Q283" s="343"/>
      <c r="R283" s="254"/>
    </row>
    <row r="284" spans="1:19" s="259" customFormat="1" ht="29.25" customHeight="1">
      <c r="A284" s="309" t="s">
        <v>1253</v>
      </c>
      <c r="B284" s="380"/>
      <c r="C284" s="367" t="s">
        <v>1984</v>
      </c>
      <c r="D284" s="366"/>
      <c r="E284" s="822"/>
      <c r="F284" s="368"/>
      <c r="G284" s="368"/>
      <c r="H284" s="368"/>
      <c r="I284" s="368"/>
      <c r="J284" s="368"/>
      <c r="K284" s="368"/>
      <c r="L284" s="368"/>
      <c r="M284" s="368"/>
      <c r="N284" s="368"/>
      <c r="O284" s="368"/>
      <c r="P284" s="369"/>
      <c r="Q284" s="370"/>
      <c r="R284" s="254"/>
    </row>
    <row r="285" spans="1:19" s="259" customFormat="1" ht="48" customHeight="1">
      <c r="A285" s="378" t="s">
        <v>1996</v>
      </c>
      <c r="B285" s="358" t="s">
        <v>2818</v>
      </c>
      <c r="C285" s="359" t="s">
        <v>1992</v>
      </c>
      <c r="D285" s="360" t="s">
        <v>1574</v>
      </c>
      <c r="E285" s="787"/>
      <c r="F285" s="361"/>
      <c r="G285" s="361"/>
      <c r="H285" s="787">
        <f>4*1.85*(0.7+0.9)</f>
        <v>11.840000000000002</v>
      </c>
      <c r="I285" s="377"/>
      <c r="J285" s="377"/>
      <c r="K285" s="377"/>
      <c r="L285" s="377"/>
      <c r="M285" s="377"/>
      <c r="N285" s="377"/>
      <c r="O285" s="361">
        <f t="shared" ref="O285:O291" si="39">SUM(E285:N285)</f>
        <v>11.840000000000002</v>
      </c>
      <c r="P285" s="362">
        <f>(932.66+83.89)*1.245</f>
        <v>1265.60475</v>
      </c>
      <c r="Q285" s="375">
        <f t="shared" ref="Q285:Q291" si="40">TRUNC(O285*P285,2)</f>
        <v>14984.76</v>
      </c>
      <c r="R285" s="254" t="s">
        <v>2655</v>
      </c>
    </row>
    <row r="286" spans="1:19" s="259" customFormat="1" ht="37.5" customHeight="1">
      <c r="A286" s="378" t="s">
        <v>1997</v>
      </c>
      <c r="B286" s="358" t="s">
        <v>2819</v>
      </c>
      <c r="C286" s="359" t="s">
        <v>1991</v>
      </c>
      <c r="D286" s="360" t="s">
        <v>1574</v>
      </c>
      <c r="E286" s="787"/>
      <c r="F286" s="361"/>
      <c r="G286" s="361"/>
      <c r="H286" s="787">
        <f>2.2*(0.7+0.9)</f>
        <v>3.5200000000000005</v>
      </c>
      <c r="I286" s="377"/>
      <c r="J286" s="377"/>
      <c r="K286" s="377"/>
      <c r="L286" s="377"/>
      <c r="M286" s="377"/>
      <c r="N286" s="377"/>
      <c r="O286" s="361">
        <f t="shared" si="39"/>
        <v>3.5200000000000005</v>
      </c>
      <c r="P286" s="362">
        <f>(800.82+30.53)*1.245</f>
        <v>1035.0307500000001</v>
      </c>
      <c r="Q286" s="375">
        <f t="shared" si="40"/>
        <v>3643.3</v>
      </c>
      <c r="R286" s="254" t="s">
        <v>2655</v>
      </c>
    </row>
    <row r="287" spans="1:19" s="259" customFormat="1" ht="36" customHeight="1">
      <c r="A287" s="378" t="s">
        <v>1998</v>
      </c>
      <c r="B287" s="358" t="s">
        <v>2819</v>
      </c>
      <c r="C287" s="359" t="s">
        <v>1990</v>
      </c>
      <c r="D287" s="360" t="s">
        <v>1574</v>
      </c>
      <c r="E287" s="787"/>
      <c r="F287" s="361"/>
      <c r="G287" s="361"/>
      <c r="H287" s="787">
        <f>1.85*(0.7+0.9)</f>
        <v>2.9600000000000004</v>
      </c>
      <c r="I287" s="377"/>
      <c r="J287" s="377"/>
      <c r="K287" s="377"/>
      <c r="L287" s="377"/>
      <c r="M287" s="377"/>
      <c r="N287" s="377"/>
      <c r="O287" s="361">
        <f t="shared" si="39"/>
        <v>2.9600000000000004</v>
      </c>
      <c r="P287" s="362">
        <f>(800.82+30.53)*1.245</f>
        <v>1035.0307500000001</v>
      </c>
      <c r="Q287" s="375">
        <f t="shared" si="40"/>
        <v>3063.69</v>
      </c>
      <c r="R287" s="254" t="s">
        <v>2655</v>
      </c>
    </row>
    <row r="288" spans="1:19" s="259" customFormat="1" ht="48.75" customHeight="1">
      <c r="A288" s="378" t="s">
        <v>1999</v>
      </c>
      <c r="B288" s="358" t="s">
        <v>2818</v>
      </c>
      <c r="C288" s="359" t="s">
        <v>1989</v>
      </c>
      <c r="D288" s="360" t="s">
        <v>1574</v>
      </c>
      <c r="E288" s="787"/>
      <c r="F288" s="361"/>
      <c r="G288" s="361"/>
      <c r="H288" s="787">
        <f>1.85*(0.7+0.9)</f>
        <v>2.9600000000000004</v>
      </c>
      <c r="I288" s="377"/>
      <c r="J288" s="377"/>
      <c r="K288" s="377"/>
      <c r="L288" s="377"/>
      <c r="M288" s="377"/>
      <c r="N288" s="377"/>
      <c r="O288" s="361">
        <f t="shared" si="39"/>
        <v>2.9600000000000004</v>
      </c>
      <c r="P288" s="362">
        <f>(932.66+83.89)*1.245</f>
        <v>1265.60475</v>
      </c>
      <c r="Q288" s="375">
        <f t="shared" si="40"/>
        <v>3746.19</v>
      </c>
      <c r="R288" s="254" t="s">
        <v>2655</v>
      </c>
    </row>
    <row r="289" spans="1:18" s="259" customFormat="1" ht="33.75" customHeight="1">
      <c r="A289" s="378" t="s">
        <v>2000</v>
      </c>
      <c r="B289" s="358" t="s">
        <v>2819</v>
      </c>
      <c r="C289" s="359" t="s">
        <v>1988</v>
      </c>
      <c r="D289" s="360" t="s">
        <v>1574</v>
      </c>
      <c r="E289" s="787"/>
      <c r="F289" s="361"/>
      <c r="G289" s="361"/>
      <c r="H289" s="787">
        <f>2*2.2*(0.7+0.9)</f>
        <v>7.0400000000000009</v>
      </c>
      <c r="I289" s="377"/>
      <c r="J289" s="377"/>
      <c r="K289" s="377"/>
      <c r="L289" s="377"/>
      <c r="M289" s="377"/>
      <c r="N289" s="377"/>
      <c r="O289" s="361">
        <f t="shared" si="39"/>
        <v>7.0400000000000009</v>
      </c>
      <c r="P289" s="362">
        <f>(800.82+30.53)*1.245</f>
        <v>1035.0307500000001</v>
      </c>
      <c r="Q289" s="375">
        <f t="shared" si="40"/>
        <v>7286.61</v>
      </c>
      <c r="R289" s="254" t="s">
        <v>2655</v>
      </c>
    </row>
    <row r="290" spans="1:18" s="259" customFormat="1" ht="52.5" customHeight="1">
      <c r="A290" s="378" t="s">
        <v>2001</v>
      </c>
      <c r="B290" s="358" t="s">
        <v>2818</v>
      </c>
      <c r="C290" s="359" t="s">
        <v>1987</v>
      </c>
      <c r="D290" s="360" t="s">
        <v>1574</v>
      </c>
      <c r="E290" s="787"/>
      <c r="F290" s="361"/>
      <c r="G290" s="361"/>
      <c r="H290" s="787">
        <f>1.85*(0.7+0.9)</f>
        <v>2.9600000000000004</v>
      </c>
      <c r="I290" s="377"/>
      <c r="J290" s="377"/>
      <c r="K290" s="377"/>
      <c r="L290" s="377"/>
      <c r="M290" s="377"/>
      <c r="N290" s="377"/>
      <c r="O290" s="361">
        <f t="shared" si="39"/>
        <v>2.9600000000000004</v>
      </c>
      <c r="P290" s="362">
        <f>(932.66+83.89)*1.245</f>
        <v>1265.60475</v>
      </c>
      <c r="Q290" s="375">
        <f t="shared" si="40"/>
        <v>3746.19</v>
      </c>
      <c r="R290" s="254" t="s">
        <v>2655</v>
      </c>
    </row>
    <row r="291" spans="1:18" s="259" customFormat="1" ht="33.75" customHeight="1">
      <c r="A291" s="378" t="s">
        <v>2002</v>
      </c>
      <c r="B291" s="358" t="s">
        <v>2819</v>
      </c>
      <c r="C291" s="359" t="s">
        <v>1995</v>
      </c>
      <c r="D291" s="360" t="s">
        <v>1574</v>
      </c>
      <c r="E291" s="787"/>
      <c r="F291" s="361"/>
      <c r="G291" s="361"/>
      <c r="H291" s="787">
        <f>1.11*(0.7+0.9)</f>
        <v>1.7760000000000002</v>
      </c>
      <c r="I291" s="377"/>
      <c r="J291" s="377"/>
      <c r="K291" s="377"/>
      <c r="L291" s="377"/>
      <c r="M291" s="377"/>
      <c r="N291" s="377"/>
      <c r="O291" s="361">
        <f t="shared" si="39"/>
        <v>1.7760000000000002</v>
      </c>
      <c r="P291" s="362">
        <f>(800.82+30.53)*1.245</f>
        <v>1035.0307500000001</v>
      </c>
      <c r="Q291" s="375">
        <f t="shared" si="40"/>
        <v>1838.21</v>
      </c>
      <c r="R291" s="254" t="s">
        <v>2655</v>
      </c>
    </row>
    <row r="292" spans="1:18" s="259" customFormat="1" ht="53.25" customHeight="1">
      <c r="A292" s="378" t="s">
        <v>2003</v>
      </c>
      <c r="B292" s="358" t="s">
        <v>2818</v>
      </c>
      <c r="C292" s="359" t="s">
        <v>1993</v>
      </c>
      <c r="D292" s="360" t="s">
        <v>1574</v>
      </c>
      <c r="E292" s="787"/>
      <c r="F292" s="361"/>
      <c r="G292" s="361"/>
      <c r="H292" s="787">
        <f>0.45*(0.45+0.45)</f>
        <v>0.40500000000000003</v>
      </c>
      <c r="I292" s="377"/>
      <c r="J292" s="377"/>
      <c r="K292" s="377"/>
      <c r="L292" s="377"/>
      <c r="M292" s="377"/>
      <c r="N292" s="377"/>
      <c r="O292" s="361">
        <f t="shared" ref="O292:O296" si="41">SUM(E292:N292)</f>
        <v>0.40500000000000003</v>
      </c>
      <c r="P292" s="362">
        <f>(932.66+83.89)*1.245</f>
        <v>1265.60475</v>
      </c>
      <c r="Q292" s="375">
        <f t="shared" ref="Q292:Q296" si="42">TRUNC(O292*P292,2)</f>
        <v>512.55999999999995</v>
      </c>
      <c r="R292" s="254" t="s">
        <v>2655</v>
      </c>
    </row>
    <row r="293" spans="1:18" s="259" customFormat="1" ht="29.25" customHeight="1">
      <c r="A293" s="378" t="s">
        <v>2004</v>
      </c>
      <c r="B293" s="358" t="s">
        <v>2820</v>
      </c>
      <c r="C293" s="359" t="s">
        <v>1994</v>
      </c>
      <c r="D293" s="360" t="s">
        <v>1538</v>
      </c>
      <c r="E293" s="787"/>
      <c r="F293" s="361"/>
      <c r="G293" s="361"/>
      <c r="H293" s="1210">
        <v>8</v>
      </c>
      <c r="I293" s="377"/>
      <c r="J293" s="377"/>
      <c r="K293" s="377"/>
      <c r="L293" s="377"/>
      <c r="M293" s="377"/>
      <c r="N293" s="377"/>
      <c r="O293" s="361">
        <f t="shared" si="41"/>
        <v>8</v>
      </c>
      <c r="P293" s="362">
        <f>(3774.2+80.58)*1.245</f>
        <v>4799.2011000000002</v>
      </c>
      <c r="Q293" s="375">
        <f t="shared" si="42"/>
        <v>38393.599999999999</v>
      </c>
      <c r="R293" s="254" t="s">
        <v>2655</v>
      </c>
    </row>
    <row r="294" spans="1:18" s="259" customFormat="1" ht="29.25" customHeight="1">
      <c r="A294" s="378"/>
      <c r="B294" s="358" t="s">
        <v>2873</v>
      </c>
      <c r="C294" s="359" t="s">
        <v>2874</v>
      </c>
      <c r="D294" s="360" t="s">
        <v>1538</v>
      </c>
      <c r="E294" s="787"/>
      <c r="F294" s="361"/>
      <c r="G294" s="361"/>
      <c r="H294" s="787">
        <v>1</v>
      </c>
      <c r="I294" s="377"/>
      <c r="J294" s="377"/>
      <c r="K294" s="377"/>
      <c r="L294" s="377"/>
      <c r="M294" s="377"/>
      <c r="N294" s="377"/>
      <c r="O294" s="361">
        <f t="shared" si="41"/>
        <v>1</v>
      </c>
      <c r="P294" s="362">
        <f>(33213.4)*1.245</f>
        <v>41350.683000000005</v>
      </c>
      <c r="Q294" s="375">
        <f t="shared" si="42"/>
        <v>41350.68</v>
      </c>
      <c r="R294" s="254" t="s">
        <v>2655</v>
      </c>
    </row>
    <row r="295" spans="1:18" s="259" customFormat="1" ht="29.25" customHeight="1">
      <c r="A295" s="378" t="s">
        <v>2005</v>
      </c>
      <c r="B295" s="358" t="s">
        <v>2870</v>
      </c>
      <c r="C295" s="359" t="s">
        <v>2872</v>
      </c>
      <c r="D295" s="360" t="s">
        <v>115</v>
      </c>
      <c r="E295" s="787"/>
      <c r="F295" s="361"/>
      <c r="G295" s="361"/>
      <c r="H295" s="787">
        <f>((0.6+0.6+0.875+0.875)*6.75)*9.42</f>
        <v>187.57575</v>
      </c>
      <c r="I295" s="377"/>
      <c r="J295" s="377"/>
      <c r="K295" s="377"/>
      <c r="L295" s="377"/>
      <c r="M295" s="377"/>
      <c r="N295" s="377"/>
      <c r="O295" s="361">
        <f t="shared" si="41"/>
        <v>187.57575</v>
      </c>
      <c r="P295" s="362">
        <f>(31.41+23.38)*1.245</f>
        <v>68.213549999999998</v>
      </c>
      <c r="Q295" s="375">
        <f t="shared" si="42"/>
        <v>12795.2</v>
      </c>
      <c r="R295" s="254" t="s">
        <v>2655</v>
      </c>
    </row>
    <row r="296" spans="1:18" s="259" customFormat="1" ht="33.75" customHeight="1">
      <c r="A296" s="378" t="s">
        <v>2006</v>
      </c>
      <c r="B296" s="358" t="s">
        <v>2870</v>
      </c>
      <c r="C296" s="359" t="s">
        <v>2871</v>
      </c>
      <c r="D296" s="360" t="s">
        <v>115</v>
      </c>
      <c r="E296" s="787"/>
      <c r="F296" s="361"/>
      <c r="G296" s="361"/>
      <c r="H296" s="787">
        <f>((0.4+0.4+0.75+0.75)*6.75)*9.42</f>
        <v>146.24549999999999</v>
      </c>
      <c r="I296" s="377"/>
      <c r="J296" s="377"/>
      <c r="K296" s="377"/>
      <c r="L296" s="377"/>
      <c r="M296" s="377"/>
      <c r="N296" s="377"/>
      <c r="O296" s="361">
        <f t="shared" si="41"/>
        <v>146.24549999999999</v>
      </c>
      <c r="P296" s="362">
        <f>P295</f>
        <v>68.213549999999998</v>
      </c>
      <c r="Q296" s="375">
        <f t="shared" si="42"/>
        <v>9975.92</v>
      </c>
      <c r="R296" s="254" t="s">
        <v>2655</v>
      </c>
    </row>
    <row r="297" spans="1:18" s="259" customFormat="1" ht="27" customHeight="1">
      <c r="A297" s="387"/>
      <c r="B297" s="1244"/>
      <c r="C297" s="1243" t="s">
        <v>3043</v>
      </c>
      <c r="D297" s="371"/>
      <c r="E297" s="823"/>
      <c r="F297" s="372"/>
      <c r="G297" s="372"/>
      <c r="H297" s="823"/>
      <c r="I297" s="382"/>
      <c r="J297" s="382"/>
      <c r="K297" s="382"/>
      <c r="L297" s="382"/>
      <c r="M297" s="382"/>
      <c r="N297" s="382"/>
      <c r="O297" s="372"/>
      <c r="P297" s="373"/>
      <c r="Q297" s="384">
        <f>SUM(Q285:Q296)</f>
        <v>141336.91</v>
      </c>
      <c r="R297" s="254"/>
    </row>
    <row r="298" spans="1:18" s="259" customFormat="1" ht="29.25" customHeight="1">
      <c r="A298" s="309" t="s">
        <v>1256</v>
      </c>
      <c r="B298" s="380"/>
      <c r="C298" s="305" t="s">
        <v>2961</v>
      </c>
      <c r="D298" s="380"/>
      <c r="E298" s="827"/>
      <c r="F298" s="382"/>
      <c r="G298" s="382"/>
      <c r="H298" s="382"/>
      <c r="I298" s="382"/>
      <c r="J298" s="382"/>
      <c r="K298" s="382"/>
      <c r="L298" s="382"/>
      <c r="M298" s="382"/>
      <c r="N298" s="823"/>
      <c r="O298" s="372"/>
      <c r="P298" s="383"/>
      <c r="Q298" s="384"/>
      <c r="R298" s="254"/>
    </row>
    <row r="299" spans="1:18" s="259" customFormat="1" ht="27" customHeight="1">
      <c r="A299" s="387" t="s">
        <v>1986</v>
      </c>
      <c r="B299" s="360" t="s">
        <v>474</v>
      </c>
      <c r="C299" s="359" t="s">
        <v>2076</v>
      </c>
      <c r="D299" s="360" t="s">
        <v>465</v>
      </c>
      <c r="E299" s="826"/>
      <c r="F299" s="377"/>
      <c r="G299" s="377"/>
      <c r="H299" s="377"/>
      <c r="I299" s="377"/>
      <c r="J299" s="377"/>
      <c r="K299" s="377"/>
      <c r="L299" s="377"/>
      <c r="M299" s="377"/>
      <c r="N299" s="787">
        <f>memoria!H228</f>
        <v>1.74</v>
      </c>
      <c r="O299" s="361">
        <f t="shared" ref="O299:O322" si="43">SUM(E299:N299)</f>
        <v>1.74</v>
      </c>
      <c r="P299" s="362">
        <f>COMPOSIÇÕES!B235</f>
        <v>77.115299999999991</v>
      </c>
      <c r="Q299" s="375">
        <f t="shared" ref="Q299:Q322" si="44">TRUNC(O299*P299,2)</f>
        <v>134.18</v>
      </c>
      <c r="R299" s="254" t="s">
        <v>1602</v>
      </c>
    </row>
    <row r="300" spans="1:18" s="259" customFormat="1" ht="36.75" customHeight="1">
      <c r="A300" s="387" t="s">
        <v>2065</v>
      </c>
      <c r="B300" s="360" t="s">
        <v>1155</v>
      </c>
      <c r="C300" s="359" t="s">
        <v>3145</v>
      </c>
      <c r="D300" s="360" t="s">
        <v>465</v>
      </c>
      <c r="E300" s="826"/>
      <c r="F300" s="377"/>
      <c r="G300" s="377"/>
      <c r="H300" s="377"/>
      <c r="I300" s="377"/>
      <c r="J300" s="377"/>
      <c r="K300" s="377"/>
      <c r="L300" s="377"/>
      <c r="M300" s="377"/>
      <c r="N300" s="787">
        <f>memoria!H229</f>
        <v>2.262</v>
      </c>
      <c r="O300" s="361">
        <f t="shared" si="43"/>
        <v>2.262</v>
      </c>
      <c r="P300" s="362">
        <f>COMPOSIÇÕES!B284</f>
        <v>23.094749999999998</v>
      </c>
      <c r="Q300" s="375">
        <f t="shared" si="44"/>
        <v>52.24</v>
      </c>
      <c r="R300" s="254" t="s">
        <v>1602</v>
      </c>
    </row>
    <row r="301" spans="1:18" s="259" customFormat="1" ht="36" customHeight="1">
      <c r="A301" s="387" t="s">
        <v>2066</v>
      </c>
      <c r="B301" s="360" t="s">
        <v>2044</v>
      </c>
      <c r="C301" s="359" t="s">
        <v>2045</v>
      </c>
      <c r="D301" s="360" t="s">
        <v>465</v>
      </c>
      <c r="E301" s="826"/>
      <c r="F301" s="377"/>
      <c r="G301" s="377"/>
      <c r="H301" s="377"/>
      <c r="I301" s="377"/>
      <c r="J301" s="377"/>
      <c r="K301" s="377"/>
      <c r="L301" s="377"/>
      <c r="M301" s="377"/>
      <c r="N301" s="787">
        <f>memoria!H227</f>
        <v>0.435</v>
      </c>
      <c r="O301" s="361">
        <f t="shared" si="43"/>
        <v>0.435</v>
      </c>
      <c r="P301" s="362">
        <f>COMPOSIÇÕES!B328</f>
        <v>228.07155</v>
      </c>
      <c r="Q301" s="375">
        <f t="shared" si="44"/>
        <v>99.21</v>
      </c>
      <c r="R301" s="254" t="s">
        <v>1602</v>
      </c>
    </row>
    <row r="302" spans="1:18" s="259" customFormat="1" ht="35.25" customHeight="1">
      <c r="A302" s="387" t="s">
        <v>2067</v>
      </c>
      <c r="B302" s="360" t="s">
        <v>2054</v>
      </c>
      <c r="C302" s="359" t="s">
        <v>3144</v>
      </c>
      <c r="D302" s="360" t="s">
        <v>1666</v>
      </c>
      <c r="E302" s="826"/>
      <c r="F302" s="377"/>
      <c r="G302" s="377"/>
      <c r="H302" s="377"/>
      <c r="I302" s="377"/>
      <c r="J302" s="377"/>
      <c r="K302" s="377"/>
      <c r="L302" s="377"/>
      <c r="M302" s="377"/>
      <c r="N302" s="787">
        <f>memoria!H230</f>
        <v>8.6999999999999993</v>
      </c>
      <c r="O302" s="361">
        <f t="shared" si="43"/>
        <v>8.6999999999999993</v>
      </c>
      <c r="P302" s="362">
        <f>COMPOSIÇÕES!B363</f>
        <v>6.3121500000000008</v>
      </c>
      <c r="Q302" s="375">
        <f t="shared" si="44"/>
        <v>54.91</v>
      </c>
      <c r="R302" s="254" t="s">
        <v>1602</v>
      </c>
    </row>
    <row r="303" spans="1:18" s="259" customFormat="1" ht="36" customHeight="1">
      <c r="A303" s="387" t="s">
        <v>2068</v>
      </c>
      <c r="B303" s="360" t="s">
        <v>2043</v>
      </c>
      <c r="C303" s="359" t="s">
        <v>2075</v>
      </c>
      <c r="D303" s="360" t="s">
        <v>1666</v>
      </c>
      <c r="E303" s="787"/>
      <c r="F303" s="361"/>
      <c r="G303" s="361"/>
      <c r="H303" s="787"/>
      <c r="I303" s="377"/>
      <c r="J303" s="377"/>
      <c r="K303" s="377"/>
      <c r="L303" s="377"/>
      <c r="M303" s="377"/>
      <c r="N303" s="787">
        <f>memoria!H225</f>
        <v>0.63039999999999996</v>
      </c>
      <c r="O303" s="361">
        <f t="shared" si="43"/>
        <v>0.63039999999999996</v>
      </c>
      <c r="P303" s="362">
        <f>COMPOSIÇÕES!B514</f>
        <v>101.03175</v>
      </c>
      <c r="Q303" s="375">
        <f t="shared" si="44"/>
        <v>63.69</v>
      </c>
      <c r="R303" s="254" t="s">
        <v>1602</v>
      </c>
    </row>
    <row r="304" spans="1:18" s="259" customFormat="1" ht="33.75" customHeight="1">
      <c r="A304" s="387" t="s">
        <v>2064</v>
      </c>
      <c r="B304" s="358" t="s">
        <v>2573</v>
      </c>
      <c r="C304" s="359" t="s">
        <v>3142</v>
      </c>
      <c r="D304" s="360" t="s">
        <v>1401</v>
      </c>
      <c r="E304" s="787"/>
      <c r="F304" s="361"/>
      <c r="G304" s="361"/>
      <c r="H304" s="787"/>
      <c r="I304" s="377"/>
      <c r="J304" s="377"/>
      <c r="K304" s="377"/>
      <c r="L304" s="377"/>
      <c r="M304" s="377"/>
      <c r="N304" s="787">
        <f>memoria!H226</f>
        <v>27.667200000000001</v>
      </c>
      <c r="O304" s="361">
        <f t="shared" si="43"/>
        <v>27.667200000000001</v>
      </c>
      <c r="P304" s="362">
        <f>COMPOSIÇÕES!B450</f>
        <v>7.7688000000000006</v>
      </c>
      <c r="Q304" s="375">
        <f t="shared" si="44"/>
        <v>214.94</v>
      </c>
      <c r="R304" s="254" t="s">
        <v>1602</v>
      </c>
    </row>
    <row r="305" spans="1:20" s="259" customFormat="1" ht="43.5" customHeight="1">
      <c r="A305" s="387" t="s">
        <v>2069</v>
      </c>
      <c r="B305" s="360" t="s">
        <v>1162</v>
      </c>
      <c r="C305" s="359" t="s">
        <v>1696</v>
      </c>
      <c r="D305" s="360" t="s">
        <v>465</v>
      </c>
      <c r="E305" s="787"/>
      <c r="F305" s="361"/>
      <c r="G305" s="361"/>
      <c r="H305" s="787"/>
      <c r="I305" s="377"/>
      <c r="J305" s="377"/>
      <c r="K305" s="377"/>
      <c r="L305" s="377"/>
      <c r="M305" s="377"/>
      <c r="N305" s="787">
        <f>memoria!L224</f>
        <v>1.6150799999999998</v>
      </c>
      <c r="O305" s="361">
        <f t="shared" si="43"/>
        <v>1.6150799999999998</v>
      </c>
      <c r="P305" s="362">
        <f>COMPOSIÇÕES!B536</f>
        <v>393.63164999999992</v>
      </c>
      <c r="Q305" s="375">
        <f t="shared" si="44"/>
        <v>635.74</v>
      </c>
      <c r="R305" s="254" t="s">
        <v>1602</v>
      </c>
    </row>
    <row r="306" spans="1:20" s="259" customFormat="1" ht="36.75" customHeight="1">
      <c r="A306" s="387" t="s">
        <v>2070</v>
      </c>
      <c r="B306" s="358" t="s">
        <v>1636</v>
      </c>
      <c r="C306" s="359" t="s">
        <v>3143</v>
      </c>
      <c r="D306" s="360" t="s">
        <v>465</v>
      </c>
      <c r="E306" s="787"/>
      <c r="F306" s="361"/>
      <c r="G306" s="361"/>
      <c r="H306" s="787"/>
      <c r="I306" s="377"/>
      <c r="J306" s="377"/>
      <c r="K306" s="377"/>
      <c r="L306" s="377"/>
      <c r="M306" s="377"/>
      <c r="N306" s="787">
        <f>N305</f>
        <v>1.6150799999999998</v>
      </c>
      <c r="O306" s="361">
        <f t="shared" si="43"/>
        <v>1.6150799999999998</v>
      </c>
      <c r="P306" s="362">
        <f>COMPOSIÇÕES!B554</f>
        <v>128.16030000000001</v>
      </c>
      <c r="Q306" s="375">
        <f t="shared" si="44"/>
        <v>206.98</v>
      </c>
      <c r="R306" s="254" t="s">
        <v>1602</v>
      </c>
    </row>
    <row r="307" spans="1:20" s="259" customFormat="1" ht="37.5" customHeight="1">
      <c r="A307" s="387" t="s">
        <v>2071</v>
      </c>
      <c r="B307" s="358" t="s">
        <v>2057</v>
      </c>
      <c r="C307" s="880" t="s">
        <v>3146</v>
      </c>
      <c r="D307" s="360" t="s">
        <v>465</v>
      </c>
      <c r="E307" s="787"/>
      <c r="F307" s="361"/>
      <c r="G307" s="361"/>
      <c r="H307" s="787"/>
      <c r="I307" s="377"/>
      <c r="J307" s="377"/>
      <c r="K307" s="377"/>
      <c r="L307" s="377"/>
      <c r="M307" s="377"/>
      <c r="N307" s="787">
        <f>memoria!H231</f>
        <v>3.8759999999999999</v>
      </c>
      <c r="O307" s="361">
        <f t="shared" si="43"/>
        <v>3.8759999999999999</v>
      </c>
      <c r="P307" s="362">
        <f>COMPOSIÇÕES!B913</f>
        <v>35.930700000000002</v>
      </c>
      <c r="Q307" s="884">
        <f t="shared" si="44"/>
        <v>139.26</v>
      </c>
      <c r="R307" s="254" t="s">
        <v>1602</v>
      </c>
    </row>
    <row r="308" spans="1:20" s="259" customFormat="1" ht="65.25" customHeight="1">
      <c r="A308" s="387" t="s">
        <v>2072</v>
      </c>
      <c r="B308" s="360" t="s">
        <v>2081</v>
      </c>
      <c r="C308" s="359" t="s">
        <v>2082</v>
      </c>
      <c r="D308" s="360" t="s">
        <v>1666</v>
      </c>
      <c r="E308" s="787"/>
      <c r="F308" s="361"/>
      <c r="G308" s="361"/>
      <c r="H308" s="787"/>
      <c r="I308" s="377"/>
      <c r="J308" s="377"/>
      <c r="K308" s="377"/>
      <c r="L308" s="377"/>
      <c r="M308" s="377"/>
      <c r="N308" s="787">
        <f>memoria!H232</f>
        <v>7.9352000000000009</v>
      </c>
      <c r="O308" s="361">
        <f t="shared" si="43"/>
        <v>7.9352000000000009</v>
      </c>
      <c r="P308" s="362">
        <f>COMPOSIÇÕES!B951</f>
        <v>65.935200000000009</v>
      </c>
      <c r="Q308" s="884">
        <f t="shared" si="44"/>
        <v>523.20000000000005</v>
      </c>
      <c r="R308" s="254" t="s">
        <v>1602</v>
      </c>
    </row>
    <row r="309" spans="1:20" s="259" customFormat="1" ht="49.5" customHeight="1">
      <c r="A309" s="387" t="s">
        <v>2073</v>
      </c>
      <c r="B309" s="360" t="s">
        <v>2083</v>
      </c>
      <c r="C309" s="359" t="s">
        <v>2084</v>
      </c>
      <c r="D309" s="360" t="s">
        <v>1666</v>
      </c>
      <c r="E309" s="787"/>
      <c r="F309" s="361"/>
      <c r="G309" s="361"/>
      <c r="H309" s="787"/>
      <c r="I309" s="377"/>
      <c r="J309" s="377"/>
      <c r="K309" s="377"/>
      <c r="L309" s="377"/>
      <c r="M309" s="377"/>
      <c r="N309" s="787">
        <f>memoria!H233</f>
        <v>15.870400000000002</v>
      </c>
      <c r="O309" s="361">
        <f t="shared" si="43"/>
        <v>15.870400000000002</v>
      </c>
      <c r="P309" s="362">
        <f>COMPOSIÇÕES!B970</f>
        <v>4.0213500000000009</v>
      </c>
      <c r="Q309" s="884">
        <f t="shared" si="44"/>
        <v>63.82</v>
      </c>
      <c r="R309" s="254" t="s">
        <v>1602</v>
      </c>
      <c r="T309" s="976"/>
    </row>
    <row r="310" spans="1:20" s="259" customFormat="1" ht="57.75" customHeight="1">
      <c r="A310" s="387" t="s">
        <v>2074</v>
      </c>
      <c r="B310" s="360" t="s">
        <v>2085</v>
      </c>
      <c r="C310" s="359" t="s">
        <v>2092</v>
      </c>
      <c r="D310" s="360" t="s">
        <v>1666</v>
      </c>
      <c r="E310" s="787"/>
      <c r="F310" s="361"/>
      <c r="G310" s="361"/>
      <c r="H310" s="787"/>
      <c r="I310" s="377"/>
      <c r="J310" s="377"/>
      <c r="K310" s="377"/>
      <c r="L310" s="377"/>
      <c r="M310" s="377"/>
      <c r="N310" s="787">
        <f>memoria!H234</f>
        <v>7.9352000000000009</v>
      </c>
      <c r="O310" s="361">
        <f t="shared" si="43"/>
        <v>7.9352000000000009</v>
      </c>
      <c r="P310" s="362">
        <f>COMPOSIÇÕES!B989</f>
        <v>34.212600000000002</v>
      </c>
      <c r="Q310" s="884">
        <f t="shared" si="44"/>
        <v>271.48</v>
      </c>
      <c r="R310" s="254" t="s">
        <v>1602</v>
      </c>
    </row>
    <row r="311" spans="1:20" s="259" customFormat="1" ht="60" customHeight="1">
      <c r="A311" s="387" t="s">
        <v>2095</v>
      </c>
      <c r="B311" s="360" t="s">
        <v>2091</v>
      </c>
      <c r="C311" s="359" t="s">
        <v>2093</v>
      </c>
      <c r="D311" s="360" t="s">
        <v>1666</v>
      </c>
      <c r="E311" s="787"/>
      <c r="F311" s="361"/>
      <c r="G311" s="361"/>
      <c r="H311" s="787"/>
      <c r="I311" s="377"/>
      <c r="J311" s="377"/>
      <c r="K311" s="377"/>
      <c r="L311" s="377"/>
      <c r="M311" s="377"/>
      <c r="N311" s="787">
        <f>memoria!H235</f>
        <v>7.9352000000000009</v>
      </c>
      <c r="O311" s="361">
        <f t="shared" si="43"/>
        <v>7.9352000000000009</v>
      </c>
      <c r="P311" s="362">
        <f>COMPOSIÇÕES!B1008</f>
        <v>30.751500000000004</v>
      </c>
      <c r="Q311" s="884">
        <f t="shared" si="44"/>
        <v>244.01</v>
      </c>
      <c r="R311" s="254" t="s">
        <v>1602</v>
      </c>
      <c r="T311" s="976"/>
    </row>
    <row r="312" spans="1:20" s="259" customFormat="1" ht="39.75" customHeight="1">
      <c r="A312" s="387" t="s">
        <v>2096</v>
      </c>
      <c r="B312" s="360" t="s">
        <v>2094</v>
      </c>
      <c r="C312" s="359" t="s">
        <v>2113</v>
      </c>
      <c r="D312" s="360" t="s">
        <v>1666</v>
      </c>
      <c r="E312" s="787"/>
      <c r="F312" s="361"/>
      <c r="G312" s="361"/>
      <c r="H312" s="787"/>
      <c r="I312" s="377"/>
      <c r="J312" s="377"/>
      <c r="K312" s="377"/>
      <c r="L312" s="377"/>
      <c r="M312" s="377"/>
      <c r="N312" s="787">
        <f>memoria!H237</f>
        <v>7.9352000000000009</v>
      </c>
      <c r="O312" s="361">
        <f t="shared" si="43"/>
        <v>7.9352000000000009</v>
      </c>
      <c r="P312" s="362">
        <f>COMPOSIÇÕES!B1026</f>
        <v>12.46245</v>
      </c>
      <c r="Q312" s="884">
        <f t="shared" si="44"/>
        <v>98.89</v>
      </c>
      <c r="R312" s="254" t="s">
        <v>1602</v>
      </c>
    </row>
    <row r="313" spans="1:20" s="259" customFormat="1" ht="37.5" customHeight="1">
      <c r="A313" s="387" t="s">
        <v>2097</v>
      </c>
      <c r="B313" s="360" t="s">
        <v>2103</v>
      </c>
      <c r="C313" s="359" t="s">
        <v>2102</v>
      </c>
      <c r="D313" s="360" t="s">
        <v>1666</v>
      </c>
      <c r="E313" s="787"/>
      <c r="F313" s="361"/>
      <c r="G313" s="361"/>
      <c r="H313" s="787"/>
      <c r="I313" s="377"/>
      <c r="J313" s="377"/>
      <c r="K313" s="377"/>
      <c r="L313" s="377"/>
      <c r="M313" s="377"/>
      <c r="N313" s="787">
        <f>memoria!H237</f>
        <v>7.9352000000000009</v>
      </c>
      <c r="O313" s="361">
        <f t="shared" si="43"/>
        <v>7.9352000000000009</v>
      </c>
      <c r="P313" s="362">
        <f>COMPOSIÇÕES!B1044</f>
        <v>12.68655</v>
      </c>
      <c r="Q313" s="884">
        <f t="shared" si="44"/>
        <v>100.67</v>
      </c>
      <c r="R313" s="254" t="s">
        <v>1602</v>
      </c>
    </row>
    <row r="314" spans="1:20" s="259" customFormat="1" ht="50.25" customHeight="1">
      <c r="A314" s="387" t="s">
        <v>2098</v>
      </c>
      <c r="B314" s="360" t="s">
        <v>3095</v>
      </c>
      <c r="C314" s="359" t="s">
        <v>3096</v>
      </c>
      <c r="D314" s="360" t="s">
        <v>1666</v>
      </c>
      <c r="E314" s="787"/>
      <c r="F314" s="361"/>
      <c r="G314" s="361"/>
      <c r="H314" s="787"/>
      <c r="I314" s="377"/>
      <c r="J314" s="377"/>
      <c r="K314" s="377"/>
      <c r="L314" s="377"/>
      <c r="M314" s="377"/>
      <c r="N314" s="787">
        <f>memoria!H238</f>
        <v>3.23</v>
      </c>
      <c r="O314" s="361">
        <f t="shared" si="43"/>
        <v>3.23</v>
      </c>
      <c r="P314" s="362">
        <f>41.92*1.245</f>
        <v>52.190400000000004</v>
      </c>
      <c r="Q314" s="884">
        <f t="shared" si="44"/>
        <v>168.57</v>
      </c>
      <c r="R314" s="254" t="s">
        <v>2655</v>
      </c>
    </row>
    <row r="315" spans="1:20" s="259" customFormat="1" ht="64.5" customHeight="1">
      <c r="A315" s="387" t="s">
        <v>2099</v>
      </c>
      <c r="B315" s="360" t="s">
        <v>3097</v>
      </c>
      <c r="C315" s="359" t="s">
        <v>3098</v>
      </c>
      <c r="D315" s="360" t="s">
        <v>1666</v>
      </c>
      <c r="E315" s="787"/>
      <c r="F315" s="361"/>
      <c r="G315" s="361"/>
      <c r="H315" s="787"/>
      <c r="I315" s="377"/>
      <c r="J315" s="377"/>
      <c r="K315" s="377"/>
      <c r="L315" s="377"/>
      <c r="M315" s="377"/>
      <c r="N315" s="787">
        <f>memoria!H236</f>
        <v>7.9352000000000009</v>
      </c>
      <c r="O315" s="361">
        <f t="shared" si="43"/>
        <v>7.9352000000000009</v>
      </c>
      <c r="P315" s="362">
        <f>52.98*1.245</f>
        <v>65.960099999999997</v>
      </c>
      <c r="Q315" s="884">
        <f t="shared" si="44"/>
        <v>523.4</v>
      </c>
      <c r="R315" s="254" t="s">
        <v>2655</v>
      </c>
    </row>
    <row r="316" spans="1:20" s="259" customFormat="1" ht="52.5" customHeight="1">
      <c r="A316" s="387" t="s">
        <v>2109</v>
      </c>
      <c r="B316" s="358" t="s">
        <v>2038</v>
      </c>
      <c r="C316" s="891" t="s">
        <v>2100</v>
      </c>
      <c r="D316" s="360" t="s">
        <v>1666</v>
      </c>
      <c r="E316" s="787"/>
      <c r="F316" s="361"/>
      <c r="G316" s="361"/>
      <c r="H316" s="787"/>
      <c r="I316" s="377"/>
      <c r="J316" s="377"/>
      <c r="K316" s="377"/>
      <c r="L316" s="377"/>
      <c r="M316" s="377"/>
      <c r="N316" s="787">
        <f>memoria!H219</f>
        <v>4.28</v>
      </c>
      <c r="O316" s="361">
        <f t="shared" si="43"/>
        <v>4.28</v>
      </c>
      <c r="P316" s="362">
        <f>COMPOSIÇÕES!B1185</f>
        <v>1102.7338500000001</v>
      </c>
      <c r="Q316" s="375">
        <f t="shared" si="44"/>
        <v>4719.7</v>
      </c>
      <c r="R316" s="254" t="s">
        <v>1602</v>
      </c>
    </row>
    <row r="317" spans="1:20" s="259" customFormat="1" ht="55.5" customHeight="1">
      <c r="A317" s="387" t="s">
        <v>2110</v>
      </c>
      <c r="B317" s="358" t="s">
        <v>2038</v>
      </c>
      <c r="C317" s="891" t="s">
        <v>2101</v>
      </c>
      <c r="D317" s="360" t="s">
        <v>1666</v>
      </c>
      <c r="E317" s="787"/>
      <c r="F317" s="361"/>
      <c r="G317" s="361"/>
      <c r="H317" s="787"/>
      <c r="I317" s="377"/>
      <c r="J317" s="377"/>
      <c r="K317" s="377"/>
      <c r="L317" s="377"/>
      <c r="M317" s="377"/>
      <c r="N317" s="787">
        <f>memoria!H220</f>
        <v>4.4400000000000004</v>
      </c>
      <c r="O317" s="361">
        <f t="shared" si="43"/>
        <v>4.4400000000000004</v>
      </c>
      <c r="P317" s="362">
        <f>COMPOSIÇÕES!B1185</f>
        <v>1102.7338500000001</v>
      </c>
      <c r="Q317" s="375">
        <f t="shared" si="44"/>
        <v>4896.13</v>
      </c>
      <c r="R317" s="254" t="s">
        <v>1602</v>
      </c>
    </row>
    <row r="318" spans="1:20" s="259" customFormat="1" ht="36.75" customHeight="1">
      <c r="A318" s="387" t="s">
        <v>2111</v>
      </c>
      <c r="B318" s="358" t="s">
        <v>2156</v>
      </c>
      <c r="C318" s="887" t="s">
        <v>2155</v>
      </c>
      <c r="D318" s="360" t="s">
        <v>1666</v>
      </c>
      <c r="E318" s="787"/>
      <c r="F318" s="361"/>
      <c r="G318" s="361"/>
      <c r="H318" s="787"/>
      <c r="I318" s="377"/>
      <c r="J318" s="377"/>
      <c r="K318" s="377"/>
      <c r="L318" s="377"/>
      <c r="M318" s="377"/>
      <c r="N318" s="787">
        <f>memoria!H239</f>
        <v>8.7200000000000006</v>
      </c>
      <c r="O318" s="361">
        <f t="shared" si="43"/>
        <v>8.7200000000000006</v>
      </c>
      <c r="P318" s="362">
        <f>COMPOSIÇÕES!B1062</f>
        <v>21.638099999999998</v>
      </c>
      <c r="Q318" s="375">
        <f t="shared" si="44"/>
        <v>188.68</v>
      </c>
      <c r="R318" s="254" t="s">
        <v>1602</v>
      </c>
    </row>
    <row r="319" spans="1:20" s="259" customFormat="1" ht="38.25" customHeight="1">
      <c r="A319" s="387" t="s">
        <v>2112</v>
      </c>
      <c r="B319" s="358" t="s">
        <v>2105</v>
      </c>
      <c r="C319" s="887" t="s">
        <v>2104</v>
      </c>
      <c r="D319" s="360" t="s">
        <v>1666</v>
      </c>
      <c r="E319" s="787"/>
      <c r="F319" s="361"/>
      <c r="G319" s="361"/>
      <c r="H319" s="787"/>
      <c r="I319" s="377"/>
      <c r="J319" s="377"/>
      <c r="K319" s="377"/>
      <c r="L319" s="377"/>
      <c r="M319" s="377"/>
      <c r="N319" s="787">
        <f>memoria!H239</f>
        <v>8.7200000000000006</v>
      </c>
      <c r="O319" s="361">
        <f t="shared" si="43"/>
        <v>8.7200000000000006</v>
      </c>
      <c r="P319" s="362">
        <f>COMPOSIÇÕES!B1082</f>
        <v>28.846649999999997</v>
      </c>
      <c r="Q319" s="375">
        <f t="shared" si="44"/>
        <v>251.54</v>
      </c>
      <c r="R319" s="254" t="s">
        <v>1602</v>
      </c>
    </row>
    <row r="320" spans="1:20" s="259" customFormat="1" ht="48.75" customHeight="1">
      <c r="A320" s="387" t="s">
        <v>2120</v>
      </c>
      <c r="B320" s="358" t="s">
        <v>2114</v>
      </c>
      <c r="C320" s="359" t="s">
        <v>2115</v>
      </c>
      <c r="D320" s="360" t="s">
        <v>1538</v>
      </c>
      <c r="E320" s="787"/>
      <c r="F320" s="361"/>
      <c r="G320" s="361"/>
      <c r="H320" s="787"/>
      <c r="I320" s="377"/>
      <c r="J320" s="377"/>
      <c r="K320" s="377"/>
      <c r="L320" s="377"/>
      <c r="M320" s="377"/>
      <c r="N320" s="787">
        <f>memoria!H240</f>
        <v>1</v>
      </c>
      <c r="O320" s="361">
        <f t="shared" si="43"/>
        <v>1</v>
      </c>
      <c r="P320" s="362">
        <f>COMPOSIÇÕES!B2088</f>
        <v>25.310850000000002</v>
      </c>
      <c r="Q320" s="375">
        <f t="shared" si="44"/>
        <v>25.31</v>
      </c>
      <c r="R320" s="254" t="s">
        <v>1602</v>
      </c>
    </row>
    <row r="321" spans="1:18" s="259" customFormat="1" ht="48.75" customHeight="1">
      <c r="A321" s="387" t="s">
        <v>2121</v>
      </c>
      <c r="B321" s="358" t="s">
        <v>182</v>
      </c>
      <c r="C321" s="887" t="s">
        <v>1785</v>
      </c>
      <c r="D321" s="360" t="s">
        <v>1538</v>
      </c>
      <c r="E321" s="787"/>
      <c r="F321" s="361"/>
      <c r="G321" s="361"/>
      <c r="H321" s="787"/>
      <c r="I321" s="377"/>
      <c r="J321" s="377"/>
      <c r="K321" s="377"/>
      <c r="L321" s="377"/>
      <c r="M321" s="377"/>
      <c r="N321" s="787">
        <f>memoria!H241</f>
        <v>1</v>
      </c>
      <c r="O321" s="361">
        <f t="shared" si="43"/>
        <v>1</v>
      </c>
      <c r="P321" s="362">
        <f>COMPOSIÇÕES!B1463</f>
        <v>119.84370000000001</v>
      </c>
      <c r="Q321" s="375">
        <f t="shared" si="44"/>
        <v>119.84</v>
      </c>
      <c r="R321" s="254" t="s">
        <v>1602</v>
      </c>
    </row>
    <row r="322" spans="1:18" s="259" customFormat="1" ht="39" customHeight="1">
      <c r="A322" s="387" t="s">
        <v>2122</v>
      </c>
      <c r="B322" s="358" t="s">
        <v>2117</v>
      </c>
      <c r="C322" s="887" t="s">
        <v>2118</v>
      </c>
      <c r="D322" s="360" t="s">
        <v>1538</v>
      </c>
      <c r="E322" s="787"/>
      <c r="F322" s="361"/>
      <c r="G322" s="361"/>
      <c r="H322" s="787"/>
      <c r="I322" s="377"/>
      <c r="J322" s="377"/>
      <c r="K322" s="377"/>
      <c r="L322" s="377"/>
      <c r="M322" s="377"/>
      <c r="N322" s="787">
        <f>memoria!H241</f>
        <v>1</v>
      </c>
      <c r="O322" s="361">
        <f t="shared" si="43"/>
        <v>1</v>
      </c>
      <c r="P322" s="362">
        <f>COMPOSIÇÕES!B1949</f>
        <v>46.637700000000002</v>
      </c>
      <c r="Q322" s="375">
        <f t="shared" si="44"/>
        <v>46.63</v>
      </c>
      <c r="R322" s="254" t="s">
        <v>1602</v>
      </c>
    </row>
    <row r="323" spans="1:18" s="259" customFormat="1" ht="26.25" customHeight="1">
      <c r="A323" s="387"/>
      <c r="B323" s="1244"/>
      <c r="C323" s="1243" t="s">
        <v>3042</v>
      </c>
      <c r="D323" s="371"/>
      <c r="E323" s="823"/>
      <c r="F323" s="372"/>
      <c r="G323" s="372"/>
      <c r="H323" s="823"/>
      <c r="I323" s="382"/>
      <c r="J323" s="382"/>
      <c r="K323" s="382"/>
      <c r="L323" s="382"/>
      <c r="M323" s="382"/>
      <c r="N323" s="823"/>
      <c r="O323" s="372"/>
      <c r="P323" s="373"/>
      <c r="Q323" s="384">
        <f>SUM(Q299:Q322)</f>
        <v>13843.02</v>
      </c>
      <c r="R323" s="254"/>
    </row>
    <row r="324" spans="1:18" s="259" customFormat="1" ht="39" customHeight="1">
      <c r="A324" s="309" t="s">
        <v>2062</v>
      </c>
      <c r="B324" s="380"/>
      <c r="C324" s="305" t="s">
        <v>2123</v>
      </c>
      <c r="D324" s="380"/>
      <c r="E324" s="827"/>
      <c r="F324" s="382"/>
      <c r="G324" s="382"/>
      <c r="H324" s="382"/>
      <c r="I324" s="382"/>
      <c r="J324" s="382"/>
      <c r="K324" s="382"/>
      <c r="L324" s="382"/>
      <c r="M324" s="382"/>
      <c r="N324" s="823"/>
      <c r="O324" s="372"/>
      <c r="P324" s="383"/>
      <c r="Q324" s="384"/>
      <c r="R324" s="254"/>
    </row>
    <row r="325" spans="1:18" s="259" customFormat="1" ht="25.5" customHeight="1">
      <c r="A325" s="387" t="s">
        <v>2063</v>
      </c>
      <c r="B325" s="360" t="s">
        <v>474</v>
      </c>
      <c r="C325" s="359" t="s">
        <v>2076</v>
      </c>
      <c r="D325" s="360" t="s">
        <v>465</v>
      </c>
      <c r="E325" s="826"/>
      <c r="F325" s="377"/>
      <c r="G325" s="377"/>
      <c r="H325" s="377"/>
      <c r="I325" s="377"/>
      <c r="J325" s="377"/>
      <c r="K325" s="377"/>
      <c r="L325" s="377"/>
      <c r="M325" s="377"/>
      <c r="N325" s="787">
        <f>memoria!H253</f>
        <v>3.0360000000000005</v>
      </c>
      <c r="O325" s="361">
        <f t="shared" ref="O325:O342" si="45">SUM(E325:N325)</f>
        <v>3.0360000000000005</v>
      </c>
      <c r="P325" s="362">
        <f>COMPOSIÇÕES!B235</f>
        <v>77.115299999999991</v>
      </c>
      <c r="Q325" s="363">
        <f t="shared" ref="Q325:Q342" si="46">TRUNC(O325*P325,2)</f>
        <v>234.12</v>
      </c>
      <c r="R325" s="254" t="s">
        <v>1602</v>
      </c>
    </row>
    <row r="326" spans="1:18" s="259" customFormat="1" ht="39" customHeight="1">
      <c r="A326" s="387" t="s">
        <v>2125</v>
      </c>
      <c r="B326" s="360" t="s">
        <v>1155</v>
      </c>
      <c r="C326" s="359" t="s">
        <v>1630</v>
      </c>
      <c r="D326" s="360" t="s">
        <v>465</v>
      </c>
      <c r="E326" s="826"/>
      <c r="F326" s="377"/>
      <c r="G326" s="377"/>
      <c r="H326" s="377"/>
      <c r="I326" s="377"/>
      <c r="J326" s="377"/>
      <c r="K326" s="377"/>
      <c r="L326" s="377"/>
      <c r="M326" s="377"/>
      <c r="N326" s="787">
        <f>memoria!H254</f>
        <v>3.946800000000001</v>
      </c>
      <c r="O326" s="361">
        <f t="shared" si="45"/>
        <v>3.946800000000001</v>
      </c>
      <c r="P326" s="362">
        <f>COMPOSIÇÕES!B284</f>
        <v>23.094749999999998</v>
      </c>
      <c r="Q326" s="363">
        <f t="shared" si="46"/>
        <v>91.15</v>
      </c>
      <c r="R326" s="254" t="s">
        <v>1602</v>
      </c>
    </row>
    <row r="327" spans="1:18" s="259" customFormat="1" ht="39" customHeight="1">
      <c r="A327" s="387" t="s">
        <v>2126</v>
      </c>
      <c r="B327" s="360" t="s">
        <v>2044</v>
      </c>
      <c r="C327" s="359" t="s">
        <v>2045</v>
      </c>
      <c r="D327" s="360" t="s">
        <v>465</v>
      </c>
      <c r="E327" s="826"/>
      <c r="F327" s="377"/>
      <c r="G327" s="377"/>
      <c r="H327" s="377"/>
      <c r="I327" s="377"/>
      <c r="J327" s="377"/>
      <c r="K327" s="377"/>
      <c r="L327" s="377"/>
      <c r="M327" s="377"/>
      <c r="N327" s="787">
        <f>memoria!H252</f>
        <v>0.75900000000000012</v>
      </c>
      <c r="O327" s="361">
        <f t="shared" si="45"/>
        <v>0.75900000000000012</v>
      </c>
      <c r="P327" s="362">
        <f>COMPOSIÇÕES!B328</f>
        <v>228.07155</v>
      </c>
      <c r="Q327" s="363">
        <f t="shared" si="46"/>
        <v>173.1</v>
      </c>
      <c r="R327" s="254" t="s">
        <v>1602</v>
      </c>
    </row>
    <row r="328" spans="1:18" s="259" customFormat="1" ht="39" customHeight="1">
      <c r="A328" s="387" t="s">
        <v>2127</v>
      </c>
      <c r="B328" s="360" t="s">
        <v>2054</v>
      </c>
      <c r="C328" s="359" t="s">
        <v>2053</v>
      </c>
      <c r="D328" s="360" t="s">
        <v>1666</v>
      </c>
      <c r="E328" s="826"/>
      <c r="F328" s="377"/>
      <c r="G328" s="377"/>
      <c r="H328" s="377"/>
      <c r="I328" s="377"/>
      <c r="J328" s="377"/>
      <c r="K328" s="377"/>
      <c r="L328" s="377"/>
      <c r="M328" s="377"/>
      <c r="N328" s="787">
        <f>memoria!H255</f>
        <v>15.180000000000001</v>
      </c>
      <c r="O328" s="361">
        <f t="shared" si="45"/>
        <v>15.180000000000001</v>
      </c>
      <c r="P328" s="362">
        <f>COMPOSIÇÕES!B363</f>
        <v>6.3121500000000008</v>
      </c>
      <c r="Q328" s="363">
        <f t="shared" si="46"/>
        <v>95.81</v>
      </c>
      <c r="R328" s="254" t="s">
        <v>1602</v>
      </c>
    </row>
    <row r="329" spans="1:18" s="259" customFormat="1" ht="39" customHeight="1">
      <c r="A329" s="387" t="s">
        <v>2128</v>
      </c>
      <c r="B329" s="360" t="s">
        <v>2043</v>
      </c>
      <c r="C329" s="359" t="s">
        <v>2075</v>
      </c>
      <c r="D329" s="360" t="s">
        <v>1666</v>
      </c>
      <c r="E329" s="826"/>
      <c r="F329" s="377"/>
      <c r="G329" s="377"/>
      <c r="H329" s="377"/>
      <c r="I329" s="377"/>
      <c r="J329" s="377"/>
      <c r="K329" s="377"/>
      <c r="L329" s="377"/>
      <c r="M329" s="377"/>
      <c r="N329" s="787">
        <f>memoria!H250</f>
        <v>1.1824000000000001</v>
      </c>
      <c r="O329" s="361">
        <f t="shared" si="45"/>
        <v>1.1824000000000001</v>
      </c>
      <c r="P329" s="362">
        <f>COMPOSIÇÕES!B514</f>
        <v>101.03175</v>
      </c>
      <c r="Q329" s="363">
        <f t="shared" si="46"/>
        <v>119.45</v>
      </c>
      <c r="R329" s="254" t="s">
        <v>1602</v>
      </c>
    </row>
    <row r="330" spans="1:18" s="259" customFormat="1" ht="36" customHeight="1">
      <c r="A330" s="387" t="s">
        <v>2129</v>
      </c>
      <c r="B330" s="358" t="s">
        <v>2573</v>
      </c>
      <c r="C330" s="359" t="s">
        <v>2056</v>
      </c>
      <c r="D330" s="360" t="s">
        <v>1401</v>
      </c>
      <c r="E330" s="826"/>
      <c r="F330" s="377"/>
      <c r="G330" s="377"/>
      <c r="H330" s="377"/>
      <c r="I330" s="377"/>
      <c r="J330" s="377"/>
      <c r="K330" s="377"/>
      <c r="L330" s="377"/>
      <c r="M330" s="377"/>
      <c r="N330" s="787">
        <f>memoria!H251</f>
        <v>52.736200000000011</v>
      </c>
      <c r="O330" s="361">
        <f t="shared" si="45"/>
        <v>52.736200000000011</v>
      </c>
      <c r="P330" s="362">
        <f>COMPOSIÇÕES!B450</f>
        <v>7.7688000000000006</v>
      </c>
      <c r="Q330" s="363">
        <f t="shared" si="46"/>
        <v>409.69</v>
      </c>
      <c r="R330" s="254" t="s">
        <v>1602</v>
      </c>
    </row>
    <row r="331" spans="1:18" s="259" customFormat="1" ht="39" customHeight="1">
      <c r="A331" s="387" t="s">
        <v>2130</v>
      </c>
      <c r="B331" s="360" t="s">
        <v>1162</v>
      </c>
      <c r="C331" s="359" t="s">
        <v>1696</v>
      </c>
      <c r="D331" s="360" t="s">
        <v>465</v>
      </c>
      <c r="E331" s="826"/>
      <c r="F331" s="377"/>
      <c r="G331" s="377"/>
      <c r="H331" s="377"/>
      <c r="I331" s="377"/>
      <c r="J331" s="377"/>
      <c r="K331" s="377"/>
      <c r="L331" s="377"/>
      <c r="M331" s="377"/>
      <c r="N331" s="787">
        <f>memoria!H248+memoria!H249</f>
        <v>2.98028</v>
      </c>
      <c r="O331" s="361">
        <f t="shared" si="45"/>
        <v>2.98028</v>
      </c>
      <c r="P331" s="362">
        <f>COMPOSIÇÕES!B536</f>
        <v>393.63164999999992</v>
      </c>
      <c r="Q331" s="363">
        <f t="shared" si="46"/>
        <v>1173.1300000000001</v>
      </c>
      <c r="R331" s="254" t="s">
        <v>1602</v>
      </c>
    </row>
    <row r="332" spans="1:18" s="259" customFormat="1" ht="33.75" customHeight="1">
      <c r="A332" s="387" t="s">
        <v>2131</v>
      </c>
      <c r="B332" s="358" t="s">
        <v>1636</v>
      </c>
      <c r="C332" s="359" t="s">
        <v>2046</v>
      </c>
      <c r="D332" s="360" t="s">
        <v>465</v>
      </c>
      <c r="E332" s="826"/>
      <c r="F332" s="377"/>
      <c r="G332" s="377"/>
      <c r="H332" s="377"/>
      <c r="I332" s="377"/>
      <c r="J332" s="377"/>
      <c r="K332" s="377"/>
      <c r="L332" s="377"/>
      <c r="M332" s="377"/>
      <c r="N332" s="787">
        <f>N331</f>
        <v>2.98028</v>
      </c>
      <c r="O332" s="361">
        <f t="shared" si="45"/>
        <v>2.98028</v>
      </c>
      <c r="P332" s="362">
        <f>COMPOSIÇÕES!B554</f>
        <v>128.16030000000001</v>
      </c>
      <c r="Q332" s="363">
        <f t="shared" si="46"/>
        <v>381.95</v>
      </c>
      <c r="R332" s="254" t="s">
        <v>1602</v>
      </c>
    </row>
    <row r="333" spans="1:18" s="259" customFormat="1" ht="39" customHeight="1">
      <c r="A333" s="387" t="s">
        <v>2132</v>
      </c>
      <c r="B333" s="358" t="s">
        <v>2057</v>
      </c>
      <c r="C333" s="880" t="s">
        <v>2058</v>
      </c>
      <c r="D333" s="360" t="s">
        <v>1666</v>
      </c>
      <c r="E333" s="826"/>
      <c r="F333" s="377"/>
      <c r="G333" s="377"/>
      <c r="H333" s="377"/>
      <c r="I333" s="377"/>
      <c r="J333" s="377"/>
      <c r="K333" s="377"/>
      <c r="L333" s="377"/>
      <c r="M333" s="377"/>
      <c r="N333" s="787">
        <f>memoria!H256</f>
        <v>8.7910000000000004</v>
      </c>
      <c r="O333" s="361">
        <f t="shared" si="45"/>
        <v>8.7910000000000004</v>
      </c>
      <c r="P333" s="362">
        <f>COMPOSIÇÕES!B913</f>
        <v>35.930700000000002</v>
      </c>
      <c r="Q333" s="363">
        <f t="shared" si="46"/>
        <v>315.86</v>
      </c>
      <c r="R333" s="254" t="s">
        <v>1602</v>
      </c>
    </row>
    <row r="334" spans="1:18" s="259" customFormat="1" ht="65.25" customHeight="1">
      <c r="A334" s="387" t="s">
        <v>2133</v>
      </c>
      <c r="B334" s="360" t="s">
        <v>2081</v>
      </c>
      <c r="C334" s="359" t="s">
        <v>2082</v>
      </c>
      <c r="D334" s="360" t="s">
        <v>1666</v>
      </c>
      <c r="E334" s="787"/>
      <c r="F334" s="361"/>
      <c r="G334" s="361"/>
      <c r="H334" s="787"/>
      <c r="I334" s="377"/>
      <c r="J334" s="377"/>
      <c r="K334" s="377"/>
      <c r="L334" s="377"/>
      <c r="M334" s="377"/>
      <c r="N334" s="787">
        <f>memoria!H257</f>
        <v>18.920000000000005</v>
      </c>
      <c r="O334" s="361">
        <f t="shared" si="45"/>
        <v>18.920000000000005</v>
      </c>
      <c r="P334" s="362">
        <f>COMPOSIÇÕES!B951</f>
        <v>65.935200000000009</v>
      </c>
      <c r="Q334" s="363">
        <f t="shared" si="46"/>
        <v>1247.49</v>
      </c>
      <c r="R334" s="254" t="s">
        <v>1602</v>
      </c>
    </row>
    <row r="335" spans="1:18" s="259" customFormat="1" ht="49.5" customHeight="1">
      <c r="A335" s="387" t="s">
        <v>2134</v>
      </c>
      <c r="B335" s="360" t="s">
        <v>2083</v>
      </c>
      <c r="C335" s="359" t="s">
        <v>2084</v>
      </c>
      <c r="D335" s="360" t="s">
        <v>1666</v>
      </c>
      <c r="E335" s="787"/>
      <c r="F335" s="361"/>
      <c r="G335" s="361"/>
      <c r="H335" s="787"/>
      <c r="I335" s="377"/>
      <c r="J335" s="377"/>
      <c r="K335" s="377"/>
      <c r="L335" s="377"/>
      <c r="M335" s="377"/>
      <c r="N335" s="787">
        <f>memoria!H258</f>
        <v>37.840000000000011</v>
      </c>
      <c r="O335" s="361">
        <f t="shared" si="45"/>
        <v>37.840000000000011</v>
      </c>
      <c r="P335" s="362">
        <f>COMPOSIÇÕES!B970</f>
        <v>4.0213500000000009</v>
      </c>
      <c r="Q335" s="363">
        <f t="shared" si="46"/>
        <v>152.16</v>
      </c>
      <c r="R335" s="254" t="s">
        <v>1602</v>
      </c>
    </row>
    <row r="336" spans="1:18" s="259" customFormat="1" ht="55.5" customHeight="1">
      <c r="A336" s="387" t="s">
        <v>2135</v>
      </c>
      <c r="B336" s="360" t="s">
        <v>2091</v>
      </c>
      <c r="C336" s="359" t="s">
        <v>2093</v>
      </c>
      <c r="D336" s="360" t="s">
        <v>1666</v>
      </c>
      <c r="E336" s="787"/>
      <c r="F336" s="361"/>
      <c r="G336" s="361"/>
      <c r="H336" s="787"/>
      <c r="I336" s="377"/>
      <c r="J336" s="377"/>
      <c r="K336" s="377"/>
      <c r="L336" s="377"/>
      <c r="M336" s="377"/>
      <c r="N336" s="787">
        <f>memoria!H259</f>
        <v>37.840000000000011</v>
      </c>
      <c r="O336" s="361">
        <f t="shared" si="45"/>
        <v>37.840000000000011</v>
      </c>
      <c r="P336" s="362">
        <f>COMPOSIÇÕES!B1008</f>
        <v>30.751500000000004</v>
      </c>
      <c r="Q336" s="363">
        <f t="shared" si="46"/>
        <v>1163.6300000000001</v>
      </c>
      <c r="R336" s="254" t="s">
        <v>1602</v>
      </c>
    </row>
    <row r="337" spans="1:18" s="259" customFormat="1" ht="33" customHeight="1">
      <c r="A337" s="387" t="s">
        <v>2136</v>
      </c>
      <c r="B337" s="360" t="s">
        <v>2094</v>
      </c>
      <c r="C337" s="359" t="s">
        <v>2143</v>
      </c>
      <c r="D337" s="360" t="s">
        <v>1666</v>
      </c>
      <c r="E337" s="787"/>
      <c r="F337" s="361"/>
      <c r="G337" s="361"/>
      <c r="H337" s="787"/>
      <c r="I337" s="377"/>
      <c r="J337" s="377"/>
      <c r="K337" s="377"/>
      <c r="L337" s="377"/>
      <c r="M337" s="377"/>
      <c r="N337" s="787">
        <f>memoria!H260</f>
        <v>37.840000000000011</v>
      </c>
      <c r="O337" s="361">
        <f t="shared" si="45"/>
        <v>37.840000000000011</v>
      </c>
      <c r="P337" s="362">
        <f>COMPOSIÇÕES!B1026</f>
        <v>12.46245</v>
      </c>
      <c r="Q337" s="363">
        <f t="shared" si="46"/>
        <v>471.57</v>
      </c>
      <c r="R337" s="254" t="s">
        <v>1602</v>
      </c>
    </row>
    <row r="338" spans="1:18" s="259" customFormat="1" ht="32.25" customHeight="1">
      <c r="A338" s="387" t="s">
        <v>2137</v>
      </c>
      <c r="B338" s="360" t="s">
        <v>2103</v>
      </c>
      <c r="C338" s="359" t="s">
        <v>2102</v>
      </c>
      <c r="D338" s="360" t="s">
        <v>1666</v>
      </c>
      <c r="E338" s="787"/>
      <c r="F338" s="361"/>
      <c r="G338" s="361"/>
      <c r="H338" s="787"/>
      <c r="I338" s="377"/>
      <c r="J338" s="377"/>
      <c r="K338" s="377"/>
      <c r="L338" s="377"/>
      <c r="M338" s="377"/>
      <c r="N338" s="787">
        <f>memoria!H260</f>
        <v>37.840000000000011</v>
      </c>
      <c r="O338" s="361">
        <f t="shared" si="45"/>
        <v>37.840000000000011</v>
      </c>
      <c r="P338" s="362">
        <f>COMPOSIÇÕES!B1044</f>
        <v>12.68655</v>
      </c>
      <c r="Q338" s="363">
        <f t="shared" si="46"/>
        <v>480.05</v>
      </c>
      <c r="R338" s="254" t="s">
        <v>1602</v>
      </c>
    </row>
    <row r="339" spans="1:18" s="259" customFormat="1" ht="54.75" customHeight="1">
      <c r="A339" s="387" t="s">
        <v>2138</v>
      </c>
      <c r="B339" s="894" t="s">
        <v>2038</v>
      </c>
      <c r="C339" s="359" t="s">
        <v>2100</v>
      </c>
      <c r="D339" s="360" t="s">
        <v>1666</v>
      </c>
      <c r="E339" s="787"/>
      <c r="F339" s="361"/>
      <c r="G339" s="361"/>
      <c r="H339" s="787"/>
      <c r="I339" s="377"/>
      <c r="J339" s="377"/>
      <c r="K339" s="377"/>
      <c r="L339" s="377"/>
      <c r="M339" s="377"/>
      <c r="N339" s="787">
        <f>memoria!H262</f>
        <v>11.984</v>
      </c>
      <c r="O339" s="361">
        <f t="shared" si="45"/>
        <v>11.984</v>
      </c>
      <c r="P339" s="362">
        <f>COMPOSIÇÕES!B1185</f>
        <v>1102.7338500000001</v>
      </c>
      <c r="Q339" s="363">
        <f t="shared" si="46"/>
        <v>13215.16</v>
      </c>
      <c r="R339" s="254" t="s">
        <v>1602</v>
      </c>
    </row>
    <row r="340" spans="1:18" s="259" customFormat="1" ht="39" customHeight="1">
      <c r="A340" s="387" t="s">
        <v>2139</v>
      </c>
      <c r="B340" s="358" t="s">
        <v>2156</v>
      </c>
      <c r="C340" s="887" t="s">
        <v>2155</v>
      </c>
      <c r="D340" s="360" t="s">
        <v>1666</v>
      </c>
      <c r="E340" s="787"/>
      <c r="F340" s="361"/>
      <c r="G340" s="361"/>
      <c r="H340" s="787"/>
      <c r="I340" s="377"/>
      <c r="J340" s="377"/>
      <c r="K340" s="377"/>
      <c r="L340" s="377"/>
      <c r="M340" s="377"/>
      <c r="N340" s="787">
        <f>memoria!H262</f>
        <v>11.984</v>
      </c>
      <c r="O340" s="361">
        <f t="shared" si="45"/>
        <v>11.984</v>
      </c>
      <c r="P340" s="362">
        <f>COMPOSIÇÕES!B1062</f>
        <v>21.638099999999998</v>
      </c>
      <c r="Q340" s="363">
        <f t="shared" si="46"/>
        <v>259.31</v>
      </c>
      <c r="R340" s="254" t="s">
        <v>1602</v>
      </c>
    </row>
    <row r="341" spans="1:18" s="259" customFormat="1" ht="39" customHeight="1">
      <c r="A341" s="387" t="s">
        <v>2140</v>
      </c>
      <c r="B341" s="358" t="s">
        <v>2105</v>
      </c>
      <c r="C341" s="887" t="s">
        <v>2104</v>
      </c>
      <c r="D341" s="360" t="s">
        <v>1666</v>
      </c>
      <c r="E341" s="787"/>
      <c r="F341" s="361"/>
      <c r="G341" s="361"/>
      <c r="H341" s="787"/>
      <c r="I341" s="377"/>
      <c r="J341" s="377"/>
      <c r="K341" s="377"/>
      <c r="L341" s="377"/>
      <c r="M341" s="377"/>
      <c r="N341" s="787">
        <f>memoria!H262</f>
        <v>11.984</v>
      </c>
      <c r="O341" s="361">
        <f t="shared" si="45"/>
        <v>11.984</v>
      </c>
      <c r="P341" s="362">
        <f>COMPOSIÇÕES!B1082</f>
        <v>28.846649999999997</v>
      </c>
      <c r="Q341" s="363">
        <f t="shared" si="46"/>
        <v>345.69</v>
      </c>
      <c r="R341" s="254" t="s">
        <v>1602</v>
      </c>
    </row>
    <row r="342" spans="1:18" s="259" customFormat="1" ht="53.25" customHeight="1">
      <c r="A342" s="387" t="s">
        <v>2993</v>
      </c>
      <c r="B342" s="360" t="s">
        <v>2180</v>
      </c>
      <c r="C342" s="359" t="s">
        <v>2179</v>
      </c>
      <c r="D342" s="360" t="s">
        <v>418</v>
      </c>
      <c r="E342" s="787"/>
      <c r="F342" s="361"/>
      <c r="G342" s="361"/>
      <c r="H342" s="787"/>
      <c r="I342" s="377"/>
      <c r="J342" s="377"/>
      <c r="K342" s="377"/>
      <c r="L342" s="377"/>
      <c r="M342" s="377"/>
      <c r="N342" s="787">
        <f>memoria!H264</f>
        <v>26.5</v>
      </c>
      <c r="O342" s="361">
        <f t="shared" si="45"/>
        <v>26.5</v>
      </c>
      <c r="P342" s="362">
        <f>COMPOSIÇÕES!B2106</f>
        <v>29.008500000000002</v>
      </c>
      <c r="Q342" s="375">
        <f t="shared" si="46"/>
        <v>768.72</v>
      </c>
      <c r="R342" s="254" t="s">
        <v>1602</v>
      </c>
    </row>
    <row r="343" spans="1:18" s="259" customFormat="1" ht="24.75" customHeight="1">
      <c r="A343" s="387"/>
      <c r="B343" s="371"/>
      <c r="C343" s="1243" t="s">
        <v>3041</v>
      </c>
      <c r="D343" s="371"/>
      <c r="E343" s="823"/>
      <c r="F343" s="372"/>
      <c r="G343" s="372"/>
      <c r="H343" s="823"/>
      <c r="I343" s="382"/>
      <c r="J343" s="382"/>
      <c r="K343" s="382"/>
      <c r="L343" s="382"/>
      <c r="M343" s="382"/>
      <c r="N343" s="823"/>
      <c r="O343" s="372"/>
      <c r="P343" s="373"/>
      <c r="Q343" s="384">
        <f>SUM(Q325:Q342)</f>
        <v>21098.04</v>
      </c>
      <c r="R343" s="254"/>
    </row>
    <row r="344" spans="1:18" s="259" customFormat="1" ht="29.25" customHeight="1">
      <c r="A344" s="309" t="s">
        <v>2149</v>
      </c>
      <c r="B344" s="380"/>
      <c r="C344" s="305" t="s">
        <v>3025</v>
      </c>
      <c r="D344" s="380"/>
      <c r="E344" s="827"/>
      <c r="F344" s="382"/>
      <c r="G344" s="382"/>
      <c r="H344" s="382"/>
      <c r="I344" s="382"/>
      <c r="J344" s="382"/>
      <c r="K344" s="382"/>
      <c r="L344" s="382"/>
      <c r="M344" s="382"/>
      <c r="N344" s="823"/>
      <c r="O344" s="372"/>
      <c r="P344" s="383"/>
      <c r="Q344" s="384"/>
      <c r="R344" s="254"/>
    </row>
    <row r="345" spans="1:18" s="259" customFormat="1" ht="26.25" customHeight="1">
      <c r="A345" s="387" t="s">
        <v>2958</v>
      </c>
      <c r="B345" s="358" t="s">
        <v>474</v>
      </c>
      <c r="C345" s="359" t="s">
        <v>3028</v>
      </c>
      <c r="D345" s="360" t="s">
        <v>1398</v>
      </c>
      <c r="E345" s="787"/>
      <c r="F345" s="361"/>
      <c r="G345" s="361"/>
      <c r="H345" s="787"/>
      <c r="I345" s="377"/>
      <c r="J345" s="377"/>
      <c r="K345" s="377"/>
      <c r="L345" s="377"/>
      <c r="M345" s="377"/>
      <c r="N345" s="787">
        <v>1.05</v>
      </c>
      <c r="O345" s="361">
        <f t="shared" ref="O345:O359" si="47">SUM(E345:N345)</f>
        <v>1.05</v>
      </c>
      <c r="P345" s="362">
        <f>COMPOSIÇÕES!B235</f>
        <v>77.115299999999991</v>
      </c>
      <c r="Q345" s="375">
        <f t="shared" ref="Q345:Q356" si="48">TRUNC(O345*P345,2)</f>
        <v>80.97</v>
      </c>
      <c r="R345" s="254" t="s">
        <v>1602</v>
      </c>
    </row>
    <row r="346" spans="1:18" s="259" customFormat="1" ht="32.25" customHeight="1">
      <c r="A346" s="387" t="s">
        <v>2959</v>
      </c>
      <c r="B346" s="360" t="s">
        <v>1155</v>
      </c>
      <c r="C346" s="359" t="s">
        <v>1630</v>
      </c>
      <c r="D346" s="360" t="s">
        <v>1398</v>
      </c>
      <c r="E346" s="787"/>
      <c r="F346" s="361"/>
      <c r="G346" s="361"/>
      <c r="H346" s="787"/>
      <c r="I346" s="377"/>
      <c r="J346" s="377"/>
      <c r="K346" s="377"/>
      <c r="L346" s="377"/>
      <c r="M346" s="377"/>
      <c r="N346" s="787">
        <v>1.36</v>
      </c>
      <c r="O346" s="361">
        <f t="shared" si="47"/>
        <v>1.36</v>
      </c>
      <c r="P346" s="362">
        <f>COMPOSIÇÕES!B284</f>
        <v>23.094749999999998</v>
      </c>
      <c r="Q346" s="375">
        <f t="shared" si="48"/>
        <v>31.4</v>
      </c>
      <c r="R346" s="254" t="s">
        <v>1602</v>
      </c>
    </row>
    <row r="347" spans="1:18" s="259" customFormat="1" ht="33.75" customHeight="1">
      <c r="A347" s="387" t="s">
        <v>2962</v>
      </c>
      <c r="B347" s="360" t="s">
        <v>1159</v>
      </c>
      <c r="C347" s="359" t="s">
        <v>2151</v>
      </c>
      <c r="D347" s="360" t="s">
        <v>1398</v>
      </c>
      <c r="E347" s="787"/>
      <c r="F347" s="361"/>
      <c r="G347" s="361"/>
      <c r="H347" s="787"/>
      <c r="I347" s="377"/>
      <c r="J347" s="377"/>
      <c r="K347" s="377"/>
      <c r="L347" s="377"/>
      <c r="M347" s="377"/>
      <c r="N347" s="787">
        <v>0.31</v>
      </c>
      <c r="O347" s="361">
        <f t="shared" si="47"/>
        <v>0.31</v>
      </c>
      <c r="P347" s="362">
        <f>COMPOSIÇÕES!B347</f>
        <v>354.82499999999999</v>
      </c>
      <c r="Q347" s="375">
        <f t="shared" si="48"/>
        <v>109.99</v>
      </c>
      <c r="R347" s="254" t="s">
        <v>1602</v>
      </c>
    </row>
    <row r="348" spans="1:18" s="259" customFormat="1" ht="41.25" customHeight="1">
      <c r="A348" s="387" t="s">
        <v>2963</v>
      </c>
      <c r="B348" s="360" t="s">
        <v>1160</v>
      </c>
      <c r="C348" s="359" t="s">
        <v>2150</v>
      </c>
      <c r="D348" s="360" t="s">
        <v>1401</v>
      </c>
      <c r="E348" s="787"/>
      <c r="F348" s="361"/>
      <c r="G348" s="361"/>
      <c r="H348" s="787"/>
      <c r="I348" s="377"/>
      <c r="J348" s="377"/>
      <c r="K348" s="377"/>
      <c r="L348" s="377"/>
      <c r="M348" s="377"/>
      <c r="N348" s="787">
        <v>142.16</v>
      </c>
      <c r="O348" s="361">
        <f t="shared" si="47"/>
        <v>142.16</v>
      </c>
      <c r="P348" s="362">
        <f>COMPOSIÇÕES!B471</f>
        <v>11.366849999999999</v>
      </c>
      <c r="Q348" s="375">
        <f t="shared" si="48"/>
        <v>1615.91</v>
      </c>
      <c r="R348" s="254" t="s">
        <v>1602</v>
      </c>
    </row>
    <row r="349" spans="1:18" s="259" customFormat="1" ht="39.75" customHeight="1">
      <c r="A349" s="387" t="s">
        <v>2964</v>
      </c>
      <c r="B349" s="360" t="s">
        <v>1162</v>
      </c>
      <c r="C349" s="359" t="s">
        <v>1696</v>
      </c>
      <c r="D349" s="360" t="s">
        <v>1398</v>
      </c>
      <c r="E349" s="787"/>
      <c r="F349" s="361"/>
      <c r="G349" s="361"/>
      <c r="H349" s="787"/>
      <c r="I349" s="377"/>
      <c r="J349" s="377"/>
      <c r="K349" s="377"/>
      <c r="L349" s="377"/>
      <c r="M349" s="377"/>
      <c r="N349" s="787">
        <v>1.78</v>
      </c>
      <c r="O349" s="361">
        <f t="shared" si="47"/>
        <v>1.78</v>
      </c>
      <c r="P349" s="362">
        <f>COMPOSIÇÕES!B536</f>
        <v>393.63164999999992</v>
      </c>
      <c r="Q349" s="375">
        <f t="shared" si="48"/>
        <v>700.66</v>
      </c>
      <c r="R349" s="254" t="s">
        <v>1602</v>
      </c>
    </row>
    <row r="350" spans="1:18" s="259" customFormat="1" ht="34.5" customHeight="1">
      <c r="A350" s="387" t="s">
        <v>2965</v>
      </c>
      <c r="B350" s="358" t="s">
        <v>1636</v>
      </c>
      <c r="C350" s="359" t="s">
        <v>2152</v>
      </c>
      <c r="D350" s="360" t="s">
        <v>1398</v>
      </c>
      <c r="E350" s="787"/>
      <c r="F350" s="361"/>
      <c r="G350" s="361"/>
      <c r="H350" s="787"/>
      <c r="I350" s="377"/>
      <c r="J350" s="377"/>
      <c r="K350" s="377"/>
      <c r="L350" s="377"/>
      <c r="M350" s="377"/>
      <c r="N350" s="787">
        <v>1.78</v>
      </c>
      <c r="O350" s="361">
        <f t="shared" si="47"/>
        <v>1.78</v>
      </c>
      <c r="P350" s="362">
        <f>COMPOSIÇÕES!B554</f>
        <v>128.16030000000001</v>
      </c>
      <c r="Q350" s="375">
        <f t="shared" si="48"/>
        <v>228.12</v>
      </c>
      <c r="R350" s="254" t="s">
        <v>1602</v>
      </c>
    </row>
    <row r="351" spans="1:18" s="259" customFormat="1" ht="70.5" customHeight="1">
      <c r="A351" s="387" t="s">
        <v>2966</v>
      </c>
      <c r="B351" s="358" t="s">
        <v>2637</v>
      </c>
      <c r="C351" s="374" t="s">
        <v>2638</v>
      </c>
      <c r="D351" s="360" t="s">
        <v>1574</v>
      </c>
      <c r="E351" s="787"/>
      <c r="F351" s="361"/>
      <c r="G351" s="361"/>
      <c r="H351" s="787"/>
      <c r="I351" s="377"/>
      <c r="J351" s="377"/>
      <c r="K351" s="377"/>
      <c r="L351" s="377"/>
      <c r="M351" s="377"/>
      <c r="N351" s="787">
        <v>52.5</v>
      </c>
      <c r="O351" s="361">
        <f t="shared" si="47"/>
        <v>52.5</v>
      </c>
      <c r="P351" s="362">
        <f>COMPOSIÇÕES!B1206</f>
        <v>138.10785000000001</v>
      </c>
      <c r="Q351" s="375">
        <f t="shared" si="48"/>
        <v>7250.66</v>
      </c>
      <c r="R351" s="254" t="s">
        <v>1602</v>
      </c>
    </row>
    <row r="352" spans="1:18" s="259" customFormat="1" ht="55.5" customHeight="1">
      <c r="A352" s="387" t="s">
        <v>2967</v>
      </c>
      <c r="B352" s="358" t="s">
        <v>2038</v>
      </c>
      <c r="C352" s="359" t="s">
        <v>3026</v>
      </c>
      <c r="D352" s="360" t="s">
        <v>1574</v>
      </c>
      <c r="E352" s="787"/>
      <c r="F352" s="361"/>
      <c r="G352" s="361"/>
      <c r="H352" s="787"/>
      <c r="I352" s="377"/>
      <c r="J352" s="377"/>
      <c r="K352" s="377"/>
      <c r="L352" s="377"/>
      <c r="M352" s="377"/>
      <c r="N352" s="787">
        <f>memoria!H167</f>
        <v>21</v>
      </c>
      <c r="O352" s="361">
        <f t="shared" si="47"/>
        <v>21</v>
      </c>
      <c r="P352" s="362">
        <f>COMPOSIÇÕES!B1185</f>
        <v>1102.7338500000001</v>
      </c>
      <c r="Q352" s="375">
        <f t="shared" si="48"/>
        <v>23157.41</v>
      </c>
      <c r="R352" s="254" t="s">
        <v>1602</v>
      </c>
    </row>
    <row r="353" spans="1:18" s="259" customFormat="1" ht="53.25" customHeight="1">
      <c r="A353" s="387" t="s">
        <v>2960</v>
      </c>
      <c r="B353" s="358" t="s">
        <v>2812</v>
      </c>
      <c r="C353" s="359" t="s">
        <v>2144</v>
      </c>
      <c r="D353" s="360" t="s">
        <v>1538</v>
      </c>
      <c r="E353" s="787"/>
      <c r="F353" s="361"/>
      <c r="G353" s="361"/>
      <c r="H353" s="787"/>
      <c r="I353" s="377"/>
      <c r="J353" s="377"/>
      <c r="K353" s="377"/>
      <c r="L353" s="377"/>
      <c r="M353" s="377"/>
      <c r="N353" s="787">
        <v>1</v>
      </c>
      <c r="O353" s="361">
        <f t="shared" si="47"/>
        <v>1</v>
      </c>
      <c r="P353" s="362">
        <f>8582.95*1.245</f>
        <v>10685.772750000002</v>
      </c>
      <c r="Q353" s="375">
        <f t="shared" si="48"/>
        <v>10685.77</v>
      </c>
      <c r="R353" s="254" t="s">
        <v>2659</v>
      </c>
    </row>
    <row r="354" spans="1:18" s="259" customFormat="1" ht="29.25" hidden="1" customHeight="1">
      <c r="A354" s="387" t="s">
        <v>2968</v>
      </c>
      <c r="B354" s="376"/>
      <c r="C354" s="359" t="s">
        <v>2040</v>
      </c>
      <c r="D354" s="360" t="s">
        <v>418</v>
      </c>
      <c r="E354" s="787"/>
      <c r="F354" s="361"/>
      <c r="G354" s="361"/>
      <c r="H354" s="787"/>
      <c r="I354" s="377"/>
      <c r="J354" s="377"/>
      <c r="K354" s="377"/>
      <c r="L354" s="377"/>
      <c r="M354" s="377"/>
      <c r="N354" s="787"/>
      <c r="O354" s="361">
        <f t="shared" si="47"/>
        <v>0</v>
      </c>
      <c r="P354" s="362">
        <f>78.6*1.245</f>
        <v>97.856999999999999</v>
      </c>
      <c r="Q354" s="375">
        <f t="shared" si="48"/>
        <v>0</v>
      </c>
      <c r="R354" s="254" t="s">
        <v>825</v>
      </c>
    </row>
    <row r="355" spans="1:18" s="259" customFormat="1" ht="33" customHeight="1">
      <c r="A355" s="387" t="s">
        <v>2968</v>
      </c>
      <c r="B355" s="358" t="s">
        <v>2156</v>
      </c>
      <c r="C355" s="887" t="s">
        <v>2155</v>
      </c>
      <c r="D355" s="360" t="s">
        <v>1666</v>
      </c>
      <c r="E355" s="787"/>
      <c r="F355" s="361"/>
      <c r="G355" s="361"/>
      <c r="H355" s="787"/>
      <c r="I355" s="377"/>
      <c r="J355" s="377"/>
      <c r="K355" s="377"/>
      <c r="L355" s="377"/>
      <c r="M355" s="377"/>
      <c r="N355" s="877">
        <v>78.75</v>
      </c>
      <c r="O355" s="361">
        <f t="shared" si="47"/>
        <v>78.75</v>
      </c>
      <c r="P355" s="362">
        <f>COMPOSIÇÕES!B1062</f>
        <v>21.638099999999998</v>
      </c>
      <c r="Q355" s="375">
        <f t="shared" si="48"/>
        <v>1704</v>
      </c>
      <c r="R355" s="254" t="s">
        <v>1602</v>
      </c>
    </row>
    <row r="356" spans="1:18" s="259" customFormat="1" ht="36.75" customHeight="1">
      <c r="A356" s="387" t="s">
        <v>2969</v>
      </c>
      <c r="B356" s="358" t="s">
        <v>2105</v>
      </c>
      <c r="C356" s="887" t="s">
        <v>2104</v>
      </c>
      <c r="D356" s="360" t="s">
        <v>1666</v>
      </c>
      <c r="E356" s="787"/>
      <c r="F356" s="361"/>
      <c r="G356" s="361"/>
      <c r="H356" s="787"/>
      <c r="I356" s="377"/>
      <c r="J356" s="377"/>
      <c r="K356" s="377"/>
      <c r="L356" s="377"/>
      <c r="M356" s="377"/>
      <c r="N356" s="877">
        <v>78.75</v>
      </c>
      <c r="O356" s="361">
        <f t="shared" si="47"/>
        <v>78.75</v>
      </c>
      <c r="P356" s="362">
        <f>COMPOSIÇÕES!B1082</f>
        <v>28.846649999999997</v>
      </c>
      <c r="Q356" s="375">
        <f t="shared" si="48"/>
        <v>2271.67</v>
      </c>
      <c r="R356" s="254" t="s">
        <v>1602</v>
      </c>
    </row>
    <row r="357" spans="1:18" s="259" customFormat="1" ht="23.25" customHeight="1">
      <c r="A357" s="387"/>
      <c r="B357" s="894"/>
      <c r="C357" s="1243" t="s">
        <v>3040</v>
      </c>
      <c r="D357" s="371"/>
      <c r="E357" s="823"/>
      <c r="F357" s="372"/>
      <c r="G357" s="372"/>
      <c r="H357" s="823"/>
      <c r="I357" s="382"/>
      <c r="J357" s="382"/>
      <c r="K357" s="382"/>
      <c r="L357" s="382"/>
      <c r="M357" s="382"/>
      <c r="N357" s="1242"/>
      <c r="O357" s="372"/>
      <c r="P357" s="373"/>
      <c r="Q357" s="384">
        <f>SUM(Q345:Q356)</f>
        <v>47836.56</v>
      </c>
      <c r="R357" s="254"/>
    </row>
    <row r="358" spans="1:18" s="259" customFormat="1" ht="29.25" customHeight="1">
      <c r="A358" s="309" t="s">
        <v>2176</v>
      </c>
      <c r="B358" s="892"/>
      <c r="C358" s="305" t="s">
        <v>1985</v>
      </c>
      <c r="D358" s="380"/>
      <c r="E358" s="827"/>
      <c r="F358" s="382"/>
      <c r="G358" s="382"/>
      <c r="H358" s="382"/>
      <c r="I358" s="382"/>
      <c r="J358" s="382"/>
      <c r="K358" s="382"/>
      <c r="L358" s="382"/>
      <c r="M358" s="382"/>
      <c r="N358" s="382"/>
      <c r="O358" s="382"/>
      <c r="P358" s="383"/>
      <c r="Q358" s="384"/>
      <c r="R358" s="254"/>
    </row>
    <row r="359" spans="1:18" s="259" customFormat="1" ht="29.25" customHeight="1">
      <c r="A359" s="404" t="s">
        <v>2177</v>
      </c>
      <c r="B359" s="1046" t="s">
        <v>2648</v>
      </c>
      <c r="C359" s="405" t="s">
        <v>1254</v>
      </c>
      <c r="D359" s="952" t="s">
        <v>1666</v>
      </c>
      <c r="E359" s="837"/>
      <c r="F359" s="406"/>
      <c r="G359" s="406"/>
      <c r="H359" s="406"/>
      <c r="I359" s="406"/>
      <c r="J359" s="406"/>
      <c r="K359" s="406"/>
      <c r="L359" s="406"/>
      <c r="M359" s="406"/>
      <c r="N359" s="775">
        <v>6315</v>
      </c>
      <c r="O359" s="770">
        <f t="shared" si="47"/>
        <v>6315</v>
      </c>
      <c r="P359" s="1045">
        <f>COMPOSIÇÕES!B1222</f>
        <v>2.9132999999999996</v>
      </c>
      <c r="Q359" s="1074">
        <f t="shared" ref="Q359" si="49">TRUNC(O359*P359,2)</f>
        <v>18397.48</v>
      </c>
      <c r="R359" s="254" t="s">
        <v>1602</v>
      </c>
    </row>
    <row r="360" spans="1:18" s="259" customFormat="1" ht="29.25" customHeight="1">
      <c r="A360" s="387"/>
      <c r="B360" s="371"/>
      <c r="C360" s="1243" t="s">
        <v>3089</v>
      </c>
      <c r="D360" s="371"/>
      <c r="E360" s="827"/>
      <c r="F360" s="382"/>
      <c r="G360" s="382"/>
      <c r="H360" s="382"/>
      <c r="I360" s="382"/>
      <c r="J360" s="382"/>
      <c r="K360" s="382"/>
      <c r="L360" s="382"/>
      <c r="M360" s="382"/>
      <c r="N360" s="372"/>
      <c r="O360" s="372"/>
      <c r="P360" s="373"/>
      <c r="Q360" s="384">
        <f>Q359</f>
        <v>18397.48</v>
      </c>
      <c r="R360" s="254"/>
    </row>
    <row r="361" spans="1:18" s="259" customFormat="1" ht="29.25" customHeight="1">
      <c r="A361" s="310"/>
      <c r="B361" s="340"/>
      <c r="C361" s="350" t="s">
        <v>1255</v>
      </c>
      <c r="D361" s="340"/>
      <c r="E361" s="821"/>
      <c r="F361" s="341"/>
      <c r="G361" s="341"/>
      <c r="H361" s="341"/>
      <c r="I361" s="341"/>
      <c r="J361" s="341"/>
      <c r="K361" s="341"/>
      <c r="L361" s="341"/>
      <c r="M361" s="341"/>
      <c r="N361" s="341"/>
      <c r="O361" s="341"/>
      <c r="P361" s="342"/>
      <c r="Q361" s="343">
        <f>Q357+Q343+Q323+Q297+Q360</f>
        <v>242512.01000000004</v>
      </c>
      <c r="R361" s="254"/>
    </row>
    <row r="362" spans="1:18" s="245" customFormat="1" ht="16.5" customHeight="1">
      <c r="A362" s="407"/>
      <c r="B362" s="408"/>
      <c r="C362" s="409"/>
      <c r="D362" s="408"/>
      <c r="E362" s="838"/>
      <c r="F362" s="410"/>
      <c r="G362" s="410"/>
      <c r="H362" s="410"/>
      <c r="I362" s="410"/>
      <c r="J362" s="410"/>
      <c r="K362" s="410"/>
      <c r="L362" s="410"/>
      <c r="M362" s="410"/>
      <c r="N362" s="410"/>
      <c r="O362" s="410"/>
      <c r="P362" s="411"/>
      <c r="Q362" s="412"/>
      <c r="R362" s="859"/>
    </row>
    <row r="363" spans="1:18" s="259" customFormat="1" ht="34.5" customHeight="1">
      <c r="A363" s="1152"/>
      <c r="B363" s="1153"/>
      <c r="C363" s="1154" t="s">
        <v>2740</v>
      </c>
      <c r="D363" s="1153"/>
      <c r="E363" s="1156"/>
      <c r="F363" s="1157"/>
      <c r="G363" s="1157"/>
      <c r="H363" s="1157"/>
      <c r="I363" s="1157"/>
      <c r="J363" s="1157"/>
      <c r="K363" s="1157"/>
      <c r="L363" s="1157"/>
      <c r="M363" s="1157"/>
      <c r="N363" s="1157"/>
      <c r="O363" s="1157"/>
      <c r="P363" s="1158"/>
      <c r="Q363" s="1155">
        <f>Q45+Q73+Q77+Q96+Q107+Q118+Q129+Q281+Q361</f>
        <v>5062267.84</v>
      </c>
      <c r="R363" s="1298"/>
    </row>
    <row r="364" spans="1:18" s="254" customFormat="1" ht="42" customHeight="1">
      <c r="A364" s="1390"/>
      <c r="B364" s="1391"/>
      <c r="C364" s="1391"/>
      <c r="D364" s="1391"/>
      <c r="E364" s="1391"/>
      <c r="F364" s="1391"/>
      <c r="G364" s="1391"/>
      <c r="H364" s="1391"/>
      <c r="I364" s="1391"/>
      <c r="J364" s="1391"/>
      <c r="K364" s="1391"/>
      <c r="L364" s="1391"/>
      <c r="M364" s="1391"/>
      <c r="N364" s="1391"/>
      <c r="O364" s="1391"/>
      <c r="P364" s="1391"/>
      <c r="Q364" s="1392"/>
      <c r="R364" s="266"/>
    </row>
    <row r="365" spans="1:18" ht="63" customHeight="1">
      <c r="A365" s="1365"/>
      <c r="B365" s="1368"/>
      <c r="C365" s="1356" t="s">
        <v>2741</v>
      </c>
      <c r="D365" s="1366"/>
      <c r="E365" s="1366"/>
      <c r="F365" s="1366"/>
      <c r="G365" s="1366"/>
      <c r="H365" s="1366"/>
      <c r="I365" s="1366"/>
      <c r="J365" s="1366"/>
      <c r="K365" s="1366"/>
      <c r="L365" s="1366"/>
      <c r="M365" s="1366"/>
      <c r="N365" s="1366"/>
      <c r="O365" s="1366"/>
      <c r="P365" s="1371" t="s">
        <v>3125</v>
      </c>
      <c r="Q365" s="1367"/>
    </row>
    <row r="366" spans="1:18" ht="17.25" customHeight="1" thickBot="1">
      <c r="A366" s="324"/>
      <c r="B366" s="289"/>
      <c r="C366" s="290"/>
      <c r="D366" s="291"/>
      <c r="E366" s="839"/>
      <c r="F366" s="292"/>
      <c r="G366" s="292"/>
      <c r="H366" s="292"/>
      <c r="I366" s="292"/>
      <c r="J366" s="292"/>
      <c r="K366" s="292"/>
      <c r="L366" s="292"/>
      <c r="M366" s="292"/>
      <c r="N366" s="292"/>
      <c r="O366" s="292"/>
      <c r="P366" s="292"/>
      <c r="Q366" s="293"/>
    </row>
    <row r="367" spans="1:18" ht="63" customHeight="1">
      <c r="A367" s="325"/>
      <c r="B367" s="294"/>
      <c r="C367" s="295"/>
      <c r="D367" s="294"/>
      <c r="E367" s="840"/>
      <c r="F367" s="296"/>
      <c r="G367" s="296"/>
      <c r="H367" s="296"/>
      <c r="I367" s="296"/>
      <c r="J367" s="296"/>
      <c r="K367" s="296"/>
      <c r="L367" s="296"/>
      <c r="M367" s="296"/>
      <c r="N367" s="296"/>
      <c r="O367" s="296"/>
      <c r="P367" s="296"/>
      <c r="Q367" s="296"/>
    </row>
    <row r="368" spans="1:18" ht="63" customHeight="1">
      <c r="A368" s="326"/>
      <c r="B368" s="297"/>
      <c r="C368" s="298"/>
      <c r="D368" s="297"/>
      <c r="E368" s="841"/>
      <c r="F368" s="299"/>
      <c r="G368" s="299"/>
      <c r="H368" s="299"/>
      <c r="I368" s="299"/>
      <c r="J368" s="299"/>
      <c r="K368" s="299"/>
      <c r="L368" s="299"/>
      <c r="M368" s="299"/>
      <c r="N368" s="299"/>
      <c r="O368" s="299"/>
      <c r="P368" s="299"/>
      <c r="Q368" s="299"/>
    </row>
    <row r="369" spans="1:20" ht="63" customHeight="1">
      <c r="A369" s="326"/>
      <c r="B369" s="297"/>
      <c r="C369" s="298"/>
      <c r="D369" s="297"/>
      <c r="E369" s="841"/>
      <c r="F369" s="299"/>
      <c r="G369" s="299"/>
      <c r="H369" s="299"/>
      <c r="I369" s="299"/>
      <c r="J369" s="299"/>
      <c r="K369" s="299"/>
      <c r="L369" s="299"/>
      <c r="M369" s="299"/>
      <c r="N369" s="299"/>
      <c r="O369" s="299"/>
      <c r="P369" s="299"/>
      <c r="Q369" s="299"/>
    </row>
    <row r="370" spans="1:20" ht="20.100000000000001" customHeight="1"/>
    <row r="371" spans="1:20" ht="20.100000000000001" customHeight="1">
      <c r="T371" s="288">
        <v>6386.25</v>
      </c>
    </row>
    <row r="372" spans="1:20" ht="20.100000000000001" customHeight="1">
      <c r="Q372" s="302">
        <v>210.7</v>
      </c>
      <c r="R372" s="302">
        <v>7.21</v>
      </c>
      <c r="S372" s="288">
        <f>Q372*R372</f>
        <v>1519.1469999999999</v>
      </c>
    </row>
    <row r="373" spans="1:20" ht="20.100000000000001" customHeight="1">
      <c r="Q373" s="302">
        <v>3.73</v>
      </c>
      <c r="R373" s="288">
        <v>384.62</v>
      </c>
      <c r="S373" s="288">
        <f t="shared" ref="S373:S378" si="50">Q373*R373</f>
        <v>1434.6325999999999</v>
      </c>
    </row>
    <row r="374" spans="1:20" ht="20.100000000000001" customHeight="1">
      <c r="Q374" s="302">
        <v>5.3</v>
      </c>
      <c r="R374" s="288">
        <v>142.83000000000001</v>
      </c>
      <c r="S374" s="288">
        <f t="shared" si="50"/>
        <v>756.99900000000002</v>
      </c>
    </row>
    <row r="375" spans="1:20" ht="20.100000000000001" customHeight="1">
      <c r="Q375" s="302">
        <v>5.3</v>
      </c>
      <c r="R375" s="288">
        <v>266.93</v>
      </c>
      <c r="S375" s="288">
        <f t="shared" si="50"/>
        <v>1414.729</v>
      </c>
    </row>
    <row r="376" spans="1:20" ht="20.100000000000001" customHeight="1">
      <c r="Q376" s="302">
        <v>0.41</v>
      </c>
      <c r="R376" s="288">
        <v>382.02</v>
      </c>
      <c r="S376" s="288">
        <f t="shared" si="50"/>
        <v>156.62819999999999</v>
      </c>
    </row>
    <row r="377" spans="1:20" ht="20.100000000000001" customHeight="1">
      <c r="Q377" s="302">
        <v>397.44</v>
      </c>
      <c r="R377" s="288">
        <v>7.2</v>
      </c>
      <c r="S377" s="288">
        <f t="shared" si="50"/>
        <v>2861.5680000000002</v>
      </c>
    </row>
    <row r="378" spans="1:20" ht="20.100000000000001" customHeight="1">
      <c r="Q378" s="302">
        <v>233.05</v>
      </c>
      <c r="R378" s="288">
        <v>7.47</v>
      </c>
      <c r="S378" s="288">
        <f t="shared" si="50"/>
        <v>1740.8835000000001</v>
      </c>
    </row>
    <row r="379" spans="1:20" ht="20.100000000000001" customHeight="1">
      <c r="Q379" s="302">
        <v>15.56</v>
      </c>
      <c r="R379" s="1357" t="s">
        <v>3117</v>
      </c>
    </row>
    <row r="380" spans="1:20" ht="20.100000000000001" customHeight="1">
      <c r="Q380" s="302">
        <v>15.56</v>
      </c>
      <c r="R380" s="1357">
        <v>125.47</v>
      </c>
    </row>
    <row r="381" spans="1:20" ht="20.100000000000001" customHeight="1"/>
    <row r="382" spans="1:20" ht="20.100000000000001" customHeight="1"/>
    <row r="383" spans="1:20" ht="20.100000000000001" customHeight="1"/>
    <row r="384" spans="1:20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</sheetData>
  <mergeCells count="13">
    <mergeCell ref="E1:Q2"/>
    <mergeCell ref="A364:Q364"/>
    <mergeCell ref="A1:B2"/>
    <mergeCell ref="S76:T76"/>
    <mergeCell ref="A4:A5"/>
    <mergeCell ref="B4:B5"/>
    <mergeCell ref="C4:C5"/>
    <mergeCell ref="D4:D5"/>
    <mergeCell ref="O4:O5"/>
    <mergeCell ref="P4:P5"/>
    <mergeCell ref="Q4:Q5"/>
    <mergeCell ref="E4:N4"/>
    <mergeCell ref="C109:O109"/>
  </mergeCells>
  <printOptions horizontalCentered="1" verticalCentered="1"/>
  <pageMargins left="0.70866141732283472" right="0.31496062992125984" top="0.39370078740157483" bottom="0.39370078740157483" header="0" footer="0"/>
  <pageSetup paperSize="9" scale="60" fitToHeight="0" orientation="portrait" horizontalDpi="300" verticalDpi="300" r:id="rId1"/>
  <headerFooter>
    <oddFooter>Página &amp;P de &amp;N</oddFooter>
  </headerFooter>
  <rowBreaks count="7" manualBreakCount="7">
    <brk id="29" max="16" man="1"/>
    <brk id="62" max="16" man="1"/>
    <brk id="95" max="16" man="1"/>
    <brk id="207" max="16" man="1"/>
    <brk id="292" max="16" man="1"/>
    <brk id="319" max="16" man="1"/>
    <brk id="347" max="16" man="1"/>
  </rowBreaks>
  <ignoredErrors>
    <ignoredError sqref="H289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K3073"/>
  <sheetViews>
    <sheetView showGridLines="0" view="pageBreakPreview" topLeftCell="A1697" zoomScale="106" zoomScaleSheetLayoutView="106" workbookViewId="0">
      <selection activeCell="F1698" sqref="F1698"/>
    </sheetView>
  </sheetViews>
  <sheetFormatPr defaultRowHeight="11.25"/>
  <cols>
    <col min="1" max="1" width="11.5703125" style="170" customWidth="1"/>
    <col min="2" max="2" width="45.140625" style="193" customWidth="1"/>
    <col min="3" max="3" width="6.85546875" style="173" customWidth="1"/>
    <col min="4" max="4" width="7.28515625" style="170" customWidth="1"/>
    <col min="5" max="5" width="9.5703125" style="193" customWidth="1"/>
    <col min="6" max="6" width="26.140625" style="193" customWidth="1"/>
    <col min="7" max="7" width="9.42578125" style="193" customWidth="1"/>
    <col min="8" max="8" width="7.7109375" style="170" customWidth="1"/>
    <col min="9" max="11" width="9.140625" style="170"/>
    <col min="12" max="12" width="10.42578125" style="170" customWidth="1"/>
    <col min="13" max="13" width="11.140625" style="170" customWidth="1"/>
    <col min="14" max="249" width="9.140625" style="170"/>
    <col min="250" max="250" width="5.85546875" style="170" customWidth="1"/>
    <col min="251" max="251" width="50.42578125" style="170" customWidth="1"/>
    <col min="252" max="255" width="7.7109375" style="170" customWidth="1"/>
    <col min="256" max="256" width="10.140625" style="170" customWidth="1"/>
    <col min="257" max="260" width="7.7109375" style="170" customWidth="1"/>
    <col min="261" max="261" width="31.7109375" style="170" bestFit="1" customWidth="1"/>
    <col min="262" max="505" width="9.140625" style="170"/>
    <col min="506" max="506" width="5.85546875" style="170" customWidth="1"/>
    <col min="507" max="507" width="50.42578125" style="170" customWidth="1"/>
    <col min="508" max="511" width="7.7109375" style="170" customWidth="1"/>
    <col min="512" max="512" width="10.140625" style="170" customWidth="1"/>
    <col min="513" max="516" width="7.7109375" style="170" customWidth="1"/>
    <col min="517" max="517" width="31.7109375" style="170" bestFit="1" customWidth="1"/>
    <col min="518" max="761" width="9.140625" style="170"/>
    <col min="762" max="762" width="5.85546875" style="170" customWidth="1"/>
    <col min="763" max="763" width="50.42578125" style="170" customWidth="1"/>
    <col min="764" max="767" width="7.7109375" style="170" customWidth="1"/>
    <col min="768" max="768" width="10.140625" style="170" customWidth="1"/>
    <col min="769" max="772" width="7.7109375" style="170" customWidth="1"/>
    <col min="773" max="773" width="31.7109375" style="170" bestFit="1" customWidth="1"/>
    <col min="774" max="1017" width="9.140625" style="170"/>
    <col min="1018" max="1018" width="5.85546875" style="170" customWidth="1"/>
    <col min="1019" max="1019" width="50.42578125" style="170" customWidth="1"/>
    <col min="1020" max="1023" width="7.7109375" style="170" customWidth="1"/>
    <col min="1024" max="1024" width="10.140625" style="170" customWidth="1"/>
    <col min="1025" max="1028" width="7.7109375" style="170" customWidth="1"/>
    <col min="1029" max="1029" width="31.7109375" style="170" bestFit="1" customWidth="1"/>
    <col min="1030" max="1273" width="9.140625" style="170"/>
    <col min="1274" max="1274" width="5.85546875" style="170" customWidth="1"/>
    <col min="1275" max="1275" width="50.42578125" style="170" customWidth="1"/>
    <col min="1276" max="1279" width="7.7109375" style="170" customWidth="1"/>
    <col min="1280" max="1280" width="10.140625" style="170" customWidth="1"/>
    <col min="1281" max="1284" width="7.7109375" style="170" customWidth="1"/>
    <col min="1285" max="1285" width="31.7109375" style="170" bestFit="1" customWidth="1"/>
    <col min="1286" max="1529" width="9.140625" style="170"/>
    <col min="1530" max="1530" width="5.85546875" style="170" customWidth="1"/>
    <col min="1531" max="1531" width="50.42578125" style="170" customWidth="1"/>
    <col min="1532" max="1535" width="7.7109375" style="170" customWidth="1"/>
    <col min="1536" max="1536" width="10.140625" style="170" customWidth="1"/>
    <col min="1537" max="1540" width="7.7109375" style="170" customWidth="1"/>
    <col min="1541" max="1541" width="31.7109375" style="170" bestFit="1" customWidth="1"/>
    <col min="1542" max="1785" width="9.140625" style="170"/>
    <col min="1786" max="1786" width="5.85546875" style="170" customWidth="1"/>
    <col min="1787" max="1787" width="50.42578125" style="170" customWidth="1"/>
    <col min="1788" max="1791" width="7.7109375" style="170" customWidth="1"/>
    <col min="1792" max="1792" width="10.140625" style="170" customWidth="1"/>
    <col min="1793" max="1796" width="7.7109375" style="170" customWidth="1"/>
    <col min="1797" max="1797" width="31.7109375" style="170" bestFit="1" customWidth="1"/>
    <col min="1798" max="2041" width="9.140625" style="170"/>
    <col min="2042" max="2042" width="5.85546875" style="170" customWidth="1"/>
    <col min="2043" max="2043" width="50.42578125" style="170" customWidth="1"/>
    <col min="2044" max="2047" width="7.7109375" style="170" customWidth="1"/>
    <col min="2048" max="2048" width="10.140625" style="170" customWidth="1"/>
    <col min="2049" max="2052" width="7.7109375" style="170" customWidth="1"/>
    <col min="2053" max="2053" width="31.7109375" style="170" bestFit="1" customWidth="1"/>
    <col min="2054" max="2297" width="9.140625" style="170"/>
    <col min="2298" max="2298" width="5.85546875" style="170" customWidth="1"/>
    <col min="2299" max="2299" width="50.42578125" style="170" customWidth="1"/>
    <col min="2300" max="2303" width="7.7109375" style="170" customWidth="1"/>
    <col min="2304" max="2304" width="10.140625" style="170" customWidth="1"/>
    <col min="2305" max="2308" width="7.7109375" style="170" customWidth="1"/>
    <col min="2309" max="2309" width="31.7109375" style="170" bestFit="1" customWidth="1"/>
    <col min="2310" max="2553" width="9.140625" style="170"/>
    <col min="2554" max="2554" width="5.85546875" style="170" customWidth="1"/>
    <col min="2555" max="2555" width="50.42578125" style="170" customWidth="1"/>
    <col min="2556" max="2559" width="7.7109375" style="170" customWidth="1"/>
    <col min="2560" max="2560" width="10.140625" style="170" customWidth="1"/>
    <col min="2561" max="2564" width="7.7109375" style="170" customWidth="1"/>
    <col min="2565" max="2565" width="31.7109375" style="170" bestFit="1" customWidth="1"/>
    <col min="2566" max="2809" width="9.140625" style="170"/>
    <col min="2810" max="2810" width="5.85546875" style="170" customWidth="1"/>
    <col min="2811" max="2811" width="50.42578125" style="170" customWidth="1"/>
    <col min="2812" max="2815" width="7.7109375" style="170" customWidth="1"/>
    <col min="2816" max="2816" width="10.140625" style="170" customWidth="1"/>
    <col min="2817" max="2820" width="7.7109375" style="170" customWidth="1"/>
    <col min="2821" max="2821" width="31.7109375" style="170" bestFit="1" customWidth="1"/>
    <col min="2822" max="3065" width="9.140625" style="170"/>
    <col min="3066" max="3066" width="5.85546875" style="170" customWidth="1"/>
    <col min="3067" max="3067" width="50.42578125" style="170" customWidth="1"/>
    <col min="3068" max="3071" width="7.7109375" style="170" customWidth="1"/>
    <col min="3072" max="3072" width="10.140625" style="170" customWidth="1"/>
    <col min="3073" max="3076" width="7.7109375" style="170" customWidth="1"/>
    <col min="3077" max="3077" width="31.7109375" style="170" bestFit="1" customWidth="1"/>
    <col min="3078" max="3321" width="9.140625" style="170"/>
    <col min="3322" max="3322" width="5.85546875" style="170" customWidth="1"/>
    <col min="3323" max="3323" width="50.42578125" style="170" customWidth="1"/>
    <col min="3324" max="3327" width="7.7109375" style="170" customWidth="1"/>
    <col min="3328" max="3328" width="10.140625" style="170" customWidth="1"/>
    <col min="3329" max="3332" width="7.7109375" style="170" customWidth="1"/>
    <col min="3333" max="3333" width="31.7109375" style="170" bestFit="1" customWidth="1"/>
    <col min="3334" max="3577" width="9.140625" style="170"/>
    <col min="3578" max="3578" width="5.85546875" style="170" customWidth="1"/>
    <col min="3579" max="3579" width="50.42578125" style="170" customWidth="1"/>
    <col min="3580" max="3583" width="7.7109375" style="170" customWidth="1"/>
    <col min="3584" max="3584" width="10.140625" style="170" customWidth="1"/>
    <col min="3585" max="3588" width="7.7109375" style="170" customWidth="1"/>
    <col min="3589" max="3589" width="31.7109375" style="170" bestFit="1" customWidth="1"/>
    <col min="3590" max="3833" width="9.140625" style="170"/>
    <col min="3834" max="3834" width="5.85546875" style="170" customWidth="1"/>
    <col min="3835" max="3835" width="50.42578125" style="170" customWidth="1"/>
    <col min="3836" max="3839" width="7.7109375" style="170" customWidth="1"/>
    <col min="3840" max="3840" width="10.140625" style="170" customWidth="1"/>
    <col min="3841" max="3844" width="7.7109375" style="170" customWidth="1"/>
    <col min="3845" max="3845" width="31.7109375" style="170" bestFit="1" customWidth="1"/>
    <col min="3846" max="4089" width="9.140625" style="170"/>
    <col min="4090" max="4090" width="5.85546875" style="170" customWidth="1"/>
    <col min="4091" max="4091" width="50.42578125" style="170" customWidth="1"/>
    <col min="4092" max="4095" width="7.7109375" style="170" customWidth="1"/>
    <col min="4096" max="4096" width="10.140625" style="170" customWidth="1"/>
    <col min="4097" max="4100" width="7.7109375" style="170" customWidth="1"/>
    <col min="4101" max="4101" width="31.7109375" style="170" bestFit="1" customWidth="1"/>
    <col min="4102" max="4345" width="9.140625" style="170"/>
    <col min="4346" max="4346" width="5.85546875" style="170" customWidth="1"/>
    <col min="4347" max="4347" width="50.42578125" style="170" customWidth="1"/>
    <col min="4348" max="4351" width="7.7109375" style="170" customWidth="1"/>
    <col min="4352" max="4352" width="10.140625" style="170" customWidth="1"/>
    <col min="4353" max="4356" width="7.7109375" style="170" customWidth="1"/>
    <col min="4357" max="4357" width="31.7109375" style="170" bestFit="1" customWidth="1"/>
    <col min="4358" max="4601" width="9.140625" style="170"/>
    <col min="4602" max="4602" width="5.85546875" style="170" customWidth="1"/>
    <col min="4603" max="4603" width="50.42578125" style="170" customWidth="1"/>
    <col min="4604" max="4607" width="7.7109375" style="170" customWidth="1"/>
    <col min="4608" max="4608" width="10.140625" style="170" customWidth="1"/>
    <col min="4609" max="4612" width="7.7109375" style="170" customWidth="1"/>
    <col min="4613" max="4613" width="31.7109375" style="170" bestFit="1" customWidth="1"/>
    <col min="4614" max="4857" width="9.140625" style="170"/>
    <col min="4858" max="4858" width="5.85546875" style="170" customWidth="1"/>
    <col min="4859" max="4859" width="50.42578125" style="170" customWidth="1"/>
    <col min="4860" max="4863" width="7.7109375" style="170" customWidth="1"/>
    <col min="4864" max="4864" width="10.140625" style="170" customWidth="1"/>
    <col min="4865" max="4868" width="7.7109375" style="170" customWidth="1"/>
    <col min="4869" max="4869" width="31.7109375" style="170" bestFit="1" customWidth="1"/>
    <col min="4870" max="5113" width="9.140625" style="170"/>
    <col min="5114" max="5114" width="5.85546875" style="170" customWidth="1"/>
    <col min="5115" max="5115" width="50.42578125" style="170" customWidth="1"/>
    <col min="5116" max="5119" width="7.7109375" style="170" customWidth="1"/>
    <col min="5120" max="5120" width="10.140625" style="170" customWidth="1"/>
    <col min="5121" max="5124" width="7.7109375" style="170" customWidth="1"/>
    <col min="5125" max="5125" width="31.7109375" style="170" bestFit="1" customWidth="1"/>
    <col min="5126" max="5369" width="9.140625" style="170"/>
    <col min="5370" max="5370" width="5.85546875" style="170" customWidth="1"/>
    <col min="5371" max="5371" width="50.42578125" style="170" customWidth="1"/>
    <col min="5372" max="5375" width="7.7109375" style="170" customWidth="1"/>
    <col min="5376" max="5376" width="10.140625" style="170" customWidth="1"/>
    <col min="5377" max="5380" width="7.7109375" style="170" customWidth="1"/>
    <col min="5381" max="5381" width="31.7109375" style="170" bestFit="1" customWidth="1"/>
    <col min="5382" max="5625" width="9.140625" style="170"/>
    <col min="5626" max="5626" width="5.85546875" style="170" customWidth="1"/>
    <col min="5627" max="5627" width="50.42578125" style="170" customWidth="1"/>
    <col min="5628" max="5631" width="7.7109375" style="170" customWidth="1"/>
    <col min="5632" max="5632" width="10.140625" style="170" customWidth="1"/>
    <col min="5633" max="5636" width="7.7109375" style="170" customWidth="1"/>
    <col min="5637" max="5637" width="31.7109375" style="170" bestFit="1" customWidth="1"/>
    <col min="5638" max="5881" width="9.140625" style="170"/>
    <col min="5882" max="5882" width="5.85546875" style="170" customWidth="1"/>
    <col min="5883" max="5883" width="50.42578125" style="170" customWidth="1"/>
    <col min="5884" max="5887" width="7.7109375" style="170" customWidth="1"/>
    <col min="5888" max="5888" width="10.140625" style="170" customWidth="1"/>
    <col min="5889" max="5892" width="7.7109375" style="170" customWidth="1"/>
    <col min="5893" max="5893" width="31.7109375" style="170" bestFit="1" customWidth="1"/>
    <col min="5894" max="6137" width="9.140625" style="170"/>
    <col min="6138" max="6138" width="5.85546875" style="170" customWidth="1"/>
    <col min="6139" max="6139" width="50.42578125" style="170" customWidth="1"/>
    <col min="6140" max="6143" width="7.7109375" style="170" customWidth="1"/>
    <col min="6144" max="6144" width="10.140625" style="170" customWidth="1"/>
    <col min="6145" max="6148" width="7.7109375" style="170" customWidth="1"/>
    <col min="6149" max="6149" width="31.7109375" style="170" bestFit="1" customWidth="1"/>
    <col min="6150" max="6393" width="9.140625" style="170"/>
    <col min="6394" max="6394" width="5.85546875" style="170" customWidth="1"/>
    <col min="6395" max="6395" width="50.42578125" style="170" customWidth="1"/>
    <col min="6396" max="6399" width="7.7109375" style="170" customWidth="1"/>
    <col min="6400" max="6400" width="10.140625" style="170" customWidth="1"/>
    <col min="6401" max="6404" width="7.7109375" style="170" customWidth="1"/>
    <col min="6405" max="6405" width="31.7109375" style="170" bestFit="1" customWidth="1"/>
    <col min="6406" max="6649" width="9.140625" style="170"/>
    <col min="6650" max="6650" width="5.85546875" style="170" customWidth="1"/>
    <col min="6651" max="6651" width="50.42578125" style="170" customWidth="1"/>
    <col min="6652" max="6655" width="7.7109375" style="170" customWidth="1"/>
    <col min="6656" max="6656" width="10.140625" style="170" customWidth="1"/>
    <col min="6657" max="6660" width="7.7109375" style="170" customWidth="1"/>
    <col min="6661" max="6661" width="31.7109375" style="170" bestFit="1" customWidth="1"/>
    <col min="6662" max="6905" width="9.140625" style="170"/>
    <col min="6906" max="6906" width="5.85546875" style="170" customWidth="1"/>
    <col min="6907" max="6907" width="50.42578125" style="170" customWidth="1"/>
    <col min="6908" max="6911" width="7.7109375" style="170" customWidth="1"/>
    <col min="6912" max="6912" width="10.140625" style="170" customWidth="1"/>
    <col min="6913" max="6916" width="7.7109375" style="170" customWidth="1"/>
    <col min="6917" max="6917" width="31.7109375" style="170" bestFit="1" customWidth="1"/>
    <col min="6918" max="7161" width="9.140625" style="170"/>
    <col min="7162" max="7162" width="5.85546875" style="170" customWidth="1"/>
    <col min="7163" max="7163" width="50.42578125" style="170" customWidth="1"/>
    <col min="7164" max="7167" width="7.7109375" style="170" customWidth="1"/>
    <col min="7168" max="7168" width="10.140625" style="170" customWidth="1"/>
    <col min="7169" max="7172" width="7.7109375" style="170" customWidth="1"/>
    <col min="7173" max="7173" width="31.7109375" style="170" bestFit="1" customWidth="1"/>
    <col min="7174" max="7417" width="9.140625" style="170"/>
    <col min="7418" max="7418" width="5.85546875" style="170" customWidth="1"/>
    <col min="7419" max="7419" width="50.42578125" style="170" customWidth="1"/>
    <col min="7420" max="7423" width="7.7109375" style="170" customWidth="1"/>
    <col min="7424" max="7424" width="10.140625" style="170" customWidth="1"/>
    <col min="7425" max="7428" width="7.7109375" style="170" customWidth="1"/>
    <col min="7429" max="7429" width="31.7109375" style="170" bestFit="1" customWidth="1"/>
    <col min="7430" max="7673" width="9.140625" style="170"/>
    <col min="7674" max="7674" width="5.85546875" style="170" customWidth="1"/>
    <col min="7675" max="7675" width="50.42578125" style="170" customWidth="1"/>
    <col min="7676" max="7679" width="7.7109375" style="170" customWidth="1"/>
    <col min="7680" max="7680" width="10.140625" style="170" customWidth="1"/>
    <col min="7681" max="7684" width="7.7109375" style="170" customWidth="1"/>
    <col min="7685" max="7685" width="31.7109375" style="170" bestFit="1" customWidth="1"/>
    <col min="7686" max="7929" width="9.140625" style="170"/>
    <col min="7930" max="7930" width="5.85546875" style="170" customWidth="1"/>
    <col min="7931" max="7931" width="50.42578125" style="170" customWidth="1"/>
    <col min="7932" max="7935" width="7.7109375" style="170" customWidth="1"/>
    <col min="7936" max="7936" width="10.140625" style="170" customWidth="1"/>
    <col min="7937" max="7940" width="7.7109375" style="170" customWidth="1"/>
    <col min="7941" max="7941" width="31.7109375" style="170" bestFit="1" customWidth="1"/>
    <col min="7942" max="8185" width="9.140625" style="170"/>
    <col min="8186" max="8186" width="5.85546875" style="170" customWidth="1"/>
    <col min="8187" max="8187" width="50.42578125" style="170" customWidth="1"/>
    <col min="8188" max="8191" width="7.7109375" style="170" customWidth="1"/>
    <col min="8192" max="8192" width="10.140625" style="170" customWidth="1"/>
    <col min="8193" max="8196" width="7.7109375" style="170" customWidth="1"/>
    <col min="8197" max="8197" width="31.7109375" style="170" bestFit="1" customWidth="1"/>
    <col min="8198" max="8441" width="9.140625" style="170"/>
    <col min="8442" max="8442" width="5.85546875" style="170" customWidth="1"/>
    <col min="8443" max="8443" width="50.42578125" style="170" customWidth="1"/>
    <col min="8444" max="8447" width="7.7109375" style="170" customWidth="1"/>
    <col min="8448" max="8448" width="10.140625" style="170" customWidth="1"/>
    <col min="8449" max="8452" width="7.7109375" style="170" customWidth="1"/>
    <col min="8453" max="8453" width="31.7109375" style="170" bestFit="1" customWidth="1"/>
    <col min="8454" max="8697" width="9.140625" style="170"/>
    <col min="8698" max="8698" width="5.85546875" style="170" customWidth="1"/>
    <col min="8699" max="8699" width="50.42578125" style="170" customWidth="1"/>
    <col min="8700" max="8703" width="7.7109375" style="170" customWidth="1"/>
    <col min="8704" max="8704" width="10.140625" style="170" customWidth="1"/>
    <col min="8705" max="8708" width="7.7109375" style="170" customWidth="1"/>
    <col min="8709" max="8709" width="31.7109375" style="170" bestFit="1" customWidth="1"/>
    <col min="8710" max="8953" width="9.140625" style="170"/>
    <col min="8954" max="8954" width="5.85546875" style="170" customWidth="1"/>
    <col min="8955" max="8955" width="50.42578125" style="170" customWidth="1"/>
    <col min="8956" max="8959" width="7.7109375" style="170" customWidth="1"/>
    <col min="8960" max="8960" width="10.140625" style="170" customWidth="1"/>
    <col min="8961" max="8964" width="7.7109375" style="170" customWidth="1"/>
    <col min="8965" max="8965" width="31.7109375" style="170" bestFit="1" customWidth="1"/>
    <col min="8966" max="9209" width="9.140625" style="170"/>
    <col min="9210" max="9210" width="5.85546875" style="170" customWidth="1"/>
    <col min="9211" max="9211" width="50.42578125" style="170" customWidth="1"/>
    <col min="9212" max="9215" width="7.7109375" style="170" customWidth="1"/>
    <col min="9216" max="9216" width="10.140625" style="170" customWidth="1"/>
    <col min="9217" max="9220" width="7.7109375" style="170" customWidth="1"/>
    <col min="9221" max="9221" width="31.7109375" style="170" bestFit="1" customWidth="1"/>
    <col min="9222" max="9465" width="9.140625" style="170"/>
    <col min="9466" max="9466" width="5.85546875" style="170" customWidth="1"/>
    <col min="9467" max="9467" width="50.42578125" style="170" customWidth="1"/>
    <col min="9468" max="9471" width="7.7109375" style="170" customWidth="1"/>
    <col min="9472" max="9472" width="10.140625" style="170" customWidth="1"/>
    <col min="9473" max="9476" width="7.7109375" style="170" customWidth="1"/>
    <col min="9477" max="9477" width="31.7109375" style="170" bestFit="1" customWidth="1"/>
    <col min="9478" max="9721" width="9.140625" style="170"/>
    <col min="9722" max="9722" width="5.85546875" style="170" customWidth="1"/>
    <col min="9723" max="9723" width="50.42578125" style="170" customWidth="1"/>
    <col min="9724" max="9727" width="7.7109375" style="170" customWidth="1"/>
    <col min="9728" max="9728" width="10.140625" style="170" customWidth="1"/>
    <col min="9729" max="9732" width="7.7109375" style="170" customWidth="1"/>
    <col min="9733" max="9733" width="31.7109375" style="170" bestFit="1" customWidth="1"/>
    <col min="9734" max="9977" width="9.140625" style="170"/>
    <col min="9978" max="9978" width="5.85546875" style="170" customWidth="1"/>
    <col min="9979" max="9979" width="50.42578125" style="170" customWidth="1"/>
    <col min="9980" max="9983" width="7.7109375" style="170" customWidth="1"/>
    <col min="9984" max="9984" width="10.140625" style="170" customWidth="1"/>
    <col min="9985" max="9988" width="7.7109375" style="170" customWidth="1"/>
    <col min="9989" max="9989" width="31.7109375" style="170" bestFit="1" customWidth="1"/>
    <col min="9990" max="10233" width="9.140625" style="170"/>
    <col min="10234" max="10234" width="5.85546875" style="170" customWidth="1"/>
    <col min="10235" max="10235" width="50.42578125" style="170" customWidth="1"/>
    <col min="10236" max="10239" width="7.7109375" style="170" customWidth="1"/>
    <col min="10240" max="10240" width="10.140625" style="170" customWidth="1"/>
    <col min="10241" max="10244" width="7.7109375" style="170" customWidth="1"/>
    <col min="10245" max="10245" width="31.7109375" style="170" bestFit="1" customWidth="1"/>
    <col min="10246" max="10489" width="9.140625" style="170"/>
    <col min="10490" max="10490" width="5.85546875" style="170" customWidth="1"/>
    <col min="10491" max="10491" width="50.42578125" style="170" customWidth="1"/>
    <col min="10492" max="10495" width="7.7109375" style="170" customWidth="1"/>
    <col min="10496" max="10496" width="10.140625" style="170" customWidth="1"/>
    <col min="10497" max="10500" width="7.7109375" style="170" customWidth="1"/>
    <col min="10501" max="10501" width="31.7109375" style="170" bestFit="1" customWidth="1"/>
    <col min="10502" max="10745" width="9.140625" style="170"/>
    <col min="10746" max="10746" width="5.85546875" style="170" customWidth="1"/>
    <col min="10747" max="10747" width="50.42578125" style="170" customWidth="1"/>
    <col min="10748" max="10751" width="7.7109375" style="170" customWidth="1"/>
    <col min="10752" max="10752" width="10.140625" style="170" customWidth="1"/>
    <col min="10753" max="10756" width="7.7109375" style="170" customWidth="1"/>
    <col min="10757" max="10757" width="31.7109375" style="170" bestFit="1" customWidth="1"/>
    <col min="10758" max="11001" width="9.140625" style="170"/>
    <col min="11002" max="11002" width="5.85546875" style="170" customWidth="1"/>
    <col min="11003" max="11003" width="50.42578125" style="170" customWidth="1"/>
    <col min="11004" max="11007" width="7.7109375" style="170" customWidth="1"/>
    <col min="11008" max="11008" width="10.140625" style="170" customWidth="1"/>
    <col min="11009" max="11012" width="7.7109375" style="170" customWidth="1"/>
    <col min="11013" max="11013" width="31.7109375" style="170" bestFit="1" customWidth="1"/>
    <col min="11014" max="11257" width="9.140625" style="170"/>
    <col min="11258" max="11258" width="5.85546875" style="170" customWidth="1"/>
    <col min="11259" max="11259" width="50.42578125" style="170" customWidth="1"/>
    <col min="11260" max="11263" width="7.7109375" style="170" customWidth="1"/>
    <col min="11264" max="11264" width="10.140625" style="170" customWidth="1"/>
    <col min="11265" max="11268" width="7.7109375" style="170" customWidth="1"/>
    <col min="11269" max="11269" width="31.7109375" style="170" bestFit="1" customWidth="1"/>
    <col min="11270" max="11513" width="9.140625" style="170"/>
    <col min="11514" max="11514" width="5.85546875" style="170" customWidth="1"/>
    <col min="11515" max="11515" width="50.42578125" style="170" customWidth="1"/>
    <col min="11516" max="11519" width="7.7109375" style="170" customWidth="1"/>
    <col min="11520" max="11520" width="10.140625" style="170" customWidth="1"/>
    <col min="11521" max="11524" width="7.7109375" style="170" customWidth="1"/>
    <col min="11525" max="11525" width="31.7109375" style="170" bestFit="1" customWidth="1"/>
    <col min="11526" max="11769" width="9.140625" style="170"/>
    <col min="11770" max="11770" width="5.85546875" style="170" customWidth="1"/>
    <col min="11771" max="11771" width="50.42578125" style="170" customWidth="1"/>
    <col min="11772" max="11775" width="7.7109375" style="170" customWidth="1"/>
    <col min="11776" max="11776" width="10.140625" style="170" customWidth="1"/>
    <col min="11777" max="11780" width="7.7109375" style="170" customWidth="1"/>
    <col min="11781" max="11781" width="31.7109375" style="170" bestFit="1" customWidth="1"/>
    <col min="11782" max="12025" width="9.140625" style="170"/>
    <col min="12026" max="12026" width="5.85546875" style="170" customWidth="1"/>
    <col min="12027" max="12027" width="50.42578125" style="170" customWidth="1"/>
    <col min="12028" max="12031" width="7.7109375" style="170" customWidth="1"/>
    <col min="12032" max="12032" width="10.140625" style="170" customWidth="1"/>
    <col min="12033" max="12036" width="7.7109375" style="170" customWidth="1"/>
    <col min="12037" max="12037" width="31.7109375" style="170" bestFit="1" customWidth="1"/>
    <col min="12038" max="12281" width="9.140625" style="170"/>
    <col min="12282" max="12282" width="5.85546875" style="170" customWidth="1"/>
    <col min="12283" max="12283" width="50.42578125" style="170" customWidth="1"/>
    <col min="12284" max="12287" width="7.7109375" style="170" customWidth="1"/>
    <col min="12288" max="12288" width="10.140625" style="170" customWidth="1"/>
    <col min="12289" max="12292" width="7.7109375" style="170" customWidth="1"/>
    <col min="12293" max="12293" width="31.7109375" style="170" bestFit="1" customWidth="1"/>
    <col min="12294" max="12537" width="9.140625" style="170"/>
    <col min="12538" max="12538" width="5.85546875" style="170" customWidth="1"/>
    <col min="12539" max="12539" width="50.42578125" style="170" customWidth="1"/>
    <col min="12540" max="12543" width="7.7109375" style="170" customWidth="1"/>
    <col min="12544" max="12544" width="10.140625" style="170" customWidth="1"/>
    <col min="12545" max="12548" width="7.7109375" style="170" customWidth="1"/>
    <col min="12549" max="12549" width="31.7109375" style="170" bestFit="1" customWidth="1"/>
    <col min="12550" max="12793" width="9.140625" style="170"/>
    <col min="12794" max="12794" width="5.85546875" style="170" customWidth="1"/>
    <col min="12795" max="12795" width="50.42578125" style="170" customWidth="1"/>
    <col min="12796" max="12799" width="7.7109375" style="170" customWidth="1"/>
    <col min="12800" max="12800" width="10.140625" style="170" customWidth="1"/>
    <col min="12801" max="12804" width="7.7109375" style="170" customWidth="1"/>
    <col min="12805" max="12805" width="31.7109375" style="170" bestFit="1" customWidth="1"/>
    <col min="12806" max="13049" width="9.140625" style="170"/>
    <col min="13050" max="13050" width="5.85546875" style="170" customWidth="1"/>
    <col min="13051" max="13051" width="50.42578125" style="170" customWidth="1"/>
    <col min="13052" max="13055" width="7.7109375" style="170" customWidth="1"/>
    <col min="13056" max="13056" width="10.140625" style="170" customWidth="1"/>
    <col min="13057" max="13060" width="7.7109375" style="170" customWidth="1"/>
    <col min="13061" max="13061" width="31.7109375" style="170" bestFit="1" customWidth="1"/>
    <col min="13062" max="13305" width="9.140625" style="170"/>
    <col min="13306" max="13306" width="5.85546875" style="170" customWidth="1"/>
    <col min="13307" max="13307" width="50.42578125" style="170" customWidth="1"/>
    <col min="13308" max="13311" width="7.7109375" style="170" customWidth="1"/>
    <col min="13312" max="13312" width="10.140625" style="170" customWidth="1"/>
    <col min="13313" max="13316" width="7.7109375" style="170" customWidth="1"/>
    <col min="13317" max="13317" width="31.7109375" style="170" bestFit="1" customWidth="1"/>
    <col min="13318" max="13561" width="9.140625" style="170"/>
    <col min="13562" max="13562" width="5.85546875" style="170" customWidth="1"/>
    <col min="13563" max="13563" width="50.42578125" style="170" customWidth="1"/>
    <col min="13564" max="13567" width="7.7109375" style="170" customWidth="1"/>
    <col min="13568" max="13568" width="10.140625" style="170" customWidth="1"/>
    <col min="13569" max="13572" width="7.7109375" style="170" customWidth="1"/>
    <col min="13573" max="13573" width="31.7109375" style="170" bestFit="1" customWidth="1"/>
    <col min="13574" max="13817" width="9.140625" style="170"/>
    <col min="13818" max="13818" width="5.85546875" style="170" customWidth="1"/>
    <col min="13819" max="13819" width="50.42578125" style="170" customWidth="1"/>
    <col min="13820" max="13823" width="7.7109375" style="170" customWidth="1"/>
    <col min="13824" max="13824" width="10.140625" style="170" customWidth="1"/>
    <col min="13825" max="13828" width="7.7109375" style="170" customWidth="1"/>
    <col min="13829" max="13829" width="31.7109375" style="170" bestFit="1" customWidth="1"/>
    <col min="13830" max="14073" width="9.140625" style="170"/>
    <col min="14074" max="14074" width="5.85546875" style="170" customWidth="1"/>
    <col min="14075" max="14075" width="50.42578125" style="170" customWidth="1"/>
    <col min="14076" max="14079" width="7.7109375" style="170" customWidth="1"/>
    <col min="14080" max="14080" width="10.140625" style="170" customWidth="1"/>
    <col min="14081" max="14084" width="7.7109375" style="170" customWidth="1"/>
    <col min="14085" max="14085" width="31.7109375" style="170" bestFit="1" customWidth="1"/>
    <col min="14086" max="14329" width="9.140625" style="170"/>
    <col min="14330" max="14330" width="5.85546875" style="170" customWidth="1"/>
    <col min="14331" max="14331" width="50.42578125" style="170" customWidth="1"/>
    <col min="14332" max="14335" width="7.7109375" style="170" customWidth="1"/>
    <col min="14336" max="14336" width="10.140625" style="170" customWidth="1"/>
    <col min="14337" max="14340" width="7.7109375" style="170" customWidth="1"/>
    <col min="14341" max="14341" width="31.7109375" style="170" bestFit="1" customWidth="1"/>
    <col min="14342" max="14585" width="9.140625" style="170"/>
    <col min="14586" max="14586" width="5.85546875" style="170" customWidth="1"/>
    <col min="14587" max="14587" width="50.42578125" style="170" customWidth="1"/>
    <col min="14588" max="14591" width="7.7109375" style="170" customWidth="1"/>
    <col min="14592" max="14592" width="10.140625" style="170" customWidth="1"/>
    <col min="14593" max="14596" width="7.7109375" style="170" customWidth="1"/>
    <col min="14597" max="14597" width="31.7109375" style="170" bestFit="1" customWidth="1"/>
    <col min="14598" max="14841" width="9.140625" style="170"/>
    <col min="14842" max="14842" width="5.85546875" style="170" customWidth="1"/>
    <col min="14843" max="14843" width="50.42578125" style="170" customWidth="1"/>
    <col min="14844" max="14847" width="7.7109375" style="170" customWidth="1"/>
    <col min="14848" max="14848" width="10.140625" style="170" customWidth="1"/>
    <col min="14849" max="14852" width="7.7109375" style="170" customWidth="1"/>
    <col min="14853" max="14853" width="31.7109375" style="170" bestFit="1" customWidth="1"/>
    <col min="14854" max="15097" width="9.140625" style="170"/>
    <col min="15098" max="15098" width="5.85546875" style="170" customWidth="1"/>
    <col min="15099" max="15099" width="50.42578125" style="170" customWidth="1"/>
    <col min="15100" max="15103" width="7.7109375" style="170" customWidth="1"/>
    <col min="15104" max="15104" width="10.140625" style="170" customWidth="1"/>
    <col min="15105" max="15108" width="7.7109375" style="170" customWidth="1"/>
    <col min="15109" max="15109" width="31.7109375" style="170" bestFit="1" customWidth="1"/>
    <col min="15110" max="15353" width="9.140625" style="170"/>
    <col min="15354" max="15354" width="5.85546875" style="170" customWidth="1"/>
    <col min="15355" max="15355" width="50.42578125" style="170" customWidth="1"/>
    <col min="15356" max="15359" width="7.7109375" style="170" customWidth="1"/>
    <col min="15360" max="15360" width="10.140625" style="170" customWidth="1"/>
    <col min="15361" max="15364" width="7.7109375" style="170" customWidth="1"/>
    <col min="15365" max="15365" width="31.7109375" style="170" bestFit="1" customWidth="1"/>
    <col min="15366" max="15609" width="9.140625" style="170"/>
    <col min="15610" max="15610" width="5.85546875" style="170" customWidth="1"/>
    <col min="15611" max="15611" width="50.42578125" style="170" customWidth="1"/>
    <col min="15612" max="15615" width="7.7109375" style="170" customWidth="1"/>
    <col min="15616" max="15616" width="10.140625" style="170" customWidth="1"/>
    <col min="15617" max="15620" width="7.7109375" style="170" customWidth="1"/>
    <col min="15621" max="15621" width="31.7109375" style="170" bestFit="1" customWidth="1"/>
    <col min="15622" max="15865" width="9.140625" style="170"/>
    <col min="15866" max="15866" width="5.85546875" style="170" customWidth="1"/>
    <col min="15867" max="15867" width="50.42578125" style="170" customWidth="1"/>
    <col min="15868" max="15871" width="7.7109375" style="170" customWidth="1"/>
    <col min="15872" max="15872" width="10.140625" style="170" customWidth="1"/>
    <col min="15873" max="15876" width="7.7109375" style="170" customWidth="1"/>
    <col min="15877" max="15877" width="31.7109375" style="170" bestFit="1" customWidth="1"/>
    <col min="15878" max="16121" width="9.140625" style="170"/>
    <col min="16122" max="16122" width="5.85546875" style="170" customWidth="1"/>
    <col min="16123" max="16123" width="50.42578125" style="170" customWidth="1"/>
    <col min="16124" max="16127" width="7.7109375" style="170" customWidth="1"/>
    <col min="16128" max="16128" width="10.140625" style="170" customWidth="1"/>
    <col min="16129" max="16132" width="7.7109375" style="170" customWidth="1"/>
    <col min="16133" max="16133" width="31.7109375" style="170" bestFit="1" customWidth="1"/>
    <col min="16134" max="16384" width="9.140625" style="170"/>
  </cols>
  <sheetData>
    <row r="1" spans="1:8">
      <c r="B1" s="193" t="s">
        <v>1575</v>
      </c>
      <c r="C1" s="1369" t="s">
        <v>3126</v>
      </c>
    </row>
    <row r="3" spans="1:8" ht="12.75">
      <c r="A3" s="170" t="s">
        <v>1258</v>
      </c>
      <c r="B3" s="334"/>
      <c r="C3" s="334"/>
      <c r="D3" s="334"/>
      <c r="E3" s="334"/>
      <c r="F3" s="334"/>
      <c r="G3" s="334"/>
      <c r="H3" s="334"/>
    </row>
    <row r="4" spans="1:8" ht="15" customHeight="1">
      <c r="A4" s="1299" t="s">
        <v>2844</v>
      </c>
      <c r="B4" s="710"/>
      <c r="C4" s="710"/>
      <c r="D4" s="710"/>
      <c r="E4" s="710"/>
      <c r="F4" s="710"/>
      <c r="G4" s="710"/>
      <c r="H4" s="710"/>
    </row>
    <row r="5" spans="1:8" ht="25.5" customHeight="1">
      <c r="A5" s="763" t="s">
        <v>1640</v>
      </c>
      <c r="B5" s="763" t="s">
        <v>3141</v>
      </c>
      <c r="C5" s="599" t="s">
        <v>1574</v>
      </c>
      <c r="D5" s="763"/>
      <c r="E5" s="763"/>
      <c r="G5" s="598"/>
      <c r="H5" s="598"/>
    </row>
    <row r="6" spans="1:8" ht="27" customHeight="1">
      <c r="A6" s="428" t="s">
        <v>30</v>
      </c>
      <c r="B6" s="429" t="s">
        <v>19</v>
      </c>
      <c r="C6" s="430" t="s">
        <v>92</v>
      </c>
      <c r="D6" s="430" t="s">
        <v>88</v>
      </c>
      <c r="E6" s="431" t="s">
        <v>93</v>
      </c>
      <c r="F6" s="432" t="s">
        <v>94</v>
      </c>
      <c r="G6" s="508" t="s">
        <v>95</v>
      </c>
      <c r="H6" s="335" t="s">
        <v>96</v>
      </c>
    </row>
    <row r="7" spans="1:8" ht="15" customHeight="1">
      <c r="A7" s="1493">
        <v>88262</v>
      </c>
      <c r="B7" s="1514" t="s">
        <v>147</v>
      </c>
      <c r="C7" s="430" t="s">
        <v>117</v>
      </c>
      <c r="D7" s="1497" t="s">
        <v>410</v>
      </c>
      <c r="E7" s="1499">
        <v>0.4</v>
      </c>
      <c r="F7" s="501">
        <f>'COMP AUX'!G87</f>
        <v>14.81</v>
      </c>
      <c r="G7" s="600">
        <f>TRUNC(E7*F7,2)</f>
        <v>5.92</v>
      </c>
      <c r="H7" s="335"/>
    </row>
    <row r="8" spans="1:8" ht="15" customHeight="1">
      <c r="A8" s="1494"/>
      <c r="B8" s="1515"/>
      <c r="C8" s="526" t="s">
        <v>99</v>
      </c>
      <c r="D8" s="1498"/>
      <c r="E8" s="1500"/>
      <c r="F8" s="601">
        <f>'COMP AUX'!G88</f>
        <v>4.5600000000000005</v>
      </c>
      <c r="G8" s="570">
        <f>TRUNC(E7*F8,2)</f>
        <v>1.82</v>
      </c>
      <c r="H8" s="336"/>
    </row>
    <row r="9" spans="1:8" ht="15" customHeight="1">
      <c r="A9" s="1493">
        <v>88316</v>
      </c>
      <c r="B9" s="1495" t="s">
        <v>123</v>
      </c>
      <c r="C9" s="526" t="s">
        <v>117</v>
      </c>
      <c r="D9" s="1497" t="s">
        <v>410</v>
      </c>
      <c r="E9" s="1499">
        <v>0.4</v>
      </c>
      <c r="F9" s="601">
        <f>'COMP AUX'!G104</f>
        <v>11.1</v>
      </c>
      <c r="G9" s="600">
        <f>TRUNC(E9*F9,2)</f>
        <v>4.4400000000000004</v>
      </c>
      <c r="H9" s="356"/>
    </row>
    <row r="10" spans="1:8" ht="15" customHeight="1">
      <c r="A10" s="1494"/>
      <c r="B10" s="1496"/>
      <c r="C10" s="526" t="s">
        <v>99</v>
      </c>
      <c r="D10" s="1498"/>
      <c r="E10" s="1500"/>
      <c r="F10" s="601">
        <f>'COMP AUX'!G105</f>
        <v>4.5600000000000005</v>
      </c>
      <c r="G10" s="570">
        <f>TRUNC(E9*F10,2)</f>
        <v>1.82</v>
      </c>
      <c r="H10" s="336"/>
    </row>
    <row r="11" spans="1:8" ht="29.25" customHeight="1">
      <c r="A11" s="597">
        <v>4509</v>
      </c>
      <c r="B11" s="566" t="s">
        <v>3136</v>
      </c>
      <c r="C11" s="526" t="s">
        <v>99</v>
      </c>
      <c r="D11" s="526" t="s">
        <v>4</v>
      </c>
      <c r="E11" s="568">
        <v>1.65</v>
      </c>
      <c r="F11" s="569">
        <v>2.2200000000000002</v>
      </c>
      <c r="G11" s="570">
        <f t="shared" ref="G11:G14" si="0">TRUNC(E11*F11,2)</f>
        <v>3.66</v>
      </c>
      <c r="H11" s="336"/>
    </row>
    <row r="12" spans="1:8" ht="16.5" customHeight="1">
      <c r="A12" s="597">
        <v>5075</v>
      </c>
      <c r="B12" s="567" t="s">
        <v>3134</v>
      </c>
      <c r="C12" s="526" t="s">
        <v>99</v>
      </c>
      <c r="D12" s="526" t="s">
        <v>115</v>
      </c>
      <c r="E12" s="568">
        <v>0.05</v>
      </c>
      <c r="F12" s="569">
        <v>9.15</v>
      </c>
      <c r="G12" s="570">
        <f t="shared" si="0"/>
        <v>0.45</v>
      </c>
      <c r="H12" s="336"/>
    </row>
    <row r="13" spans="1:8" ht="29.25" customHeight="1">
      <c r="A13" s="597">
        <v>4433</v>
      </c>
      <c r="B13" s="566" t="s">
        <v>3137</v>
      </c>
      <c r="C13" s="526" t="s">
        <v>99</v>
      </c>
      <c r="D13" s="526" t="s">
        <v>4</v>
      </c>
      <c r="E13" s="568">
        <v>1.6</v>
      </c>
      <c r="F13" s="569">
        <v>6.18</v>
      </c>
      <c r="G13" s="570">
        <f t="shared" si="0"/>
        <v>9.8800000000000008</v>
      </c>
      <c r="H13" s="336"/>
    </row>
    <row r="14" spans="1:8" ht="24.75" customHeight="1">
      <c r="A14" s="597">
        <v>7243</v>
      </c>
      <c r="B14" s="566" t="s">
        <v>3138</v>
      </c>
      <c r="C14" s="526" t="s">
        <v>99</v>
      </c>
      <c r="D14" s="526" t="s">
        <v>12</v>
      </c>
      <c r="E14" s="568">
        <v>1.05</v>
      </c>
      <c r="F14" s="571">
        <v>27.2</v>
      </c>
      <c r="G14" s="570">
        <f t="shared" si="0"/>
        <v>28.56</v>
      </c>
      <c r="H14" s="336"/>
    </row>
    <row r="15" spans="1:8" ht="15" customHeight="1">
      <c r="A15" s="336"/>
      <c r="B15" s="336"/>
      <c r="C15" s="572"/>
      <c r="D15" s="572"/>
      <c r="E15" s="572"/>
      <c r="F15" s="603" t="s">
        <v>103</v>
      </c>
      <c r="G15" s="600">
        <f>G7+G9</f>
        <v>10.36</v>
      </c>
      <c r="H15" s="336"/>
    </row>
    <row r="16" spans="1:8" ht="15" customHeight="1">
      <c r="A16" s="336"/>
      <c r="B16" s="336"/>
      <c r="C16" s="572"/>
      <c r="D16" s="572"/>
      <c r="E16" s="572"/>
      <c r="F16" s="603" t="s">
        <v>105</v>
      </c>
      <c r="G16" s="570">
        <f>G8+G10+G11+G12+G13+G14</f>
        <v>46.19</v>
      </c>
      <c r="H16" s="336"/>
    </row>
    <row r="17" spans="1:89" ht="15" customHeight="1">
      <c r="A17" s="593" t="s">
        <v>107</v>
      </c>
      <c r="B17" s="336"/>
      <c r="C17" s="572"/>
      <c r="D17" s="572"/>
      <c r="E17" s="572"/>
      <c r="F17" s="603" t="s">
        <v>106</v>
      </c>
      <c r="G17" s="604">
        <f>SUM(G15:G16)</f>
        <v>56.55</v>
      </c>
      <c r="H17" s="336"/>
    </row>
    <row r="18" spans="1:89" ht="15" customHeight="1">
      <c r="A18" s="594" t="s">
        <v>108</v>
      </c>
      <c r="B18" s="595">
        <f>G17</f>
        <v>56.55</v>
      </c>
      <c r="C18" s="334"/>
      <c r="D18" s="334"/>
      <c r="E18" s="334"/>
      <c r="F18" s="334"/>
      <c r="G18" s="334"/>
      <c r="H18" s="334"/>
    </row>
    <row r="19" spans="1:89" ht="15" customHeight="1">
      <c r="A19" s="542" t="s">
        <v>2654</v>
      </c>
      <c r="B19" s="541"/>
      <c r="C19" s="525"/>
      <c r="D19" s="525"/>
      <c r="E19" s="525"/>
      <c r="F19" s="525"/>
      <c r="G19" s="525"/>
      <c r="H19" s="525"/>
    </row>
    <row r="20" spans="1:89" ht="15" customHeight="1">
      <c r="A20" s="622" t="s">
        <v>2714</v>
      </c>
      <c r="B20" s="541">
        <f>(B18+B19)*0.245</f>
        <v>13.854749999999999</v>
      </c>
      <c r="C20" s="336"/>
      <c r="D20" s="336"/>
      <c r="E20" s="336"/>
      <c r="F20" s="336"/>
      <c r="G20" s="336"/>
      <c r="H20" s="336"/>
    </row>
    <row r="21" spans="1:89" ht="15" customHeight="1">
      <c r="A21" s="596" t="s">
        <v>111</v>
      </c>
      <c r="B21" s="602">
        <f>SUM(B18:B20)</f>
        <v>70.404749999999993</v>
      </c>
      <c r="C21" s="336"/>
      <c r="D21" s="336"/>
      <c r="E21" s="336"/>
      <c r="F21" s="336"/>
      <c r="G21" s="336"/>
      <c r="H21" s="556"/>
      <c r="I21" s="170" t="s">
        <v>2659</v>
      </c>
    </row>
    <row r="22" spans="1:89" ht="12.75">
      <c r="A22" s="516"/>
      <c r="B22" s="516"/>
      <c r="C22" s="527"/>
      <c r="D22" s="527"/>
      <c r="E22" s="527"/>
      <c r="F22" s="527"/>
      <c r="G22" s="527"/>
      <c r="H22" s="527"/>
    </row>
    <row r="23" spans="1:89" ht="10.5" customHeight="1">
      <c r="A23" s="336"/>
      <c r="B23" s="336"/>
      <c r="C23" s="336"/>
      <c r="D23" s="336"/>
      <c r="E23" s="336"/>
      <c r="F23" s="336"/>
      <c r="G23" s="336"/>
      <c r="H23" s="336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</row>
    <row r="24" spans="1:89" ht="10.5" customHeight="1">
      <c r="A24" s="170" t="s">
        <v>1258</v>
      </c>
      <c r="B24" s="355"/>
      <c r="C24" s="355"/>
      <c r="D24" s="355"/>
      <c r="E24" s="355"/>
      <c r="F24" s="355"/>
      <c r="G24" s="355"/>
      <c r="H24" s="355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</row>
    <row r="25" spans="1:89" ht="12.75" customHeight="1">
      <c r="A25" s="762" t="s">
        <v>1578</v>
      </c>
      <c r="B25" s="709"/>
      <c r="C25" s="709"/>
      <c r="D25" s="709"/>
      <c r="E25" s="709"/>
      <c r="F25" s="709"/>
      <c r="G25" s="709"/>
      <c r="H25" s="709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</row>
    <row r="26" spans="1:89" ht="18" customHeight="1">
      <c r="A26" s="535" t="s">
        <v>1640</v>
      </c>
      <c r="B26" s="535" t="s">
        <v>1821</v>
      </c>
      <c r="C26" s="535" t="s">
        <v>1666</v>
      </c>
      <c r="D26" s="533"/>
      <c r="E26" s="533"/>
      <c r="F26" s="533"/>
      <c r="G26" s="533"/>
      <c r="H26" s="172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</row>
    <row r="27" spans="1:89" ht="22.5" customHeight="1">
      <c r="A27" s="428" t="s">
        <v>30</v>
      </c>
      <c r="B27" s="434" t="s">
        <v>19</v>
      </c>
      <c r="C27" s="430" t="s">
        <v>92</v>
      </c>
      <c r="D27" s="430" t="s">
        <v>88</v>
      </c>
      <c r="E27" s="431" t="s">
        <v>93</v>
      </c>
      <c r="F27" s="432" t="s">
        <v>94</v>
      </c>
      <c r="G27" s="508" t="s">
        <v>95</v>
      </c>
      <c r="H27" s="172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</row>
    <row r="28" spans="1:89" ht="27" customHeight="1">
      <c r="A28" s="557">
        <v>4517</v>
      </c>
      <c r="B28" s="534" t="s">
        <v>3132</v>
      </c>
      <c r="C28" s="528" t="s">
        <v>99</v>
      </c>
      <c r="D28" s="528" t="s">
        <v>4</v>
      </c>
      <c r="E28" s="537">
        <v>1</v>
      </c>
      <c r="F28" s="558">
        <v>1.17</v>
      </c>
      <c r="G28" s="529">
        <f t="shared" ref="G28:G32" si="1">TRUNC(E28*F28,2)</f>
        <v>1.17</v>
      </c>
      <c r="H28" s="172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</row>
    <row r="29" spans="1:89" ht="35.25" customHeight="1">
      <c r="A29" s="557">
        <v>4433</v>
      </c>
      <c r="B29" s="534" t="s">
        <v>3131</v>
      </c>
      <c r="C29" s="528" t="s">
        <v>99</v>
      </c>
      <c r="D29" s="528" t="s">
        <v>4</v>
      </c>
      <c r="E29" s="537">
        <v>4</v>
      </c>
      <c r="F29" s="558">
        <v>6.18</v>
      </c>
      <c r="G29" s="529">
        <f t="shared" si="1"/>
        <v>24.72</v>
      </c>
      <c r="H29" s="172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</row>
    <row r="30" spans="1:89" ht="24" customHeight="1">
      <c r="A30" s="532" t="s">
        <v>151</v>
      </c>
      <c r="B30" s="534" t="s">
        <v>3133</v>
      </c>
      <c r="C30" s="528" t="s">
        <v>99</v>
      </c>
      <c r="D30" s="528" t="s">
        <v>113</v>
      </c>
      <c r="E30" s="537">
        <v>1</v>
      </c>
      <c r="F30" s="538">
        <v>400</v>
      </c>
      <c r="G30" s="536">
        <f t="shared" si="1"/>
        <v>400</v>
      </c>
      <c r="H30" s="172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D30" s="171"/>
      <c r="CE30" s="171"/>
      <c r="CF30" s="171"/>
      <c r="CG30" s="171"/>
      <c r="CH30" s="171"/>
      <c r="CI30" s="171"/>
      <c r="CJ30" s="171"/>
      <c r="CK30" s="171"/>
    </row>
    <row r="31" spans="1:89" ht="16.5" customHeight="1">
      <c r="A31" s="557">
        <v>5075</v>
      </c>
      <c r="B31" s="534" t="s">
        <v>3134</v>
      </c>
      <c r="C31" s="528" t="s">
        <v>99</v>
      </c>
      <c r="D31" s="528" t="s">
        <v>115</v>
      </c>
      <c r="E31" s="537">
        <v>0.11</v>
      </c>
      <c r="F31" s="558">
        <v>9.15</v>
      </c>
      <c r="G31" s="536">
        <f t="shared" si="1"/>
        <v>1</v>
      </c>
      <c r="H31" s="172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</row>
    <row r="32" spans="1:89" ht="15" customHeight="1">
      <c r="A32" s="1509">
        <v>88262</v>
      </c>
      <c r="B32" s="1507" t="s">
        <v>147</v>
      </c>
      <c r="C32" s="528" t="s">
        <v>117</v>
      </c>
      <c r="D32" s="1485" t="s">
        <v>410</v>
      </c>
      <c r="E32" s="1487">
        <v>1</v>
      </c>
      <c r="F32" s="538">
        <f>'COMP AUX'!G87</f>
        <v>14.81</v>
      </c>
      <c r="G32" s="529">
        <f t="shared" si="1"/>
        <v>14.81</v>
      </c>
      <c r="H32" s="172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</row>
    <row r="33" spans="1:89" ht="15" customHeight="1">
      <c r="A33" s="1510"/>
      <c r="B33" s="1508"/>
      <c r="C33" s="528" t="s">
        <v>99</v>
      </c>
      <c r="D33" s="1486"/>
      <c r="E33" s="1488"/>
      <c r="F33" s="538">
        <f>'COMP AUX'!G88</f>
        <v>4.5600000000000005</v>
      </c>
      <c r="G33" s="529">
        <f>TRUNC(E32*F33,2)</f>
        <v>4.5599999999999996</v>
      </c>
      <c r="H33" s="172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</row>
    <row r="34" spans="1:89" ht="15" customHeight="1">
      <c r="A34" s="1509">
        <v>88316</v>
      </c>
      <c r="B34" s="1507" t="s">
        <v>123</v>
      </c>
      <c r="C34" s="528" t="s">
        <v>117</v>
      </c>
      <c r="D34" s="1485" t="s">
        <v>410</v>
      </c>
      <c r="E34" s="1487">
        <v>2</v>
      </c>
      <c r="F34" s="538">
        <f>'COMP AUX'!G104</f>
        <v>11.1</v>
      </c>
      <c r="G34" s="536">
        <f>TRUNC(E34*F34,2)</f>
        <v>22.2</v>
      </c>
      <c r="H34" s="172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</row>
    <row r="35" spans="1:89" ht="15" customHeight="1">
      <c r="A35" s="1510"/>
      <c r="B35" s="1508"/>
      <c r="C35" s="528" t="s">
        <v>99</v>
      </c>
      <c r="D35" s="1486"/>
      <c r="E35" s="1488"/>
      <c r="F35" s="538">
        <f>'COMP AUX'!G105</f>
        <v>4.5600000000000005</v>
      </c>
      <c r="G35" s="529">
        <f>TRUNC(E34*F35,2)</f>
        <v>9.1199999999999992</v>
      </c>
      <c r="H35" s="172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</row>
    <row r="36" spans="1:89" ht="18" customHeight="1">
      <c r="A36" s="1511">
        <v>94962</v>
      </c>
      <c r="B36" s="1489" t="s">
        <v>1587</v>
      </c>
      <c r="C36" s="528" t="s">
        <v>117</v>
      </c>
      <c r="D36" s="1485" t="s">
        <v>125</v>
      </c>
      <c r="E36" s="1487">
        <v>0.01</v>
      </c>
      <c r="F36" s="538">
        <f>'COMP AUX'!G804</f>
        <v>43.58</v>
      </c>
      <c r="G36" s="536">
        <f>TRUNC(E36*F36,2)</f>
        <v>0.43</v>
      </c>
      <c r="H36" s="172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</row>
    <row r="37" spans="1:89" ht="18" customHeight="1">
      <c r="A37" s="1512"/>
      <c r="B37" s="1490"/>
      <c r="C37" s="528" t="s">
        <v>99</v>
      </c>
      <c r="D37" s="1486"/>
      <c r="E37" s="1488"/>
      <c r="F37" s="538">
        <f>'COMP AUX'!G805</f>
        <v>207.62000000000003</v>
      </c>
      <c r="G37" s="536">
        <f>TRUNC(E36*F37,2)</f>
        <v>2.0699999999999998</v>
      </c>
      <c r="H37" s="172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</row>
    <row r="38" spans="1:89" ht="15" customHeight="1">
      <c r="A38" s="203"/>
      <c r="B38" s="203"/>
      <c r="C38" s="530"/>
      <c r="D38" s="530"/>
      <c r="E38" s="530"/>
      <c r="F38" s="531" t="s">
        <v>103</v>
      </c>
      <c r="G38" s="539">
        <f>G34+G32+G36</f>
        <v>37.44</v>
      </c>
      <c r="H38" s="172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171"/>
      <c r="CE38" s="171"/>
      <c r="CF38" s="171"/>
      <c r="CG38" s="171"/>
      <c r="CH38" s="171"/>
      <c r="CI38" s="171"/>
      <c r="CJ38" s="171"/>
      <c r="CK38" s="171"/>
    </row>
    <row r="39" spans="1:89" ht="15" customHeight="1">
      <c r="A39" s="203"/>
      <c r="B39" s="203"/>
      <c r="C39" s="530"/>
      <c r="D39" s="530"/>
      <c r="E39" s="530"/>
      <c r="F39" s="531" t="s">
        <v>105</v>
      </c>
      <c r="G39" s="539">
        <f>G28+G29+G30+G31+G33+G35+G37</f>
        <v>442.64</v>
      </c>
      <c r="H39" s="172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  <c r="CF39" s="171"/>
      <c r="CG39" s="171"/>
      <c r="CH39" s="171"/>
      <c r="CI39" s="171"/>
      <c r="CJ39" s="171"/>
      <c r="CK39" s="171"/>
    </row>
    <row r="40" spans="1:89" ht="15" customHeight="1">
      <c r="A40" s="535" t="s">
        <v>107</v>
      </c>
      <c r="B40" s="203"/>
      <c r="C40" s="530"/>
      <c r="D40" s="530"/>
      <c r="E40" s="530"/>
      <c r="F40" s="531" t="s">
        <v>106</v>
      </c>
      <c r="G40" s="544">
        <f>SUM(G38:G39)</f>
        <v>480.08</v>
      </c>
      <c r="H40" s="172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</row>
    <row r="41" spans="1:89" ht="15" customHeight="1">
      <c r="A41" s="542" t="s">
        <v>108</v>
      </c>
      <c r="B41" s="540">
        <f>G40</f>
        <v>480.08</v>
      </c>
      <c r="C41" s="203"/>
      <c r="D41" s="203"/>
      <c r="E41" s="203"/>
      <c r="F41" s="209"/>
      <c r="G41" s="209"/>
      <c r="H41" s="172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</row>
    <row r="42" spans="1:89" ht="15" customHeight="1">
      <c r="A42" s="542" t="s">
        <v>2654</v>
      </c>
      <c r="B42" s="541"/>
      <c r="C42" s="203"/>
      <c r="D42" s="203"/>
      <c r="E42" s="203"/>
      <c r="F42" s="209"/>
      <c r="G42" s="209"/>
    </row>
    <row r="43" spans="1:89" ht="15" customHeight="1">
      <c r="A43" s="622" t="s">
        <v>2714</v>
      </c>
      <c r="B43" s="541">
        <f>(B41+B42)*0.245</f>
        <v>117.61959999999999</v>
      </c>
      <c r="C43" s="203"/>
      <c r="D43" s="203"/>
      <c r="E43" s="203"/>
      <c r="F43" s="209"/>
      <c r="G43" s="209"/>
    </row>
    <row r="44" spans="1:89" ht="15" customHeight="1">
      <c r="A44" s="542" t="s">
        <v>111</v>
      </c>
      <c r="B44" s="543">
        <f>SUM(B41:B43)</f>
        <v>597.69959999999992</v>
      </c>
      <c r="C44" s="203"/>
      <c r="D44" s="203"/>
      <c r="E44" s="203"/>
      <c r="F44" s="209"/>
      <c r="G44" s="209"/>
      <c r="H44" s="560"/>
      <c r="I44" s="170" t="s">
        <v>2659</v>
      </c>
    </row>
    <row r="45" spans="1:89" ht="15" customHeight="1">
      <c r="A45" s="1516"/>
      <c r="B45" s="1517"/>
      <c r="C45" s="1517"/>
      <c r="D45" s="1517"/>
      <c r="E45" s="1517"/>
      <c r="F45" s="1517"/>
      <c r="G45" s="1517"/>
      <c r="H45" s="1517"/>
    </row>
    <row r="47" spans="1:89" ht="12.75">
      <c r="A47" s="170" t="s">
        <v>1369</v>
      </c>
      <c r="B47" s="355"/>
      <c r="C47" s="355"/>
      <c r="D47" s="355"/>
      <c r="E47" s="355"/>
      <c r="F47" s="355"/>
      <c r="G47" s="355"/>
      <c r="H47" s="355"/>
    </row>
    <row r="48" spans="1:89">
      <c r="A48" s="708" t="s">
        <v>2842</v>
      </c>
      <c r="B48" s="553"/>
      <c r="C48" s="553"/>
      <c r="D48" s="553"/>
      <c r="E48" s="553"/>
      <c r="F48" s="553"/>
      <c r="G48" s="553"/>
      <c r="H48" s="553"/>
    </row>
    <row r="49" spans="1:9" ht="43.5" customHeight="1">
      <c r="A49" s="760" t="s">
        <v>1649</v>
      </c>
      <c r="B49" s="1513" t="s">
        <v>2843</v>
      </c>
      <c r="C49" s="1513"/>
      <c r="D49" s="1513"/>
      <c r="E49" s="552" t="s">
        <v>1579</v>
      </c>
      <c r="G49" s="553"/>
      <c r="H49" s="553"/>
    </row>
    <row r="50" spans="1:9" ht="26.25" customHeight="1">
      <c r="A50" s="502" t="s">
        <v>30</v>
      </c>
      <c r="B50" s="507" t="s">
        <v>19</v>
      </c>
      <c r="C50" s="430" t="s">
        <v>92</v>
      </c>
      <c r="D50" s="512" t="s">
        <v>88</v>
      </c>
      <c r="E50" s="512" t="s">
        <v>93</v>
      </c>
      <c r="F50" s="432" t="s">
        <v>94</v>
      </c>
      <c r="G50" s="508" t="s">
        <v>95</v>
      </c>
      <c r="H50" s="550"/>
    </row>
    <row r="51" spans="1:9" ht="36.75" customHeight="1">
      <c r="A51" s="502">
        <v>10775</v>
      </c>
      <c r="B51" s="434" t="s">
        <v>1580</v>
      </c>
      <c r="C51" s="430" t="s">
        <v>1342</v>
      </c>
      <c r="D51" s="512" t="s">
        <v>1579</v>
      </c>
      <c r="E51" s="455">
        <v>1</v>
      </c>
      <c r="F51" s="435">
        <v>505</v>
      </c>
      <c r="G51" s="456">
        <f>TRUNC(E51*F51,2)</f>
        <v>505</v>
      </c>
    </row>
    <row r="52" spans="1:9" ht="15" customHeight="1">
      <c r="E52" s="215"/>
      <c r="F52" s="514" t="s">
        <v>103</v>
      </c>
      <c r="G52" s="466"/>
    </row>
    <row r="53" spans="1:9" ht="15" customHeight="1">
      <c r="E53" s="215"/>
      <c r="F53" s="547" t="s">
        <v>105</v>
      </c>
      <c r="G53" s="456">
        <f>G51</f>
        <v>505</v>
      </c>
    </row>
    <row r="54" spans="1:9" s="424" customFormat="1" ht="15" customHeight="1">
      <c r="A54" s="170" t="s">
        <v>107</v>
      </c>
      <c r="B54" s="193"/>
      <c r="C54" s="173"/>
      <c r="D54" s="170"/>
      <c r="E54" s="215"/>
      <c r="F54" s="547" t="s">
        <v>106</v>
      </c>
      <c r="G54" s="457">
        <f>SUM(G52:G53)</f>
        <v>505</v>
      </c>
      <c r="H54" s="170"/>
    </row>
    <row r="55" spans="1:9" ht="15" customHeight="1">
      <c r="A55" s="437" t="s">
        <v>108</v>
      </c>
      <c r="B55" s="548">
        <f>G54</f>
        <v>505</v>
      </c>
    </row>
    <row r="56" spans="1:9" ht="15" customHeight="1">
      <c r="A56" s="542" t="s">
        <v>2654</v>
      </c>
      <c r="B56" s="541"/>
    </row>
    <row r="57" spans="1:9" ht="15" customHeight="1">
      <c r="A57" s="622" t="s">
        <v>2714</v>
      </c>
      <c r="B57" s="541">
        <f>(B55+B56)*0.245</f>
        <v>123.72499999999999</v>
      </c>
    </row>
    <row r="58" spans="1:9" ht="15" customHeight="1">
      <c r="A58" s="437" t="s">
        <v>111</v>
      </c>
      <c r="B58" s="549">
        <f>SUM(B55:B57)</f>
        <v>628.72500000000002</v>
      </c>
      <c r="H58" s="560"/>
      <c r="I58" s="170" t="s">
        <v>2659</v>
      </c>
    </row>
    <row r="59" spans="1:9">
      <c r="A59" s="516"/>
      <c r="B59" s="516"/>
      <c r="C59" s="516"/>
      <c r="D59" s="516"/>
      <c r="E59" s="516"/>
      <c r="F59" s="516"/>
      <c r="G59" s="516"/>
      <c r="H59" s="516"/>
    </row>
    <row r="61" spans="1:9" ht="12.75">
      <c r="A61" s="170" t="s">
        <v>1369</v>
      </c>
      <c r="B61" s="355"/>
      <c r="C61" s="355"/>
      <c r="D61" s="355"/>
      <c r="E61" s="355"/>
      <c r="F61" s="355"/>
      <c r="G61" s="355"/>
      <c r="H61" s="355"/>
    </row>
    <row r="62" spans="1:9">
      <c r="A62" s="708" t="s">
        <v>2439</v>
      </c>
      <c r="B62" s="553"/>
      <c r="C62" s="553"/>
      <c r="D62" s="553"/>
      <c r="E62" s="553"/>
      <c r="F62" s="553"/>
      <c r="G62" s="553"/>
      <c r="H62" s="553"/>
    </row>
    <row r="63" spans="1:9" ht="23.25" customHeight="1">
      <c r="A63" s="760" t="s">
        <v>1649</v>
      </c>
      <c r="B63" s="761" t="s">
        <v>2438</v>
      </c>
      <c r="C63" s="552" t="s">
        <v>1538</v>
      </c>
      <c r="D63" s="761"/>
      <c r="G63" s="553"/>
      <c r="H63" s="553"/>
    </row>
    <row r="64" spans="1:9" ht="27" customHeight="1">
      <c r="A64" s="982" t="s">
        <v>30</v>
      </c>
      <c r="B64" s="507" t="s">
        <v>19</v>
      </c>
      <c r="C64" s="430" t="s">
        <v>92</v>
      </c>
      <c r="D64" s="984" t="s">
        <v>88</v>
      </c>
      <c r="E64" s="984" t="s">
        <v>93</v>
      </c>
      <c r="F64" s="432" t="s">
        <v>94</v>
      </c>
      <c r="G64" s="508" t="s">
        <v>95</v>
      </c>
      <c r="H64" s="550"/>
    </row>
    <row r="65" spans="1:8" ht="22.5">
      <c r="A65" s="982" t="s">
        <v>2440</v>
      </c>
      <c r="B65" s="983" t="s">
        <v>2441</v>
      </c>
      <c r="C65" s="430" t="s">
        <v>99</v>
      </c>
      <c r="D65" s="984" t="s">
        <v>408</v>
      </c>
      <c r="E65" s="985">
        <v>0.13333329999999999</v>
      </c>
      <c r="F65" s="432">
        <v>50.94</v>
      </c>
      <c r="G65" s="511">
        <f t="shared" ref="G65:G80" si="2">TRUNC(E65*F65,2)</f>
        <v>6.79</v>
      </c>
      <c r="H65" s="550"/>
    </row>
    <row r="66" spans="1:8" ht="22.5">
      <c r="A66" s="982" t="s">
        <v>2442</v>
      </c>
      <c r="B66" s="983" t="s">
        <v>2443</v>
      </c>
      <c r="C66" s="430" t="s">
        <v>99</v>
      </c>
      <c r="D66" s="984" t="s">
        <v>408</v>
      </c>
      <c r="E66" s="985">
        <v>2</v>
      </c>
      <c r="F66" s="432">
        <v>19.38</v>
      </c>
      <c r="G66" s="511">
        <f t="shared" si="2"/>
        <v>38.76</v>
      </c>
      <c r="H66" s="550"/>
    </row>
    <row r="67" spans="1:8" ht="14.1" customHeight="1">
      <c r="A67" s="982" t="s">
        <v>2444</v>
      </c>
      <c r="B67" s="983" t="s">
        <v>2445</v>
      </c>
      <c r="C67" s="430" t="s">
        <v>99</v>
      </c>
      <c r="D67" s="984" t="s">
        <v>418</v>
      </c>
      <c r="E67" s="985">
        <v>3</v>
      </c>
      <c r="F67" s="432">
        <v>8.0399999999999991</v>
      </c>
      <c r="G67" s="511">
        <f t="shared" si="2"/>
        <v>24.12</v>
      </c>
      <c r="H67" s="550"/>
    </row>
    <row r="68" spans="1:8" ht="22.5">
      <c r="A68" s="982" t="s">
        <v>2446</v>
      </c>
      <c r="B68" s="983" t="s">
        <v>2447</v>
      </c>
      <c r="C68" s="430" t="s">
        <v>99</v>
      </c>
      <c r="D68" s="984" t="s">
        <v>418</v>
      </c>
      <c r="E68" s="985">
        <v>27</v>
      </c>
      <c r="F68" s="432">
        <v>4.51</v>
      </c>
      <c r="G68" s="511">
        <f t="shared" si="2"/>
        <v>121.77</v>
      </c>
      <c r="H68" s="550"/>
    </row>
    <row r="69" spans="1:8" ht="33.75">
      <c r="A69" s="982" t="s">
        <v>2448</v>
      </c>
      <c r="B69" s="983" t="s">
        <v>2449</v>
      </c>
      <c r="C69" s="430" t="s">
        <v>99</v>
      </c>
      <c r="D69" s="984" t="s">
        <v>408</v>
      </c>
      <c r="E69" s="985">
        <v>1</v>
      </c>
      <c r="F69" s="501">
        <v>149.5</v>
      </c>
      <c r="G69" s="511">
        <f t="shared" si="2"/>
        <v>149.5</v>
      </c>
      <c r="H69" s="550"/>
    </row>
    <row r="70" spans="1:8" ht="22.5">
      <c r="A70" s="982" t="s">
        <v>2450</v>
      </c>
      <c r="B70" s="983" t="s">
        <v>2451</v>
      </c>
      <c r="C70" s="430" t="s">
        <v>99</v>
      </c>
      <c r="D70" s="984" t="s">
        <v>408</v>
      </c>
      <c r="E70" s="985">
        <v>2</v>
      </c>
      <c r="F70" s="501">
        <v>64.3</v>
      </c>
      <c r="G70" s="511">
        <f t="shared" si="2"/>
        <v>128.6</v>
      </c>
      <c r="H70" s="550"/>
    </row>
    <row r="71" spans="1:8" ht="22.5">
      <c r="A71" s="982" t="s">
        <v>2452</v>
      </c>
      <c r="B71" s="983" t="s">
        <v>2453</v>
      </c>
      <c r="C71" s="430" t="s">
        <v>99</v>
      </c>
      <c r="D71" s="984" t="s">
        <v>408</v>
      </c>
      <c r="E71" s="985">
        <v>8</v>
      </c>
      <c r="F71" s="501">
        <v>4</v>
      </c>
      <c r="G71" s="511">
        <f t="shared" si="2"/>
        <v>32</v>
      </c>
      <c r="H71" s="550"/>
    </row>
    <row r="72" spans="1:8" ht="14.1" customHeight="1">
      <c r="A72" s="982" t="s">
        <v>2454</v>
      </c>
      <c r="B72" s="983" t="s">
        <v>454</v>
      </c>
      <c r="C72" s="430" t="s">
        <v>99</v>
      </c>
      <c r="D72" s="984" t="s">
        <v>408</v>
      </c>
      <c r="E72" s="985">
        <v>4</v>
      </c>
      <c r="F72" s="432">
        <v>1.1599999999999999</v>
      </c>
      <c r="G72" s="511">
        <f t="shared" si="2"/>
        <v>4.6399999999999997</v>
      </c>
      <c r="H72" s="550"/>
    </row>
    <row r="73" spans="1:8" ht="22.5">
      <c r="A73" s="982" t="s">
        <v>2455</v>
      </c>
      <c r="B73" s="983" t="s">
        <v>2456</v>
      </c>
      <c r="C73" s="430" t="s">
        <v>99</v>
      </c>
      <c r="D73" s="984" t="s">
        <v>408</v>
      </c>
      <c r="E73" s="985">
        <v>1</v>
      </c>
      <c r="F73" s="432">
        <v>57.39</v>
      </c>
      <c r="G73" s="511">
        <f t="shared" si="2"/>
        <v>57.39</v>
      </c>
      <c r="H73" s="550"/>
    </row>
    <row r="74" spans="1:8" ht="14.1" customHeight="1">
      <c r="A74" s="982" t="s">
        <v>2457</v>
      </c>
      <c r="B74" s="983" t="s">
        <v>448</v>
      </c>
      <c r="C74" s="430" t="s">
        <v>99</v>
      </c>
      <c r="D74" s="984" t="s">
        <v>418</v>
      </c>
      <c r="E74" s="985">
        <v>8</v>
      </c>
      <c r="F74" s="432">
        <v>3.23</v>
      </c>
      <c r="G74" s="511">
        <f t="shared" si="2"/>
        <v>25.84</v>
      </c>
      <c r="H74" s="550"/>
    </row>
    <row r="75" spans="1:8" ht="22.5">
      <c r="A75" s="982" t="s">
        <v>2458</v>
      </c>
      <c r="B75" s="983" t="s">
        <v>2459</v>
      </c>
      <c r="C75" s="430" t="s">
        <v>99</v>
      </c>
      <c r="D75" s="984" t="s">
        <v>418</v>
      </c>
      <c r="E75" s="985">
        <v>7.96</v>
      </c>
      <c r="F75" s="432">
        <v>50.23</v>
      </c>
      <c r="G75" s="511">
        <f t="shared" si="2"/>
        <v>399.83</v>
      </c>
      <c r="H75" s="550"/>
    </row>
    <row r="76" spans="1:8" ht="33.75">
      <c r="A76" s="982" t="s">
        <v>1132</v>
      </c>
      <c r="B76" s="983" t="s">
        <v>1133</v>
      </c>
      <c r="C76" s="430" t="s">
        <v>99</v>
      </c>
      <c r="D76" s="984" t="s">
        <v>408</v>
      </c>
      <c r="E76" s="985">
        <v>1</v>
      </c>
      <c r="F76" s="432">
        <v>30.88</v>
      </c>
      <c r="G76" s="511">
        <f t="shared" si="2"/>
        <v>30.88</v>
      </c>
      <c r="H76" s="550"/>
    </row>
    <row r="77" spans="1:8" ht="33.75">
      <c r="A77" s="982" t="s">
        <v>2460</v>
      </c>
      <c r="B77" s="983" t="s">
        <v>2461</v>
      </c>
      <c r="C77" s="430" t="s">
        <v>99</v>
      </c>
      <c r="D77" s="984" t="s">
        <v>408</v>
      </c>
      <c r="E77" s="985">
        <v>2</v>
      </c>
      <c r="F77" s="432">
        <v>5.38</v>
      </c>
      <c r="G77" s="511">
        <f t="shared" si="2"/>
        <v>10.76</v>
      </c>
      <c r="H77" s="550"/>
    </row>
    <row r="78" spans="1:8" ht="22.5">
      <c r="A78" s="982" t="s">
        <v>2462</v>
      </c>
      <c r="B78" s="983" t="s">
        <v>2463</v>
      </c>
      <c r="C78" s="430" t="s">
        <v>99</v>
      </c>
      <c r="D78" s="984" t="s">
        <v>408</v>
      </c>
      <c r="E78" s="985">
        <v>2</v>
      </c>
      <c r="F78" s="432">
        <v>5.26</v>
      </c>
      <c r="G78" s="511">
        <f t="shared" si="2"/>
        <v>10.52</v>
      </c>
      <c r="H78" s="550"/>
    </row>
    <row r="79" spans="1:8" ht="22.5">
      <c r="A79" s="982" t="s">
        <v>2464</v>
      </c>
      <c r="B79" s="983" t="s">
        <v>2465</v>
      </c>
      <c r="C79" s="430" t="s">
        <v>99</v>
      </c>
      <c r="D79" s="984" t="s">
        <v>408</v>
      </c>
      <c r="E79" s="985">
        <v>2</v>
      </c>
      <c r="F79" s="501">
        <v>3.3</v>
      </c>
      <c r="G79" s="511">
        <f t="shared" si="2"/>
        <v>6.6</v>
      </c>
      <c r="H79" s="550"/>
    </row>
    <row r="80" spans="1:8" ht="14.1" customHeight="1">
      <c r="A80" s="982" t="s">
        <v>2466</v>
      </c>
      <c r="B80" s="983" t="s">
        <v>2467</v>
      </c>
      <c r="C80" s="430" t="s">
        <v>99</v>
      </c>
      <c r="D80" s="984" t="s">
        <v>408</v>
      </c>
      <c r="E80" s="985">
        <v>2</v>
      </c>
      <c r="F80" s="432">
        <v>0.65</v>
      </c>
      <c r="G80" s="511">
        <f t="shared" si="2"/>
        <v>1.3</v>
      </c>
      <c r="H80" s="550"/>
    </row>
    <row r="81" spans="1:9" ht="14.1" customHeight="1">
      <c r="A81" s="982" t="s">
        <v>2468</v>
      </c>
      <c r="B81" s="983" t="s">
        <v>2469</v>
      </c>
      <c r="C81" s="430" t="s">
        <v>99</v>
      </c>
      <c r="D81" s="984" t="s">
        <v>408</v>
      </c>
      <c r="E81" s="985">
        <v>2</v>
      </c>
      <c r="F81" s="435">
        <v>0.48</v>
      </c>
      <c r="G81" s="456">
        <f>TRUNC(E81*F81,2)</f>
        <v>0.96</v>
      </c>
    </row>
    <row r="82" spans="1:9" ht="15" customHeight="1">
      <c r="A82" s="1470" t="s">
        <v>1980</v>
      </c>
      <c r="B82" s="1416" t="s">
        <v>306</v>
      </c>
      <c r="C82" s="998" t="s">
        <v>117</v>
      </c>
      <c r="D82" s="1427" t="s">
        <v>410</v>
      </c>
      <c r="E82" s="1425">
        <v>8</v>
      </c>
      <c r="F82" s="435">
        <f>'COMP AUX'!G253</f>
        <v>15.639999999999999</v>
      </c>
      <c r="G82" s="456">
        <f t="shared" ref="G82:G84" si="3">TRUNC(E82*F82,2)</f>
        <v>125.12</v>
      </c>
    </row>
    <row r="83" spans="1:9" ht="15" customHeight="1">
      <c r="A83" s="1454"/>
      <c r="B83" s="1417"/>
      <c r="C83" s="999" t="s">
        <v>99</v>
      </c>
      <c r="D83" s="1428"/>
      <c r="E83" s="1426"/>
      <c r="F83" s="435">
        <f>'COMP AUX'!G254</f>
        <v>4.5600000000000005</v>
      </c>
      <c r="G83" s="456">
        <f>TRUNC(E82*F83,2)</f>
        <v>36.479999999999997</v>
      </c>
    </row>
    <row r="84" spans="1:9" ht="15" customHeight="1">
      <c r="A84" s="1470" t="s">
        <v>1404</v>
      </c>
      <c r="B84" s="1416" t="s">
        <v>123</v>
      </c>
      <c r="C84" s="998" t="s">
        <v>117</v>
      </c>
      <c r="D84" s="1427" t="s">
        <v>410</v>
      </c>
      <c r="E84" s="1425">
        <v>8</v>
      </c>
      <c r="F84" s="435">
        <f>'COMP AUX'!G104</f>
        <v>11.1</v>
      </c>
      <c r="G84" s="456">
        <f t="shared" si="3"/>
        <v>88.8</v>
      </c>
    </row>
    <row r="85" spans="1:9" ht="15" customHeight="1">
      <c r="A85" s="1454"/>
      <c r="B85" s="1466"/>
      <c r="C85" s="999" t="s">
        <v>99</v>
      </c>
      <c r="D85" s="1428"/>
      <c r="E85" s="1426"/>
      <c r="F85" s="435">
        <f>'COMP AUX'!G105</f>
        <v>4.5600000000000005</v>
      </c>
      <c r="G85" s="456">
        <f>TRUNC(E84*F85,2)</f>
        <v>36.479999999999997</v>
      </c>
    </row>
    <row r="86" spans="1:9" ht="15" customHeight="1">
      <c r="E86" s="215"/>
      <c r="F86" s="514" t="s">
        <v>103</v>
      </c>
      <c r="G86" s="466">
        <f>G82+G84</f>
        <v>213.92000000000002</v>
      </c>
    </row>
    <row r="87" spans="1:9" ht="15" customHeight="1">
      <c r="E87" s="215"/>
      <c r="F87" s="547" t="s">
        <v>105</v>
      </c>
      <c r="G87" s="474">
        <f>SUM(G65:G81)+G83+G85</f>
        <v>1123.22</v>
      </c>
    </row>
    <row r="88" spans="1:9" ht="15" customHeight="1">
      <c r="A88" s="170" t="s">
        <v>107</v>
      </c>
      <c r="E88" s="215"/>
      <c r="F88" s="547" t="s">
        <v>106</v>
      </c>
      <c r="G88" s="479">
        <f>SUM(G86:G87)</f>
        <v>1337.14</v>
      </c>
    </row>
    <row r="89" spans="1:9" ht="15" customHeight="1">
      <c r="A89" s="437" t="s">
        <v>108</v>
      </c>
      <c r="B89" s="656">
        <f>G88</f>
        <v>1337.14</v>
      </c>
    </row>
    <row r="90" spans="1:9" ht="15" customHeight="1">
      <c r="A90" s="542" t="s">
        <v>2654</v>
      </c>
      <c r="B90" s="541"/>
    </row>
    <row r="91" spans="1:9" ht="15" customHeight="1">
      <c r="A91" s="622" t="s">
        <v>2714</v>
      </c>
      <c r="B91" s="541">
        <f>(B89+B90)*0.245</f>
        <v>327.59930000000003</v>
      </c>
    </row>
    <row r="92" spans="1:9" ht="15" customHeight="1">
      <c r="A92" s="437" t="s">
        <v>111</v>
      </c>
      <c r="B92" s="657">
        <f>SUM(B89:B91)</f>
        <v>1664.7393000000002</v>
      </c>
      <c r="H92" s="560"/>
      <c r="I92" s="170" t="s">
        <v>2659</v>
      </c>
    </row>
    <row r="93" spans="1:9">
      <c r="A93" s="516"/>
      <c r="B93" s="516"/>
      <c r="C93" s="516"/>
      <c r="D93" s="516"/>
      <c r="E93" s="516"/>
      <c r="F93" s="516"/>
      <c r="G93" s="516"/>
      <c r="H93" s="516"/>
    </row>
    <row r="95" spans="1:9" ht="12.75">
      <c r="A95" s="170" t="s">
        <v>1258</v>
      </c>
      <c r="B95" s="355"/>
      <c r="C95" s="355"/>
      <c r="D95" s="355"/>
      <c r="E95" s="355"/>
      <c r="F95" s="355"/>
      <c r="G95" s="355"/>
      <c r="H95" s="355"/>
    </row>
    <row r="96" spans="1:9" ht="12.75">
      <c r="A96" s="762" t="s">
        <v>2743</v>
      </c>
      <c r="B96" s="709"/>
      <c r="C96" s="709"/>
      <c r="D96" s="709"/>
      <c r="E96" s="709"/>
      <c r="F96" s="709"/>
      <c r="G96" s="709"/>
      <c r="H96" s="709"/>
    </row>
    <row r="97" spans="1:11" ht="18" customHeight="1">
      <c r="A97" s="535" t="s">
        <v>1640</v>
      </c>
      <c r="B97" s="535" t="s">
        <v>2745</v>
      </c>
      <c r="C97" s="535" t="s">
        <v>1398</v>
      </c>
      <c r="D97" s="533"/>
      <c r="E97" s="533"/>
      <c r="F97" s="533"/>
      <c r="G97" s="533"/>
      <c r="H97" s="172"/>
    </row>
    <row r="98" spans="1:11" ht="22.5">
      <c r="A98" s="428" t="s">
        <v>30</v>
      </c>
      <c r="B98" s="1076" t="s">
        <v>19</v>
      </c>
      <c r="C98" s="430" t="s">
        <v>92</v>
      </c>
      <c r="D98" s="430" t="s">
        <v>88</v>
      </c>
      <c r="E98" s="1077" t="s">
        <v>93</v>
      </c>
      <c r="F98" s="432" t="s">
        <v>94</v>
      </c>
      <c r="G98" s="508" t="s">
        <v>95</v>
      </c>
      <c r="H98" s="172"/>
      <c r="J98" s="425" t="s">
        <v>2796</v>
      </c>
      <c r="K98" s="548">
        <f>998/20</f>
        <v>49.9</v>
      </c>
    </row>
    <row r="99" spans="1:11" ht="14.1" customHeight="1">
      <c r="A99" s="557" t="s">
        <v>90</v>
      </c>
      <c r="B99" s="534" t="s">
        <v>2797</v>
      </c>
      <c r="C99" s="528" t="s">
        <v>99</v>
      </c>
      <c r="D99" s="528" t="s">
        <v>1538</v>
      </c>
      <c r="E99" s="537">
        <v>49.9</v>
      </c>
      <c r="F99" s="538">
        <v>1.8</v>
      </c>
      <c r="G99" s="733">
        <f t="shared" ref="G99:G102" si="4">TRUNC(E99*F99,2)</f>
        <v>89.82</v>
      </c>
      <c r="H99" s="172"/>
      <c r="I99" s="193" t="s">
        <v>2798</v>
      </c>
    </row>
    <row r="100" spans="1:11" ht="22.5">
      <c r="A100" s="557">
        <v>3997</v>
      </c>
      <c r="B100" s="534" t="s">
        <v>2746</v>
      </c>
      <c r="C100" s="528" t="s">
        <v>99</v>
      </c>
      <c r="D100" s="528" t="s">
        <v>1398</v>
      </c>
      <c r="E100" s="537">
        <v>1.1000000000000001</v>
      </c>
      <c r="F100" s="1108">
        <v>1531.01</v>
      </c>
      <c r="G100" s="733">
        <f t="shared" si="4"/>
        <v>1684.11</v>
      </c>
      <c r="H100" s="172"/>
    </row>
    <row r="101" spans="1:11" ht="14.1" customHeight="1">
      <c r="A101" s="557">
        <v>5061</v>
      </c>
      <c r="B101" s="534" t="s">
        <v>922</v>
      </c>
      <c r="C101" s="528" t="s">
        <v>99</v>
      </c>
      <c r="D101" s="528" t="s">
        <v>115</v>
      </c>
      <c r="E101" s="537">
        <v>4.8</v>
      </c>
      <c r="F101" s="538">
        <v>9</v>
      </c>
      <c r="G101" s="733">
        <f t="shared" si="4"/>
        <v>43.2</v>
      </c>
      <c r="H101" s="172"/>
    </row>
    <row r="102" spans="1:11" ht="14.1" customHeight="1">
      <c r="A102" s="1509">
        <v>88262</v>
      </c>
      <c r="B102" s="1507" t="s">
        <v>147</v>
      </c>
      <c r="C102" s="528" t="s">
        <v>117</v>
      </c>
      <c r="D102" s="1485" t="s">
        <v>410</v>
      </c>
      <c r="E102" s="1487">
        <v>48</v>
      </c>
      <c r="F102" s="538">
        <f>'COMP AUX'!G87</f>
        <v>14.81</v>
      </c>
      <c r="G102" s="733">
        <f t="shared" si="4"/>
        <v>710.88</v>
      </c>
      <c r="H102" s="172"/>
    </row>
    <row r="103" spans="1:11" ht="14.1" customHeight="1">
      <c r="A103" s="1510"/>
      <c r="B103" s="1508"/>
      <c r="C103" s="528" t="s">
        <v>99</v>
      </c>
      <c r="D103" s="1486"/>
      <c r="E103" s="1488"/>
      <c r="F103" s="538">
        <f>'COMP AUX'!G88</f>
        <v>4.5600000000000005</v>
      </c>
      <c r="G103" s="733">
        <f>TRUNC(E102*F103,2)</f>
        <v>218.88</v>
      </c>
      <c r="H103" s="172"/>
    </row>
    <row r="104" spans="1:11" ht="14.1" customHeight="1">
      <c r="A104" s="1509">
        <v>88241</v>
      </c>
      <c r="B104" s="1507" t="s">
        <v>2744</v>
      </c>
      <c r="C104" s="528" t="s">
        <v>117</v>
      </c>
      <c r="D104" s="1485" t="s">
        <v>410</v>
      </c>
      <c r="E104" s="1487">
        <v>48</v>
      </c>
      <c r="F104" s="538">
        <f>'COMP AUX'!G53</f>
        <v>10.74</v>
      </c>
      <c r="G104" s="733">
        <f>TRUNC(E104*F104,2)</f>
        <v>515.52</v>
      </c>
      <c r="H104" s="172"/>
    </row>
    <row r="105" spans="1:11" ht="14.1" customHeight="1">
      <c r="A105" s="1510"/>
      <c r="B105" s="1508"/>
      <c r="C105" s="528" t="s">
        <v>99</v>
      </c>
      <c r="D105" s="1486"/>
      <c r="E105" s="1488"/>
      <c r="F105" s="538">
        <f>'COMP AUX'!G54</f>
        <v>4.5600000000000005</v>
      </c>
      <c r="G105" s="733">
        <f>TRUNC(E104*F105,2)</f>
        <v>218.88</v>
      </c>
      <c r="H105" s="172"/>
    </row>
    <row r="106" spans="1:11" ht="14.1" customHeight="1">
      <c r="A106" s="1078"/>
      <c r="B106" s="1078"/>
      <c r="C106" s="530"/>
      <c r="D106" s="530"/>
      <c r="E106" s="530"/>
      <c r="F106" s="531" t="s">
        <v>103</v>
      </c>
      <c r="G106" s="1109">
        <f>G104+G102</f>
        <v>1226.4000000000001</v>
      </c>
      <c r="H106" s="172"/>
    </row>
    <row r="107" spans="1:11" ht="14.1" customHeight="1">
      <c r="A107" s="1078"/>
      <c r="B107" s="1078"/>
      <c r="C107" s="530"/>
      <c r="D107" s="530"/>
      <c r="E107" s="530"/>
      <c r="F107" s="531" t="s">
        <v>105</v>
      </c>
      <c r="G107" s="1109">
        <f>G99+G100+G101+G103+G105</f>
        <v>2254.89</v>
      </c>
      <c r="H107" s="172"/>
    </row>
    <row r="108" spans="1:11" ht="14.1" customHeight="1">
      <c r="A108" s="535" t="s">
        <v>107</v>
      </c>
      <c r="B108" s="1078"/>
      <c r="C108" s="530"/>
      <c r="D108" s="530"/>
      <c r="E108" s="530"/>
      <c r="F108" s="531" t="s">
        <v>106</v>
      </c>
      <c r="G108" s="1110">
        <f>SUM(G106:G107)</f>
        <v>3481.29</v>
      </c>
      <c r="H108" s="172"/>
    </row>
    <row r="109" spans="1:11" ht="14.1" customHeight="1">
      <c r="A109" s="542" t="s">
        <v>108</v>
      </c>
      <c r="B109" s="1111">
        <f>G108</f>
        <v>3481.29</v>
      </c>
      <c r="C109" s="1078"/>
      <c r="D109" s="1078"/>
      <c r="E109" s="1078"/>
      <c r="F109" s="209"/>
      <c r="G109" s="209"/>
      <c r="H109" s="172"/>
    </row>
    <row r="110" spans="1:11" ht="14.1" customHeight="1">
      <c r="A110" s="542" t="s">
        <v>2654</v>
      </c>
      <c r="B110" s="1111"/>
      <c r="C110" s="1078"/>
      <c r="D110" s="1078"/>
      <c r="E110" s="1078"/>
      <c r="F110" s="209"/>
      <c r="G110" s="209"/>
    </row>
    <row r="111" spans="1:11" ht="14.1" customHeight="1">
      <c r="A111" s="622" t="s">
        <v>2714</v>
      </c>
      <c r="B111" s="1111">
        <f>(B109+B110)*0.245</f>
        <v>852.91604999999993</v>
      </c>
      <c r="C111" s="1078"/>
      <c r="D111" s="1078"/>
      <c r="E111" s="1078"/>
      <c r="F111" s="209"/>
      <c r="G111" s="209"/>
    </row>
    <row r="112" spans="1:11" ht="14.1" customHeight="1">
      <c r="A112" s="542" t="s">
        <v>111</v>
      </c>
      <c r="B112" s="1112">
        <f>SUM(B109:B111)</f>
        <v>4334.2060499999998</v>
      </c>
      <c r="C112" s="1078"/>
      <c r="D112" s="1078"/>
      <c r="E112" s="1078"/>
      <c r="F112" s="209"/>
      <c r="G112" s="209"/>
      <c r="H112" s="560"/>
      <c r="I112" s="170" t="s">
        <v>2659</v>
      </c>
    </row>
    <row r="113" spans="1:8" ht="12.75">
      <c r="A113" s="1516"/>
      <c r="B113" s="1517"/>
      <c r="C113" s="1517"/>
      <c r="D113" s="1517"/>
      <c r="E113" s="1517"/>
      <c r="F113" s="1517"/>
      <c r="G113" s="1517"/>
      <c r="H113" s="1517"/>
    </row>
    <row r="115" spans="1:8">
      <c r="A115" s="170" t="s">
        <v>1369</v>
      </c>
      <c r="B115" s="555"/>
      <c r="C115" s="555"/>
      <c r="D115" s="555"/>
      <c r="E115" s="555"/>
      <c r="F115" s="555"/>
      <c r="G115" s="555"/>
      <c r="H115" s="555"/>
    </row>
    <row r="116" spans="1:8">
      <c r="A116" s="554" t="s">
        <v>1588</v>
      </c>
    </row>
    <row r="117" spans="1:8" ht="25.5" customHeight="1">
      <c r="A117" s="578" t="s">
        <v>1640</v>
      </c>
      <c r="B117" s="977" t="s">
        <v>1665</v>
      </c>
      <c r="C117" s="615" t="s">
        <v>1398</v>
      </c>
      <c r="E117" s="579"/>
      <c r="F117" s="579"/>
      <c r="G117" s="579"/>
      <c r="H117" s="579"/>
    </row>
    <row r="118" spans="1:8" ht="22.5">
      <c r="A118" s="502" t="s">
        <v>30</v>
      </c>
      <c r="B118" s="507" t="s">
        <v>19</v>
      </c>
      <c r="C118" s="430" t="s">
        <v>92</v>
      </c>
      <c r="D118" s="512" t="s">
        <v>88</v>
      </c>
      <c r="E118" s="512" t="s">
        <v>93</v>
      </c>
      <c r="F118" s="432" t="s">
        <v>94</v>
      </c>
      <c r="G118" s="508" t="s">
        <v>95</v>
      </c>
      <c r="H118" s="551"/>
    </row>
    <row r="119" spans="1:8" ht="15" customHeight="1">
      <c r="A119" s="1503">
        <v>88309</v>
      </c>
      <c r="B119" s="1501" t="s">
        <v>131</v>
      </c>
      <c r="C119" s="564" t="s">
        <v>117</v>
      </c>
      <c r="D119" s="1504" t="s">
        <v>410</v>
      </c>
      <c r="E119" s="1552">
        <v>0.22500000000000001</v>
      </c>
      <c r="F119" s="574">
        <f>'COMP AUX'!G151</f>
        <v>14.93</v>
      </c>
      <c r="G119" s="565">
        <f t="shared" ref="G119:G121" si="5">TRUNC(E119*F119,2)</f>
        <v>3.35</v>
      </c>
      <c r="H119" s="196"/>
    </row>
    <row r="120" spans="1:8" ht="15" customHeight="1">
      <c r="A120" s="1460"/>
      <c r="B120" s="1502"/>
      <c r="C120" s="562" t="s">
        <v>99</v>
      </c>
      <c r="D120" s="1462"/>
      <c r="E120" s="1464"/>
      <c r="F120" s="573">
        <f>'COMP AUX'!G152</f>
        <v>4.5600000000000005</v>
      </c>
      <c r="G120" s="563">
        <f>TRUNC(E119*F120,2)</f>
        <v>1.02</v>
      </c>
      <c r="H120" s="419"/>
    </row>
    <row r="121" spans="1:8" ht="15" customHeight="1">
      <c r="A121" s="1459">
        <v>88316</v>
      </c>
      <c r="B121" s="1525" t="s">
        <v>123</v>
      </c>
      <c r="C121" s="562" t="s">
        <v>117</v>
      </c>
      <c r="D121" s="1461" t="s">
        <v>410</v>
      </c>
      <c r="E121" s="1505">
        <v>2.3248000000000002</v>
      </c>
      <c r="F121" s="573">
        <f>'COMP AUX'!G104</f>
        <v>11.1</v>
      </c>
      <c r="G121" s="563">
        <f t="shared" si="5"/>
        <v>25.8</v>
      </c>
      <c r="H121" s="419"/>
    </row>
    <row r="122" spans="1:8" ht="15" customHeight="1">
      <c r="A122" s="1460"/>
      <c r="B122" s="1502"/>
      <c r="C122" s="562" t="s">
        <v>99</v>
      </c>
      <c r="D122" s="1462"/>
      <c r="E122" s="1506"/>
      <c r="F122" s="573">
        <f>'COMP AUX'!G105</f>
        <v>4.5600000000000005</v>
      </c>
      <c r="G122" s="563">
        <f>TRUNC(E121*F122,2)</f>
        <v>10.6</v>
      </c>
      <c r="H122" s="196"/>
    </row>
    <row r="123" spans="1:8" ht="15" customHeight="1">
      <c r="A123" s="196"/>
      <c r="B123" s="196"/>
      <c r="C123" s="196"/>
      <c r="D123" s="196"/>
      <c r="E123" s="196"/>
      <c r="F123" s="581" t="s">
        <v>103</v>
      </c>
      <c r="G123" s="575">
        <f>G119+G121</f>
        <v>29.150000000000002</v>
      </c>
      <c r="H123" s="196"/>
    </row>
    <row r="124" spans="1:8" ht="15" customHeight="1">
      <c r="A124" s="196"/>
      <c r="B124" s="196"/>
      <c r="C124" s="196"/>
      <c r="D124" s="196"/>
      <c r="E124" s="196"/>
      <c r="F124" s="581" t="s">
        <v>105</v>
      </c>
      <c r="G124" s="575">
        <f>G120+G122</f>
        <v>11.62</v>
      </c>
      <c r="H124" s="196"/>
    </row>
    <row r="125" spans="1:8" ht="15" customHeight="1">
      <c r="A125" s="582" t="s">
        <v>107</v>
      </c>
      <c r="B125" s="196"/>
      <c r="C125" s="196"/>
      <c r="D125" s="196"/>
      <c r="E125" s="196"/>
      <c r="F125" s="581" t="s">
        <v>106</v>
      </c>
      <c r="G125" s="576">
        <f>SUM(G123:G124)</f>
        <v>40.770000000000003</v>
      </c>
      <c r="H125" s="196"/>
    </row>
    <row r="126" spans="1:8" ht="15" customHeight="1">
      <c r="A126" s="437" t="s">
        <v>108</v>
      </c>
      <c r="B126" s="548">
        <f>G125</f>
        <v>40.770000000000003</v>
      </c>
      <c r="C126" s="196"/>
      <c r="D126" s="196"/>
      <c r="E126" s="196"/>
      <c r="F126" s="197"/>
      <c r="G126" s="197"/>
      <c r="H126" s="196"/>
    </row>
    <row r="127" spans="1:8" ht="15" customHeight="1">
      <c r="A127" s="542" t="s">
        <v>2654</v>
      </c>
      <c r="B127" s="541"/>
      <c r="C127" s="196"/>
      <c r="D127" s="196"/>
      <c r="E127" s="196"/>
      <c r="F127" s="197"/>
      <c r="G127" s="197"/>
      <c r="H127" s="196"/>
    </row>
    <row r="128" spans="1:8" ht="15" customHeight="1">
      <c r="A128" s="622" t="s">
        <v>2714</v>
      </c>
      <c r="B128" s="541">
        <f>(B126+B127)*0.245</f>
        <v>9.9886499999999998</v>
      </c>
      <c r="C128" s="196"/>
      <c r="D128" s="196"/>
      <c r="E128" s="196"/>
      <c r="F128" s="197"/>
      <c r="G128" s="197"/>
      <c r="H128" s="196"/>
    </row>
    <row r="129" spans="1:9" ht="15" customHeight="1">
      <c r="A129" s="437" t="s">
        <v>111</v>
      </c>
      <c r="B129" s="549">
        <f>SUM(B126:B128)</f>
        <v>50.758650000000003</v>
      </c>
      <c r="C129" s="196"/>
      <c r="D129" s="196"/>
      <c r="E129" s="196"/>
      <c r="F129" s="197"/>
      <c r="G129" s="197"/>
      <c r="H129" s="577"/>
      <c r="I129" s="170" t="s">
        <v>2655</v>
      </c>
    </row>
    <row r="130" spans="1:9">
      <c r="A130" s="516"/>
      <c r="B130" s="517"/>
      <c r="C130" s="518"/>
      <c r="D130" s="516"/>
      <c r="E130" s="517"/>
      <c r="F130" s="517"/>
      <c r="G130" s="517"/>
      <c r="H130" s="516"/>
    </row>
    <row r="132" spans="1:9">
      <c r="A132" s="170" t="s">
        <v>1369</v>
      </c>
      <c r="B132" s="555"/>
      <c r="C132" s="555"/>
      <c r="D132" s="555"/>
      <c r="E132" s="555"/>
      <c r="F132" s="555"/>
      <c r="G132" s="555"/>
      <c r="H132" s="555"/>
    </row>
    <row r="133" spans="1:9" ht="15" customHeight="1">
      <c r="A133" s="554" t="s">
        <v>2400</v>
      </c>
    </row>
    <row r="134" spans="1:9" ht="24.75" customHeight="1">
      <c r="A134" s="963" t="s">
        <v>1640</v>
      </c>
      <c r="B134" s="977" t="s">
        <v>2841</v>
      </c>
      <c r="C134" s="615" t="s">
        <v>1574</v>
      </c>
      <c r="E134" s="964"/>
      <c r="F134" s="964"/>
      <c r="G134" s="964"/>
      <c r="H134" s="964"/>
    </row>
    <row r="135" spans="1:9" ht="22.5">
      <c r="A135" s="960" t="s">
        <v>30</v>
      </c>
      <c r="B135" s="507" t="s">
        <v>19</v>
      </c>
      <c r="C135" s="430" t="s">
        <v>92</v>
      </c>
      <c r="D135" s="958" t="s">
        <v>88</v>
      </c>
      <c r="E135" s="958" t="s">
        <v>93</v>
      </c>
      <c r="F135" s="432" t="s">
        <v>94</v>
      </c>
      <c r="G135" s="508" t="s">
        <v>95</v>
      </c>
      <c r="H135" s="551"/>
    </row>
    <row r="136" spans="1:9" ht="15" customHeight="1">
      <c r="A136" s="1503">
        <v>88309</v>
      </c>
      <c r="B136" s="1501" t="s">
        <v>131</v>
      </c>
      <c r="C136" s="954" t="s">
        <v>117</v>
      </c>
      <c r="D136" s="1504" t="s">
        <v>410</v>
      </c>
      <c r="E136" s="1552">
        <v>0.13</v>
      </c>
      <c r="F136" s="955">
        <f>'COMP AUX'!G151</f>
        <v>14.93</v>
      </c>
      <c r="G136" s="565">
        <f t="shared" ref="G136" si="6">TRUNC(E136*F136,2)</f>
        <v>1.94</v>
      </c>
      <c r="H136" s="965"/>
    </row>
    <row r="137" spans="1:9" ht="15" customHeight="1">
      <c r="A137" s="1460"/>
      <c r="B137" s="1502"/>
      <c r="C137" s="966" t="s">
        <v>99</v>
      </c>
      <c r="D137" s="1462"/>
      <c r="E137" s="1464"/>
      <c r="F137" s="573">
        <f>'COMP AUX'!G152</f>
        <v>4.5600000000000005</v>
      </c>
      <c r="G137" s="563">
        <f>TRUNC(E136*F137,2)</f>
        <v>0.59</v>
      </c>
      <c r="H137" s="965"/>
    </row>
    <row r="138" spans="1:9" ht="15" customHeight="1">
      <c r="A138" s="1459">
        <v>88316</v>
      </c>
      <c r="B138" s="1525" t="s">
        <v>123</v>
      </c>
      <c r="C138" s="966" t="s">
        <v>117</v>
      </c>
      <c r="D138" s="1461" t="s">
        <v>410</v>
      </c>
      <c r="E138" s="1505">
        <v>1.3</v>
      </c>
      <c r="F138" s="573">
        <f>'COMP AUX'!G104</f>
        <v>11.1</v>
      </c>
      <c r="G138" s="563">
        <f t="shared" ref="G138" si="7">TRUNC(E138*F138,2)</f>
        <v>14.43</v>
      </c>
      <c r="H138" s="965"/>
    </row>
    <row r="139" spans="1:9" ht="15" customHeight="1">
      <c r="A139" s="1460"/>
      <c r="B139" s="1502"/>
      <c r="C139" s="966" t="s">
        <v>99</v>
      </c>
      <c r="D139" s="1462"/>
      <c r="E139" s="1506"/>
      <c r="F139" s="573">
        <f>'COMP AUX'!G105</f>
        <v>4.5600000000000005</v>
      </c>
      <c r="G139" s="563">
        <f>TRUNC(E138*F139,2)</f>
        <v>5.92</v>
      </c>
      <c r="H139" s="965"/>
    </row>
    <row r="140" spans="1:9" ht="15" customHeight="1">
      <c r="A140" s="965"/>
      <c r="B140" s="965"/>
      <c r="C140" s="965"/>
      <c r="D140" s="965"/>
      <c r="E140" s="965"/>
      <c r="F140" s="581" t="s">
        <v>103</v>
      </c>
      <c r="G140" s="575">
        <f>G136+G138</f>
        <v>16.37</v>
      </c>
      <c r="H140" s="965"/>
    </row>
    <row r="141" spans="1:9" ht="15" customHeight="1">
      <c r="A141" s="965"/>
      <c r="B141" s="965"/>
      <c r="C141" s="965"/>
      <c r="D141" s="965"/>
      <c r="E141" s="965"/>
      <c r="F141" s="581" t="s">
        <v>105</v>
      </c>
      <c r="G141" s="575">
        <f>G137+G139</f>
        <v>6.51</v>
      </c>
      <c r="H141" s="965"/>
    </row>
    <row r="142" spans="1:9" ht="15" customHeight="1">
      <c r="A142" s="582" t="s">
        <v>107</v>
      </c>
      <c r="B142" s="965"/>
      <c r="C142" s="965"/>
      <c r="D142" s="965"/>
      <c r="E142" s="965"/>
      <c r="F142" s="581" t="s">
        <v>106</v>
      </c>
      <c r="G142" s="576">
        <f>SUM(G140:G141)</f>
        <v>22.880000000000003</v>
      </c>
      <c r="H142" s="965"/>
    </row>
    <row r="143" spans="1:9" ht="15" customHeight="1">
      <c r="A143" s="437" t="s">
        <v>108</v>
      </c>
      <c r="B143" s="548">
        <f>G142</f>
        <v>22.880000000000003</v>
      </c>
      <c r="C143" s="965"/>
      <c r="D143" s="965"/>
      <c r="E143" s="965"/>
      <c r="F143" s="197"/>
      <c r="G143" s="197"/>
      <c r="H143" s="965"/>
    </row>
    <row r="144" spans="1:9" ht="15" customHeight="1">
      <c r="A144" s="542" t="s">
        <v>2654</v>
      </c>
      <c r="B144" s="541"/>
      <c r="C144" s="965"/>
      <c r="D144" s="965"/>
      <c r="E144" s="965"/>
      <c r="F144" s="197"/>
      <c r="G144" s="197"/>
      <c r="H144" s="965"/>
    </row>
    <row r="145" spans="1:9" ht="15" customHeight="1">
      <c r="A145" s="622" t="s">
        <v>2714</v>
      </c>
      <c r="B145" s="541">
        <f>(B143+B144)*0.245</f>
        <v>5.6056000000000008</v>
      </c>
      <c r="C145" s="965"/>
      <c r="D145" s="965"/>
      <c r="E145" s="965"/>
      <c r="F145" s="197"/>
      <c r="G145" s="197"/>
      <c r="H145" s="965"/>
    </row>
    <row r="146" spans="1:9" ht="15" customHeight="1">
      <c r="A146" s="437" t="s">
        <v>111</v>
      </c>
      <c r="B146" s="549">
        <f>SUM(B143:B145)</f>
        <v>28.485600000000005</v>
      </c>
      <c r="C146" s="965"/>
      <c r="D146" s="965"/>
      <c r="E146" s="965"/>
      <c r="F146" s="197"/>
      <c r="G146" s="197"/>
      <c r="H146" s="577"/>
      <c r="I146" s="170" t="s">
        <v>2655</v>
      </c>
    </row>
    <row r="147" spans="1:9">
      <c r="A147" s="516"/>
      <c r="B147" s="517"/>
      <c r="C147" s="518"/>
      <c r="D147" s="516"/>
      <c r="E147" s="517"/>
      <c r="F147" s="517"/>
      <c r="G147" s="517"/>
      <c r="H147" s="516"/>
    </row>
    <row r="149" spans="1:9">
      <c r="A149" s="170" t="s">
        <v>1369</v>
      </c>
      <c r="B149" s="555"/>
      <c r="C149" s="555"/>
      <c r="D149" s="555"/>
      <c r="E149" s="555"/>
      <c r="F149" s="555"/>
      <c r="G149" s="555"/>
      <c r="H149" s="555"/>
    </row>
    <row r="150" spans="1:9">
      <c r="A150" s="554" t="s">
        <v>2401</v>
      </c>
    </row>
    <row r="151" spans="1:9" ht="19.5" customHeight="1">
      <c r="A151" s="963" t="s">
        <v>1640</v>
      </c>
      <c r="B151" s="977" t="s">
        <v>2402</v>
      </c>
      <c r="C151" s="615" t="s">
        <v>1574</v>
      </c>
      <c r="E151" s="964"/>
      <c r="F151" s="964"/>
      <c r="G151" s="964"/>
      <c r="H151" s="964"/>
    </row>
    <row r="152" spans="1:9" ht="22.5">
      <c r="A152" s="960" t="s">
        <v>30</v>
      </c>
      <c r="B152" s="507" t="s">
        <v>19</v>
      </c>
      <c r="C152" s="430" t="s">
        <v>92</v>
      </c>
      <c r="D152" s="958" t="s">
        <v>88</v>
      </c>
      <c r="E152" s="958" t="s">
        <v>93</v>
      </c>
      <c r="F152" s="432" t="s">
        <v>94</v>
      </c>
      <c r="G152" s="508" t="s">
        <v>95</v>
      </c>
      <c r="H152" s="551"/>
    </row>
    <row r="153" spans="1:9" ht="15" customHeight="1">
      <c r="A153" s="1503">
        <v>88309</v>
      </c>
      <c r="B153" s="1501" t="s">
        <v>131</v>
      </c>
      <c r="C153" s="954" t="s">
        <v>117</v>
      </c>
      <c r="D153" s="1504" t="s">
        <v>410</v>
      </c>
      <c r="E153" s="1552">
        <v>0.39</v>
      </c>
      <c r="F153" s="955">
        <f>'COMP AUX'!G151</f>
        <v>14.93</v>
      </c>
      <c r="G153" s="565">
        <f t="shared" ref="G153" si="8">TRUNC(E153*F153,2)</f>
        <v>5.82</v>
      </c>
      <c r="H153" s="965"/>
    </row>
    <row r="154" spans="1:9" ht="15" customHeight="1">
      <c r="A154" s="1460"/>
      <c r="B154" s="1502"/>
      <c r="C154" s="966" t="s">
        <v>99</v>
      </c>
      <c r="D154" s="1462"/>
      <c r="E154" s="1464"/>
      <c r="F154" s="573">
        <f>'COMP AUX'!G152</f>
        <v>4.5600000000000005</v>
      </c>
      <c r="G154" s="563">
        <f>TRUNC(E153*F154,2)</f>
        <v>1.77</v>
      </c>
      <c r="H154" s="965"/>
    </row>
    <row r="155" spans="1:9" ht="15" customHeight="1">
      <c r="A155" s="1459">
        <v>88316</v>
      </c>
      <c r="B155" s="1525" t="s">
        <v>123</v>
      </c>
      <c r="C155" s="966" t="s">
        <v>117</v>
      </c>
      <c r="D155" s="1461" t="s">
        <v>410</v>
      </c>
      <c r="E155" s="1505">
        <v>2.75</v>
      </c>
      <c r="F155" s="573">
        <f>'COMP AUX'!G104</f>
        <v>11.1</v>
      </c>
      <c r="G155" s="563">
        <f t="shared" ref="G155" si="9">TRUNC(E155*F155,2)</f>
        <v>30.52</v>
      </c>
      <c r="H155" s="965"/>
    </row>
    <row r="156" spans="1:9" ht="15" customHeight="1">
      <c r="A156" s="1460"/>
      <c r="B156" s="1502"/>
      <c r="C156" s="966" t="s">
        <v>99</v>
      </c>
      <c r="D156" s="1462"/>
      <c r="E156" s="1506"/>
      <c r="F156" s="573">
        <f>'COMP AUX'!G105</f>
        <v>4.5600000000000005</v>
      </c>
      <c r="G156" s="563">
        <f>TRUNC(E155*F156,2)</f>
        <v>12.54</v>
      </c>
      <c r="H156" s="965"/>
    </row>
    <row r="157" spans="1:9" ht="15" customHeight="1">
      <c r="A157" s="965"/>
      <c r="B157" s="965"/>
      <c r="C157" s="965"/>
      <c r="D157" s="965"/>
      <c r="E157" s="965"/>
      <c r="F157" s="581" t="s">
        <v>103</v>
      </c>
      <c r="G157" s="575">
        <f>G153+G155</f>
        <v>36.340000000000003</v>
      </c>
      <c r="H157" s="965"/>
    </row>
    <row r="158" spans="1:9" ht="15" customHeight="1">
      <c r="A158" s="965"/>
      <c r="B158" s="965"/>
      <c r="C158" s="965"/>
      <c r="D158" s="965"/>
      <c r="E158" s="965"/>
      <c r="F158" s="581" t="s">
        <v>105</v>
      </c>
      <c r="G158" s="575">
        <f>G154+G156</f>
        <v>14.309999999999999</v>
      </c>
      <c r="H158" s="965"/>
    </row>
    <row r="159" spans="1:9" ht="15" customHeight="1">
      <c r="A159" s="582" t="s">
        <v>107</v>
      </c>
      <c r="B159" s="965"/>
      <c r="C159" s="965"/>
      <c r="D159" s="965"/>
      <c r="E159" s="965"/>
      <c r="F159" s="581" t="s">
        <v>106</v>
      </c>
      <c r="G159" s="576">
        <f>SUM(G157:G158)</f>
        <v>50.650000000000006</v>
      </c>
      <c r="H159" s="965"/>
    </row>
    <row r="160" spans="1:9" ht="15" customHeight="1">
      <c r="A160" s="437" t="s">
        <v>108</v>
      </c>
      <c r="B160" s="548">
        <f>G159</f>
        <v>50.650000000000006</v>
      </c>
      <c r="C160" s="965"/>
      <c r="D160" s="965"/>
      <c r="E160" s="965"/>
      <c r="F160" s="197"/>
      <c r="G160" s="197"/>
      <c r="H160" s="965"/>
    </row>
    <row r="161" spans="1:9" ht="15" customHeight="1">
      <c r="A161" s="542" t="s">
        <v>2654</v>
      </c>
      <c r="B161" s="541"/>
      <c r="C161" s="965"/>
      <c r="D161" s="965"/>
      <c r="E161" s="965"/>
      <c r="F161" s="197"/>
      <c r="G161" s="197"/>
      <c r="H161" s="965"/>
    </row>
    <row r="162" spans="1:9" ht="15" customHeight="1">
      <c r="A162" s="622" t="s">
        <v>2714</v>
      </c>
      <c r="B162" s="541">
        <f>(B160+B161)*0.245</f>
        <v>12.409250000000002</v>
      </c>
      <c r="C162" s="965"/>
      <c r="D162" s="965"/>
      <c r="E162" s="965"/>
      <c r="F162" s="197"/>
      <c r="G162" s="197"/>
      <c r="H162" s="965"/>
    </row>
    <row r="163" spans="1:9" ht="15" customHeight="1">
      <c r="A163" s="437" t="s">
        <v>111</v>
      </c>
      <c r="B163" s="549">
        <f>SUM(B160:B162)</f>
        <v>63.059250000000006</v>
      </c>
      <c r="C163" s="965"/>
      <c r="D163" s="965"/>
      <c r="E163" s="965"/>
      <c r="F163" s="197"/>
      <c r="G163" s="197"/>
      <c r="H163" s="577"/>
      <c r="I163" s="170" t="s">
        <v>2655</v>
      </c>
    </row>
    <row r="164" spans="1:9">
      <c r="A164" s="516"/>
      <c r="B164" s="517"/>
      <c r="C164" s="518"/>
      <c r="D164" s="516"/>
      <c r="E164" s="517"/>
      <c r="F164" s="517"/>
      <c r="G164" s="517"/>
      <c r="H164" s="516"/>
    </row>
    <row r="166" spans="1:9">
      <c r="A166" s="170" t="s">
        <v>1369</v>
      </c>
      <c r="B166" s="555"/>
      <c r="C166" s="555"/>
      <c r="D166" s="555"/>
      <c r="E166" s="555"/>
      <c r="F166" s="555"/>
      <c r="G166" s="555"/>
      <c r="H166" s="555"/>
    </row>
    <row r="167" spans="1:9">
      <c r="A167" s="554" t="s">
        <v>2404</v>
      </c>
    </row>
    <row r="168" spans="1:9" ht="18" customHeight="1">
      <c r="A168" s="963" t="s">
        <v>1640</v>
      </c>
      <c r="B168" s="977" t="s">
        <v>2403</v>
      </c>
      <c r="C168" s="580" t="s">
        <v>418</v>
      </c>
      <c r="E168" s="964"/>
      <c r="F168" s="964"/>
      <c r="G168" s="964"/>
      <c r="H168" s="964"/>
    </row>
    <row r="169" spans="1:9" ht="22.5">
      <c r="A169" s="960" t="s">
        <v>30</v>
      </c>
      <c r="B169" s="507" t="s">
        <v>19</v>
      </c>
      <c r="C169" s="430" t="s">
        <v>92</v>
      </c>
      <c r="D169" s="958" t="s">
        <v>88</v>
      </c>
      <c r="E169" s="958" t="s">
        <v>93</v>
      </c>
      <c r="F169" s="432" t="s">
        <v>94</v>
      </c>
      <c r="G169" s="508" t="s">
        <v>95</v>
      </c>
      <c r="H169" s="551"/>
    </row>
    <row r="170" spans="1:9" ht="15" customHeight="1">
      <c r="A170" s="1459">
        <v>88316</v>
      </c>
      <c r="B170" s="1525" t="s">
        <v>123</v>
      </c>
      <c r="C170" s="966" t="s">
        <v>117</v>
      </c>
      <c r="D170" s="1461" t="s">
        <v>410</v>
      </c>
      <c r="E170" s="1505">
        <v>2.4</v>
      </c>
      <c r="F170" s="573">
        <f>'COMP AUX'!G104</f>
        <v>11.1</v>
      </c>
      <c r="G170" s="563">
        <f t="shared" ref="G170" si="10">TRUNC(E170*F170,2)</f>
        <v>26.64</v>
      </c>
      <c r="H170" s="965"/>
    </row>
    <row r="171" spans="1:9" ht="15" customHeight="1">
      <c r="A171" s="1460"/>
      <c r="B171" s="1502"/>
      <c r="C171" s="966" t="s">
        <v>99</v>
      </c>
      <c r="D171" s="1462"/>
      <c r="E171" s="1506"/>
      <c r="F171" s="573">
        <f>'COMP AUX'!G105</f>
        <v>4.5600000000000005</v>
      </c>
      <c r="G171" s="563">
        <f>TRUNC(E170*F171,2)</f>
        <v>10.94</v>
      </c>
      <c r="H171" s="965"/>
    </row>
    <row r="172" spans="1:9" ht="15" customHeight="1">
      <c r="A172" s="965"/>
      <c r="B172" s="965"/>
      <c r="C172" s="965"/>
      <c r="D172" s="965"/>
      <c r="E172" s="965"/>
      <c r="F172" s="581" t="s">
        <v>103</v>
      </c>
      <c r="G172" s="575">
        <f>G170</f>
        <v>26.64</v>
      </c>
      <c r="H172" s="965"/>
    </row>
    <row r="173" spans="1:9" ht="15" customHeight="1">
      <c r="A173" s="965"/>
      <c r="B173" s="965"/>
      <c r="C173" s="965"/>
      <c r="D173" s="965"/>
      <c r="E173" s="965"/>
      <c r="F173" s="581" t="s">
        <v>105</v>
      </c>
      <c r="G173" s="575">
        <f>G171</f>
        <v>10.94</v>
      </c>
      <c r="H173" s="965"/>
    </row>
    <row r="174" spans="1:9" ht="15" customHeight="1">
      <c r="A174" s="582" t="s">
        <v>107</v>
      </c>
      <c r="B174" s="965"/>
      <c r="C174" s="965"/>
      <c r="D174" s="965"/>
      <c r="E174" s="965"/>
      <c r="F174" s="581" t="s">
        <v>106</v>
      </c>
      <c r="G174" s="576">
        <f>SUM(G172:G173)</f>
        <v>37.58</v>
      </c>
      <c r="H174" s="965"/>
    </row>
    <row r="175" spans="1:9" ht="15" customHeight="1">
      <c r="A175" s="437" t="s">
        <v>108</v>
      </c>
      <c r="B175" s="548">
        <f>G174</f>
        <v>37.58</v>
      </c>
      <c r="C175" s="965"/>
      <c r="D175" s="965"/>
      <c r="E175" s="965"/>
      <c r="F175" s="197"/>
      <c r="G175" s="197"/>
      <c r="H175" s="965"/>
    </row>
    <row r="176" spans="1:9" ht="15" customHeight="1">
      <c r="A176" s="542" t="s">
        <v>2654</v>
      </c>
      <c r="B176" s="541"/>
      <c r="C176" s="965"/>
      <c r="D176" s="965"/>
      <c r="E176" s="965"/>
      <c r="F176" s="197"/>
      <c r="G176" s="197"/>
      <c r="H176" s="965"/>
    </row>
    <row r="177" spans="1:9" ht="15" customHeight="1">
      <c r="A177" s="622" t="s">
        <v>2714</v>
      </c>
      <c r="B177" s="541">
        <f>(B175+B176)*0.245</f>
        <v>9.2070999999999987</v>
      </c>
      <c r="C177" s="965"/>
      <c r="D177" s="965"/>
      <c r="E177" s="965"/>
      <c r="F177" s="197"/>
      <c r="G177" s="197"/>
      <c r="H177" s="965"/>
    </row>
    <row r="178" spans="1:9" ht="15" customHeight="1">
      <c r="A178" s="437" t="s">
        <v>111</v>
      </c>
      <c r="B178" s="549">
        <f>SUM(B175:B177)</f>
        <v>46.787099999999995</v>
      </c>
      <c r="C178" s="965"/>
      <c r="D178" s="965"/>
      <c r="E178" s="965"/>
      <c r="F178" s="197"/>
      <c r="G178" s="197"/>
      <c r="H178" s="577"/>
      <c r="I178" s="170" t="s">
        <v>2655</v>
      </c>
    </row>
    <row r="179" spans="1:9">
      <c r="A179" s="516"/>
      <c r="B179" s="517"/>
      <c r="C179" s="518"/>
      <c r="D179" s="516"/>
      <c r="E179" s="517"/>
      <c r="F179" s="517"/>
      <c r="G179" s="517"/>
      <c r="H179" s="516"/>
    </row>
    <row r="181" spans="1:9">
      <c r="A181" s="170" t="s">
        <v>1369</v>
      </c>
      <c r="B181" s="555"/>
      <c r="C181" s="555"/>
      <c r="D181" s="555"/>
      <c r="E181" s="555"/>
      <c r="F181" s="555"/>
      <c r="G181" s="555"/>
      <c r="H181" s="555"/>
    </row>
    <row r="182" spans="1:9">
      <c r="A182" s="554" t="s">
        <v>2406</v>
      </c>
    </row>
    <row r="183" spans="1:9" ht="15.75" customHeight="1">
      <c r="A183" s="963" t="s">
        <v>1640</v>
      </c>
      <c r="B183" s="977" t="s">
        <v>2405</v>
      </c>
      <c r="C183" s="580" t="s">
        <v>418</v>
      </c>
      <c r="E183" s="964"/>
      <c r="F183" s="964"/>
      <c r="G183" s="964"/>
      <c r="H183" s="964"/>
    </row>
    <row r="184" spans="1:9" ht="22.5">
      <c r="A184" s="960" t="s">
        <v>30</v>
      </c>
      <c r="B184" s="507" t="s">
        <v>19</v>
      </c>
      <c r="C184" s="430" t="s">
        <v>92</v>
      </c>
      <c r="D184" s="958" t="s">
        <v>88</v>
      </c>
      <c r="E184" s="958" t="s">
        <v>93</v>
      </c>
      <c r="F184" s="432" t="s">
        <v>94</v>
      </c>
      <c r="G184" s="508" t="s">
        <v>95</v>
      </c>
      <c r="H184" s="551"/>
    </row>
    <row r="185" spans="1:9" ht="15" customHeight="1">
      <c r="A185" s="1459">
        <v>88316</v>
      </c>
      <c r="B185" s="1525" t="s">
        <v>123</v>
      </c>
      <c r="C185" s="966" t="s">
        <v>117</v>
      </c>
      <c r="D185" s="1461" t="s">
        <v>410</v>
      </c>
      <c r="E185" s="1505">
        <v>2.44</v>
      </c>
      <c r="F185" s="573">
        <f>'COMP AUX'!G104</f>
        <v>11.1</v>
      </c>
      <c r="G185" s="563">
        <f t="shared" ref="G185" si="11">TRUNC(E185*F185,2)</f>
        <v>27.08</v>
      </c>
      <c r="H185" s="965"/>
    </row>
    <row r="186" spans="1:9" ht="15" customHeight="1">
      <c r="A186" s="1460"/>
      <c r="B186" s="1502"/>
      <c r="C186" s="966" t="s">
        <v>99</v>
      </c>
      <c r="D186" s="1462"/>
      <c r="E186" s="1506"/>
      <c r="F186" s="573">
        <f>'COMP AUX'!G105</f>
        <v>4.5600000000000005</v>
      </c>
      <c r="G186" s="563">
        <f>TRUNC(E185*F186,2)</f>
        <v>11.12</v>
      </c>
      <c r="H186" s="965"/>
    </row>
    <row r="187" spans="1:9" ht="15" customHeight="1">
      <c r="A187" s="965"/>
      <c r="B187" s="965"/>
      <c r="C187" s="965"/>
      <c r="D187" s="965"/>
      <c r="E187" s="965"/>
      <c r="F187" s="581" t="s">
        <v>103</v>
      </c>
      <c r="G187" s="575">
        <f>G185</f>
        <v>27.08</v>
      </c>
      <c r="H187" s="965"/>
    </row>
    <row r="188" spans="1:9" ht="15" customHeight="1">
      <c r="A188" s="965"/>
      <c r="B188" s="965"/>
      <c r="C188" s="965"/>
      <c r="D188" s="965"/>
      <c r="E188" s="965"/>
      <c r="F188" s="581" t="s">
        <v>105</v>
      </c>
      <c r="G188" s="575">
        <f>G186</f>
        <v>11.12</v>
      </c>
      <c r="H188" s="965"/>
    </row>
    <row r="189" spans="1:9" ht="15" customHeight="1">
      <c r="A189" s="582" t="s">
        <v>107</v>
      </c>
      <c r="B189" s="965"/>
      <c r="C189" s="965"/>
      <c r="D189" s="965"/>
      <c r="E189" s="965"/>
      <c r="F189" s="581" t="s">
        <v>106</v>
      </c>
      <c r="G189" s="576">
        <f>SUM(G187:G188)</f>
        <v>38.199999999999996</v>
      </c>
      <c r="H189" s="965"/>
    </row>
    <row r="190" spans="1:9" ht="15" customHeight="1">
      <c r="A190" s="437" t="s">
        <v>108</v>
      </c>
      <c r="B190" s="548">
        <f>G189</f>
        <v>38.199999999999996</v>
      </c>
      <c r="C190" s="965"/>
      <c r="D190" s="965"/>
      <c r="E190" s="965"/>
      <c r="F190" s="197"/>
      <c r="G190" s="197"/>
      <c r="H190" s="965"/>
    </row>
    <row r="191" spans="1:9" ht="15" customHeight="1">
      <c r="A191" s="542" t="s">
        <v>2654</v>
      </c>
      <c r="B191" s="541"/>
      <c r="C191" s="965"/>
      <c r="D191" s="965"/>
      <c r="E191" s="965"/>
      <c r="F191" s="197"/>
      <c r="G191" s="197"/>
      <c r="H191" s="965"/>
    </row>
    <row r="192" spans="1:9" ht="15" customHeight="1">
      <c r="A192" s="622" t="s">
        <v>2714</v>
      </c>
      <c r="B192" s="541">
        <f>(B190+B191)*0.245</f>
        <v>9.3589999999999982</v>
      </c>
      <c r="C192" s="965"/>
      <c r="D192" s="965"/>
      <c r="E192" s="965"/>
      <c r="F192" s="197"/>
      <c r="G192" s="197"/>
      <c r="H192" s="965"/>
    </row>
    <row r="193" spans="1:12" ht="15" customHeight="1">
      <c r="A193" s="437" t="s">
        <v>111</v>
      </c>
      <c r="B193" s="549">
        <f>SUM(B190:B192)</f>
        <v>47.558999999999997</v>
      </c>
      <c r="C193" s="965"/>
      <c r="D193" s="965"/>
      <c r="E193" s="965"/>
      <c r="F193" s="197"/>
      <c r="G193" s="197"/>
      <c r="H193" s="577"/>
      <c r="I193" s="170" t="s">
        <v>2655</v>
      </c>
    </row>
    <row r="194" spans="1:12">
      <c r="A194" s="516"/>
      <c r="B194" s="517"/>
      <c r="C194" s="518"/>
      <c r="D194" s="516"/>
      <c r="E194" s="517"/>
      <c r="F194" s="517"/>
      <c r="G194" s="517"/>
      <c r="H194" s="516"/>
    </row>
    <row r="196" spans="1:12">
      <c r="A196" s="170" t="s">
        <v>1258</v>
      </c>
      <c r="B196" s="652"/>
      <c r="C196" s="652"/>
      <c r="D196" s="652"/>
      <c r="E196" s="652"/>
      <c r="F196" s="652"/>
      <c r="G196" s="652"/>
      <c r="H196" s="652"/>
    </row>
    <row r="197" spans="1:12" ht="15" customHeight="1">
      <c r="A197" s="220" t="s">
        <v>2991</v>
      </c>
      <c r="B197" s="664"/>
      <c r="C197" s="664"/>
      <c r="D197" s="664"/>
      <c r="E197" s="664"/>
      <c r="F197" s="664"/>
      <c r="G197" s="664"/>
      <c r="H197" s="664"/>
    </row>
    <row r="198" spans="1:12" ht="18" customHeight="1">
      <c r="A198" s="681" t="s">
        <v>1654</v>
      </c>
      <c r="B198" s="681" t="s">
        <v>3172</v>
      </c>
      <c r="C198" s="764" t="s">
        <v>1574</v>
      </c>
      <c r="D198" s="681"/>
      <c r="F198" s="664"/>
      <c r="G198" s="664"/>
      <c r="H198" s="664"/>
      <c r="J198" s="220" t="s">
        <v>2523</v>
      </c>
    </row>
    <row r="199" spans="1:12" ht="22.5">
      <c r="A199" s="502" t="s">
        <v>30</v>
      </c>
      <c r="B199" s="507" t="s">
        <v>19</v>
      </c>
      <c r="C199" s="430" t="s">
        <v>92</v>
      </c>
      <c r="D199" s="643" t="s">
        <v>88</v>
      </c>
      <c r="E199" s="643" t="s">
        <v>93</v>
      </c>
      <c r="F199" s="432" t="s">
        <v>94</v>
      </c>
      <c r="G199" s="508" t="s">
        <v>95</v>
      </c>
      <c r="H199" s="664"/>
    </row>
    <row r="200" spans="1:12" ht="15" customHeight="1">
      <c r="A200" s="665">
        <v>344</v>
      </c>
      <c r="B200" s="666" t="s">
        <v>2524</v>
      </c>
      <c r="C200" s="667" t="s">
        <v>99</v>
      </c>
      <c r="D200" s="667" t="s">
        <v>1401</v>
      </c>
      <c r="E200" s="676"/>
      <c r="F200" s="668">
        <v>15.14</v>
      </c>
      <c r="G200" s="669">
        <f>TRUNC(E200*F200,2)</f>
        <v>0</v>
      </c>
      <c r="H200" s="664"/>
    </row>
    <row r="201" spans="1:12" ht="26.25" customHeight="1">
      <c r="A201" s="665" t="s">
        <v>2525</v>
      </c>
      <c r="B201" s="666" t="s">
        <v>3131</v>
      </c>
      <c r="C201" s="667" t="s">
        <v>99</v>
      </c>
      <c r="D201" s="667" t="s">
        <v>418</v>
      </c>
      <c r="E201" s="676"/>
      <c r="F201" s="668">
        <v>6.18</v>
      </c>
      <c r="G201" s="669">
        <f t="shared" ref="G201:G212" si="12">TRUNC(E201*F201,2)</f>
        <v>0</v>
      </c>
      <c r="H201" s="664"/>
    </row>
    <row r="202" spans="1:12" ht="15" customHeight="1">
      <c r="A202" s="665" t="s">
        <v>1690</v>
      </c>
      <c r="B202" s="666" t="s">
        <v>3171</v>
      </c>
      <c r="C202" s="667" t="s">
        <v>99</v>
      </c>
      <c r="D202" s="667" t="s">
        <v>1401</v>
      </c>
      <c r="E202" s="676"/>
      <c r="F202" s="668">
        <v>10.25</v>
      </c>
      <c r="G202" s="669">
        <f t="shared" si="12"/>
        <v>0</v>
      </c>
      <c r="H202" s="664"/>
    </row>
    <row r="203" spans="1:12" ht="17.25" customHeight="1">
      <c r="A203" s="665" t="s">
        <v>1691</v>
      </c>
      <c r="B203" s="666" t="s">
        <v>3170</v>
      </c>
      <c r="C203" s="667" t="s">
        <v>99</v>
      </c>
      <c r="D203" s="667" t="s">
        <v>418</v>
      </c>
      <c r="E203" s="676"/>
      <c r="F203" s="668">
        <v>5.38</v>
      </c>
      <c r="G203" s="669">
        <f t="shared" si="12"/>
        <v>0</v>
      </c>
      <c r="H203" s="664"/>
    </row>
    <row r="204" spans="1:12" ht="24.75" customHeight="1">
      <c r="A204" s="665" t="s">
        <v>2526</v>
      </c>
      <c r="B204" s="666" t="s">
        <v>3174</v>
      </c>
      <c r="C204" s="667" t="s">
        <v>99</v>
      </c>
      <c r="D204" s="667" t="s">
        <v>410</v>
      </c>
      <c r="E204" s="676">
        <v>0.1</v>
      </c>
      <c r="F204" s="668">
        <v>2.27</v>
      </c>
      <c r="G204" s="669">
        <f t="shared" si="12"/>
        <v>0.22</v>
      </c>
      <c r="H204" s="664"/>
      <c r="J204" s="425">
        <v>84</v>
      </c>
      <c r="K204" s="425">
        <v>73</v>
      </c>
      <c r="L204" s="425">
        <f>J204*K204</f>
        <v>6132</v>
      </c>
    </row>
    <row r="205" spans="1:12" ht="17.25" customHeight="1">
      <c r="A205" s="665" t="s">
        <v>2527</v>
      </c>
      <c r="B205" s="666" t="s">
        <v>3173</v>
      </c>
      <c r="C205" s="667" t="s">
        <v>99</v>
      </c>
      <c r="D205" s="667" t="s">
        <v>410</v>
      </c>
      <c r="E205" s="676">
        <v>0.1</v>
      </c>
      <c r="F205" s="668">
        <v>2.27</v>
      </c>
      <c r="G205" s="669">
        <f t="shared" si="12"/>
        <v>0.22</v>
      </c>
      <c r="H205" s="664"/>
      <c r="J205" s="170">
        <f>(43+56)*2</f>
        <v>198</v>
      </c>
    </row>
    <row r="206" spans="1:12" ht="15" customHeight="1">
      <c r="A206" s="1475" t="s">
        <v>2528</v>
      </c>
      <c r="B206" s="1474" t="s">
        <v>2529</v>
      </c>
      <c r="C206" s="667" t="s">
        <v>117</v>
      </c>
      <c r="D206" s="1476" t="s">
        <v>410</v>
      </c>
      <c r="E206" s="1479">
        <v>0.6</v>
      </c>
      <c r="F206" s="668">
        <f>'COMP AUX'!G304</f>
        <v>6.0200000000000005</v>
      </c>
      <c r="G206" s="669">
        <f t="shared" si="12"/>
        <v>3.61</v>
      </c>
      <c r="H206" s="664"/>
    </row>
    <row r="207" spans="1:12" ht="15" customHeight="1">
      <c r="A207" s="1454"/>
      <c r="B207" s="1543"/>
      <c r="C207" s="667" t="s">
        <v>99</v>
      </c>
      <c r="D207" s="1477"/>
      <c r="E207" s="1480"/>
      <c r="F207" s="668">
        <f>'COMP AUX'!G305</f>
        <v>4.5600000000000005</v>
      </c>
      <c r="G207" s="669">
        <f>TRUNC(E206*F207,2)</f>
        <v>2.73</v>
      </c>
      <c r="H207" s="664"/>
    </row>
    <row r="208" spans="1:12" ht="15" customHeight="1">
      <c r="A208" s="1475" t="s">
        <v>2530</v>
      </c>
      <c r="B208" s="1474" t="s">
        <v>2531</v>
      </c>
      <c r="C208" s="667" t="s">
        <v>117</v>
      </c>
      <c r="D208" s="1476" t="s">
        <v>410</v>
      </c>
      <c r="E208" s="1479">
        <v>0.1</v>
      </c>
      <c r="F208" s="668">
        <f>'COMP AUX'!G270</f>
        <v>7.59</v>
      </c>
      <c r="G208" s="669">
        <f t="shared" si="12"/>
        <v>0.75</v>
      </c>
      <c r="H208" s="664"/>
    </row>
    <row r="209" spans="1:9" ht="15" customHeight="1">
      <c r="A209" s="1454"/>
      <c r="B209" s="1466"/>
      <c r="C209" s="667" t="s">
        <v>99</v>
      </c>
      <c r="D209" s="1478"/>
      <c r="E209" s="1480"/>
      <c r="F209" s="668">
        <f>'COMP AUX'!G271</f>
        <v>4.5600000000000005</v>
      </c>
      <c r="G209" s="669">
        <f>TRUNC(E208*F209,2)</f>
        <v>0.45</v>
      </c>
      <c r="H209" s="664"/>
    </row>
    <row r="210" spans="1:9" ht="15" customHeight="1">
      <c r="A210" s="1534" t="s">
        <v>1605</v>
      </c>
      <c r="B210" s="1474" t="s">
        <v>147</v>
      </c>
      <c r="C210" s="667" t="s">
        <v>117</v>
      </c>
      <c r="D210" s="1476" t="s">
        <v>410</v>
      </c>
      <c r="E210" s="1479"/>
      <c r="F210" s="668">
        <f>'COMP AUX'!G87</f>
        <v>14.81</v>
      </c>
      <c r="G210" s="669">
        <f t="shared" si="12"/>
        <v>0</v>
      </c>
      <c r="H210" s="664"/>
    </row>
    <row r="211" spans="1:9" ht="15" customHeight="1">
      <c r="A211" s="1535"/>
      <c r="B211" s="1543"/>
      <c r="C211" s="667" t="s">
        <v>99</v>
      </c>
      <c r="D211" s="1477"/>
      <c r="E211" s="1480"/>
      <c r="F211" s="668">
        <f>'COMP AUX'!G88</f>
        <v>4.5600000000000005</v>
      </c>
      <c r="G211" s="669">
        <f>TRUNC(E210*F211,2)</f>
        <v>0</v>
      </c>
      <c r="H211" s="664"/>
    </row>
    <row r="212" spans="1:9" ht="15" customHeight="1">
      <c r="A212" s="1422" t="s">
        <v>1404</v>
      </c>
      <c r="B212" s="1468" t="s">
        <v>123</v>
      </c>
      <c r="C212" s="470" t="s">
        <v>117</v>
      </c>
      <c r="D212" s="1531" t="s">
        <v>410</v>
      </c>
      <c r="E212" s="1555"/>
      <c r="F212" s="668">
        <f>'COMP AUX'!G104</f>
        <v>11.1</v>
      </c>
      <c r="G212" s="669">
        <f t="shared" si="12"/>
        <v>0</v>
      </c>
      <c r="H212" s="664"/>
    </row>
    <row r="213" spans="1:9" ht="15" customHeight="1">
      <c r="A213" s="1423"/>
      <c r="B213" s="1469"/>
      <c r="C213" s="470" t="s">
        <v>99</v>
      </c>
      <c r="D213" s="1532"/>
      <c r="E213" s="1556"/>
      <c r="F213" s="478">
        <f>'COMP AUX'!G105</f>
        <v>4.5600000000000005</v>
      </c>
      <c r="G213" s="669">
        <f>TRUNC(E212*F213,2)</f>
        <v>0</v>
      </c>
      <c r="H213" s="424"/>
    </row>
    <row r="214" spans="1:9" ht="15" customHeight="1">
      <c r="A214" s="670"/>
      <c r="B214" s="671"/>
      <c r="C214" s="671"/>
      <c r="D214" s="671"/>
      <c r="E214" s="684"/>
      <c r="F214" s="672" t="s">
        <v>103</v>
      </c>
      <c r="G214" s="669">
        <f>G206+G208+G210+G212</f>
        <v>4.3599999999999994</v>
      </c>
      <c r="H214" s="671"/>
    </row>
    <row r="215" spans="1:9" ht="15" customHeight="1">
      <c r="A215" s="664"/>
      <c r="B215" s="664"/>
      <c r="C215" s="664"/>
      <c r="D215" s="664"/>
      <c r="E215" s="685"/>
      <c r="F215" s="672" t="s">
        <v>105</v>
      </c>
      <c r="G215" s="669">
        <f>G200+G201+G202+G203+G204+G205+G207+G209+G211+G213</f>
        <v>3.62</v>
      </c>
      <c r="H215" s="664"/>
    </row>
    <row r="216" spans="1:9" ht="15" customHeight="1">
      <c r="A216" s="673" t="s">
        <v>107</v>
      </c>
      <c r="B216" s="673"/>
      <c r="C216" s="664"/>
      <c r="D216" s="664"/>
      <c r="E216" s="685"/>
      <c r="F216" s="672" t="s">
        <v>106</v>
      </c>
      <c r="G216" s="975">
        <f>SUM(G214:G215)</f>
        <v>7.9799999999999995</v>
      </c>
      <c r="H216" s="664"/>
    </row>
    <row r="217" spans="1:9" ht="15" customHeight="1">
      <c r="A217" s="678" t="s">
        <v>108</v>
      </c>
      <c r="B217" s="674">
        <f>G216</f>
        <v>7.9799999999999995</v>
      </c>
      <c r="C217" s="664"/>
      <c r="D217" s="664"/>
      <c r="E217" s="664"/>
      <c r="F217" s="664"/>
      <c r="G217" s="664"/>
      <c r="H217" s="664"/>
    </row>
    <row r="218" spans="1:9" ht="15" customHeight="1">
      <c r="A218" s="542" t="s">
        <v>2654</v>
      </c>
      <c r="B218" s="541"/>
      <c r="C218" s="664"/>
      <c r="D218" s="664"/>
      <c r="E218" s="664"/>
      <c r="F218" s="664"/>
      <c r="G218" s="664"/>
      <c r="H218" s="664"/>
    </row>
    <row r="219" spans="1:9" ht="15" customHeight="1">
      <c r="A219" s="622" t="s">
        <v>2714</v>
      </c>
      <c r="B219" s="541">
        <f>(B217+B218)*0.245</f>
        <v>1.9550999999999998</v>
      </c>
      <c r="C219" s="664"/>
      <c r="D219" s="664"/>
      <c r="E219" s="664"/>
      <c r="F219" s="664"/>
      <c r="G219" s="664"/>
      <c r="H219" s="664"/>
    </row>
    <row r="220" spans="1:9" ht="15" customHeight="1">
      <c r="A220" s="678" t="s">
        <v>111</v>
      </c>
      <c r="B220" s="675">
        <f>SUM(B217:B219)</f>
        <v>9.9350999999999985</v>
      </c>
      <c r="C220" s="664"/>
      <c r="D220" s="664"/>
      <c r="E220" s="664"/>
      <c r="F220" s="664"/>
      <c r="G220" s="664"/>
      <c r="H220" s="589"/>
      <c r="I220" s="170" t="s">
        <v>2655</v>
      </c>
    </row>
    <row r="221" spans="1:9">
      <c r="A221" s="516"/>
      <c r="B221" s="517"/>
      <c r="C221" s="518"/>
      <c r="D221" s="516"/>
      <c r="E221" s="517"/>
      <c r="F221" s="517"/>
      <c r="G221" s="517"/>
      <c r="H221" s="516"/>
    </row>
    <row r="223" spans="1:9">
      <c r="A223" s="170" t="s">
        <v>1258</v>
      </c>
      <c r="B223" s="652"/>
      <c r="C223" s="652"/>
      <c r="D223" s="652"/>
      <c r="E223" s="652"/>
      <c r="F223" s="652"/>
      <c r="G223" s="652"/>
      <c r="H223" s="424"/>
    </row>
    <row r="224" spans="1:9">
      <c r="A224" s="220" t="s">
        <v>2840</v>
      </c>
      <c r="B224" s="664"/>
      <c r="C224" s="664"/>
      <c r="D224" s="664"/>
      <c r="E224" s="664"/>
      <c r="F224" s="664"/>
      <c r="G224" s="664"/>
      <c r="H224" s="424"/>
    </row>
    <row r="225" spans="1:9" ht="26.25" customHeight="1">
      <c r="A225" s="764" t="s">
        <v>1649</v>
      </c>
      <c r="B225" s="681" t="s">
        <v>3135</v>
      </c>
      <c r="C225" s="677" t="s">
        <v>1398</v>
      </c>
      <c r="D225" s="681"/>
      <c r="G225" s="664"/>
      <c r="H225" s="424"/>
    </row>
    <row r="226" spans="1:9" ht="22.5">
      <c r="A226" s="960" t="s">
        <v>30</v>
      </c>
      <c r="B226" s="507" t="s">
        <v>19</v>
      </c>
      <c r="C226" s="430" t="s">
        <v>92</v>
      </c>
      <c r="D226" s="958" t="s">
        <v>88</v>
      </c>
      <c r="E226" s="958" t="s">
        <v>93</v>
      </c>
      <c r="F226" s="432" t="s">
        <v>94</v>
      </c>
      <c r="G226" s="508" t="s">
        <v>95</v>
      </c>
      <c r="H226" s="424"/>
    </row>
    <row r="227" spans="1:9" ht="14.1" customHeight="1">
      <c r="A227" s="1422" t="s">
        <v>1404</v>
      </c>
      <c r="B227" s="1468" t="s">
        <v>123</v>
      </c>
      <c r="C227" s="470" t="s">
        <v>117</v>
      </c>
      <c r="D227" s="1531" t="s">
        <v>410</v>
      </c>
      <c r="E227" s="1531">
        <v>3.956</v>
      </c>
      <c r="F227" s="668">
        <f>'COMP AUX'!G104</f>
        <v>11.1</v>
      </c>
      <c r="G227" s="669">
        <f t="shared" ref="G227" si="13">TRUNC(E227*F227,2)</f>
        <v>43.91</v>
      </c>
      <c r="H227" s="664"/>
    </row>
    <row r="228" spans="1:9" ht="14.1" customHeight="1">
      <c r="A228" s="1423"/>
      <c r="B228" s="1469"/>
      <c r="C228" s="470" t="s">
        <v>99</v>
      </c>
      <c r="D228" s="1532"/>
      <c r="E228" s="1532"/>
      <c r="F228" s="478">
        <f>'COMP AUX'!G105</f>
        <v>4.5600000000000005</v>
      </c>
      <c r="G228" s="669">
        <f>TRUNC(E227*F228,2)</f>
        <v>18.03</v>
      </c>
      <c r="H228" s="424"/>
    </row>
    <row r="229" spans="1:9" ht="14.1" customHeight="1">
      <c r="A229" s="670"/>
      <c r="B229" s="671"/>
      <c r="C229" s="671"/>
      <c r="D229" s="671"/>
      <c r="E229" s="684"/>
      <c r="F229" s="672" t="s">
        <v>103</v>
      </c>
      <c r="G229" s="669">
        <f>G227</f>
        <v>43.91</v>
      </c>
      <c r="H229" s="671"/>
    </row>
    <row r="230" spans="1:9" ht="14.1" customHeight="1">
      <c r="A230" s="664"/>
      <c r="B230" s="664"/>
      <c r="C230" s="664"/>
      <c r="D230" s="664"/>
      <c r="E230" s="685"/>
      <c r="F230" s="672" t="s">
        <v>105</v>
      </c>
      <c r="G230" s="669">
        <f>G228</f>
        <v>18.03</v>
      </c>
      <c r="H230" s="664"/>
    </row>
    <row r="231" spans="1:9" ht="14.1" customHeight="1">
      <c r="A231" s="673" t="s">
        <v>107</v>
      </c>
      <c r="B231" s="673"/>
      <c r="C231" s="664"/>
      <c r="D231" s="664"/>
      <c r="E231" s="685"/>
      <c r="F231" s="672" t="s">
        <v>106</v>
      </c>
      <c r="G231" s="975">
        <f>SUM(G229:G230)</f>
        <v>61.94</v>
      </c>
      <c r="H231" s="664"/>
    </row>
    <row r="232" spans="1:9" ht="14.1" customHeight="1">
      <c r="A232" s="678" t="s">
        <v>108</v>
      </c>
      <c r="B232" s="679">
        <f>G231</f>
        <v>61.94</v>
      </c>
      <c r="C232" s="664"/>
      <c r="D232" s="664"/>
      <c r="E232" s="664"/>
      <c r="F232" s="664"/>
      <c r="G232" s="664"/>
      <c r="H232" s="664"/>
    </row>
    <row r="233" spans="1:9" ht="14.1" customHeight="1">
      <c r="A233" s="542" t="s">
        <v>2654</v>
      </c>
      <c r="B233" s="541"/>
      <c r="C233" s="664"/>
      <c r="D233" s="664"/>
      <c r="E233" s="664"/>
      <c r="F233" s="664"/>
      <c r="G233" s="664"/>
      <c r="H233" s="664"/>
    </row>
    <row r="234" spans="1:9" ht="14.1" customHeight="1">
      <c r="A234" s="622" t="s">
        <v>2714</v>
      </c>
      <c r="B234" s="541">
        <f>(B232+B233)*0.245</f>
        <v>15.1753</v>
      </c>
      <c r="C234" s="664"/>
      <c r="D234" s="664"/>
      <c r="E234" s="664"/>
      <c r="F234" s="664"/>
      <c r="G234" s="664"/>
      <c r="H234" s="664"/>
    </row>
    <row r="235" spans="1:9" ht="14.1" customHeight="1">
      <c r="A235" s="678" t="s">
        <v>111</v>
      </c>
      <c r="B235" s="680">
        <f>SUM(B232:B234)</f>
        <v>77.115299999999991</v>
      </c>
      <c r="C235" s="664"/>
      <c r="D235" s="664"/>
      <c r="E235" s="664"/>
      <c r="F235" s="664"/>
      <c r="G235" s="664"/>
      <c r="H235" s="589"/>
      <c r="I235" s="170" t="s">
        <v>2659</v>
      </c>
    </row>
    <row r="236" spans="1:9">
      <c r="A236" s="516"/>
      <c r="B236" s="517"/>
      <c r="C236" s="518"/>
      <c r="D236" s="516"/>
      <c r="E236" s="517"/>
      <c r="F236" s="517"/>
      <c r="G236" s="517"/>
      <c r="H236" s="516"/>
    </row>
    <row r="238" spans="1:9">
      <c r="A238" s="170" t="s">
        <v>1258</v>
      </c>
      <c r="B238" s="652"/>
      <c r="C238" s="652"/>
      <c r="D238" s="652"/>
      <c r="E238" s="652"/>
      <c r="F238" s="652"/>
      <c r="G238" s="652"/>
      <c r="H238" s="424"/>
    </row>
    <row r="239" spans="1:9">
      <c r="A239" s="220" t="s">
        <v>2839</v>
      </c>
      <c r="B239" s="664"/>
      <c r="C239" s="664"/>
      <c r="D239" s="664"/>
      <c r="E239" s="664"/>
      <c r="F239" s="664"/>
      <c r="G239" s="664"/>
      <c r="H239" s="424"/>
    </row>
    <row r="240" spans="1:9" ht="25.5" customHeight="1">
      <c r="A240" s="764" t="s">
        <v>1649</v>
      </c>
      <c r="B240" s="681" t="s">
        <v>3128</v>
      </c>
      <c r="C240" s="677" t="s">
        <v>1398</v>
      </c>
      <c r="D240" s="681"/>
      <c r="G240" s="664"/>
      <c r="H240" s="424"/>
    </row>
    <row r="241" spans="1:9" ht="22.5">
      <c r="A241" s="502" t="s">
        <v>30</v>
      </c>
      <c r="B241" s="507" t="s">
        <v>19</v>
      </c>
      <c r="C241" s="430" t="s">
        <v>92</v>
      </c>
      <c r="D241" s="643" t="s">
        <v>88</v>
      </c>
      <c r="E241" s="643" t="s">
        <v>93</v>
      </c>
      <c r="F241" s="432" t="s">
        <v>94</v>
      </c>
      <c r="G241" s="508" t="s">
        <v>95</v>
      </c>
      <c r="H241" s="424"/>
    </row>
    <row r="242" spans="1:9" ht="15" customHeight="1">
      <c r="A242" s="1534">
        <v>88309</v>
      </c>
      <c r="B242" s="1474" t="s">
        <v>131</v>
      </c>
      <c r="C242" s="667" t="s">
        <v>117</v>
      </c>
      <c r="D242" s="1476" t="s">
        <v>410</v>
      </c>
      <c r="E242" s="1476">
        <v>1.1890000000000001</v>
      </c>
      <c r="F242" s="584">
        <f>'COMP AUX'!G151</f>
        <v>14.93</v>
      </c>
      <c r="G242" s="669">
        <f t="shared" ref="G242" si="14">TRUNC(E242*F242,2)</f>
        <v>17.75</v>
      </c>
      <c r="H242" s="664"/>
    </row>
    <row r="243" spans="1:9" ht="15" customHeight="1">
      <c r="A243" s="1535"/>
      <c r="B243" s="1543"/>
      <c r="C243" s="667" t="s">
        <v>99</v>
      </c>
      <c r="D243" s="1477"/>
      <c r="E243" s="1477"/>
      <c r="F243" s="584">
        <f>'COMP AUX'!G152</f>
        <v>4.5600000000000005</v>
      </c>
      <c r="G243" s="669">
        <f>TRUNC(E242*F243,2)</f>
        <v>5.42</v>
      </c>
      <c r="H243" s="664"/>
    </row>
    <row r="244" spans="1:9" ht="15" customHeight="1">
      <c r="A244" s="1422" t="s">
        <v>1404</v>
      </c>
      <c r="B244" s="1468" t="s">
        <v>123</v>
      </c>
      <c r="C244" s="470" t="s">
        <v>117</v>
      </c>
      <c r="D244" s="1531" t="s">
        <v>410</v>
      </c>
      <c r="E244" s="1531">
        <v>3.0529999999999999</v>
      </c>
      <c r="F244" s="668">
        <f>'COMP AUX'!G104</f>
        <v>11.1</v>
      </c>
      <c r="G244" s="669">
        <f t="shared" ref="G244" si="15">TRUNC(E244*F244,2)</f>
        <v>33.880000000000003</v>
      </c>
      <c r="H244" s="664"/>
    </row>
    <row r="245" spans="1:9" ht="15" customHeight="1">
      <c r="A245" s="1423"/>
      <c r="B245" s="1469"/>
      <c r="C245" s="470" t="s">
        <v>99</v>
      </c>
      <c r="D245" s="1532"/>
      <c r="E245" s="1532"/>
      <c r="F245" s="478">
        <f>'COMP AUX'!G105</f>
        <v>4.5600000000000005</v>
      </c>
      <c r="G245" s="669">
        <f>TRUNC(E244*F245,2)</f>
        <v>13.92</v>
      </c>
      <c r="H245" s="424"/>
    </row>
    <row r="246" spans="1:9" ht="15" customHeight="1">
      <c r="A246" s="670"/>
      <c r="B246" s="671"/>
      <c r="C246" s="671"/>
      <c r="D246" s="671"/>
      <c r="E246" s="684"/>
      <c r="F246" s="672" t="s">
        <v>103</v>
      </c>
      <c r="G246" s="669">
        <f>G242+G244</f>
        <v>51.63</v>
      </c>
      <c r="H246" s="671"/>
    </row>
    <row r="247" spans="1:9" ht="15" customHeight="1">
      <c r="A247" s="664"/>
      <c r="B247" s="664"/>
      <c r="C247" s="664"/>
      <c r="D247" s="664"/>
      <c r="E247" s="685"/>
      <c r="F247" s="672" t="s">
        <v>105</v>
      </c>
      <c r="G247" s="669">
        <f>G243+G245</f>
        <v>19.34</v>
      </c>
      <c r="H247" s="664"/>
    </row>
    <row r="248" spans="1:9" ht="15" customHeight="1">
      <c r="A248" s="673" t="s">
        <v>107</v>
      </c>
      <c r="B248" s="673"/>
      <c r="C248" s="664"/>
      <c r="D248" s="664"/>
      <c r="E248" s="685"/>
      <c r="F248" s="672" t="s">
        <v>106</v>
      </c>
      <c r="G248" s="975">
        <f>SUM(G246:G247)</f>
        <v>70.97</v>
      </c>
      <c r="H248" s="664"/>
    </row>
    <row r="249" spans="1:9" ht="15" customHeight="1">
      <c r="A249" s="678" t="s">
        <v>108</v>
      </c>
      <c r="B249" s="679">
        <f>G248</f>
        <v>70.97</v>
      </c>
      <c r="C249" s="664"/>
      <c r="D249" s="664"/>
      <c r="E249" s="664"/>
      <c r="F249" s="664"/>
      <c r="G249" s="664"/>
      <c r="H249" s="664"/>
    </row>
    <row r="250" spans="1:9" ht="15" customHeight="1">
      <c r="A250" s="542" t="s">
        <v>2654</v>
      </c>
      <c r="B250" s="541"/>
      <c r="C250" s="664"/>
      <c r="D250" s="664"/>
      <c r="E250" s="664"/>
      <c r="F250" s="664"/>
      <c r="G250" s="664"/>
      <c r="H250" s="664"/>
    </row>
    <row r="251" spans="1:9" ht="15" customHeight="1">
      <c r="A251" s="622" t="s">
        <v>2714</v>
      </c>
      <c r="B251" s="541">
        <f>(B249+B250)*0.245</f>
        <v>17.387650000000001</v>
      </c>
      <c r="C251" s="664"/>
      <c r="D251" s="664"/>
      <c r="E251" s="664"/>
      <c r="F251" s="664"/>
      <c r="G251" s="664"/>
      <c r="H251" s="664"/>
    </row>
    <row r="252" spans="1:9" ht="15" customHeight="1">
      <c r="A252" s="678" t="s">
        <v>111</v>
      </c>
      <c r="B252" s="680">
        <f>SUM(B249:B251)</f>
        <v>88.357650000000007</v>
      </c>
      <c r="C252" s="664"/>
      <c r="D252" s="664"/>
      <c r="E252" s="664"/>
      <c r="F252" s="664"/>
      <c r="G252" s="664"/>
      <c r="H252" s="589"/>
      <c r="I252" s="170" t="s">
        <v>2655</v>
      </c>
    </row>
    <row r="253" spans="1:9">
      <c r="A253" s="516"/>
      <c r="B253" s="517"/>
      <c r="C253" s="518"/>
      <c r="D253" s="516"/>
      <c r="E253" s="517"/>
      <c r="F253" s="517"/>
      <c r="G253" s="517"/>
      <c r="H253" s="516"/>
    </row>
    <row r="254" spans="1:9">
      <c r="B254" s="555"/>
      <c r="C254" s="555"/>
      <c r="D254" s="555"/>
      <c r="E254" s="555"/>
      <c r="F254" s="555"/>
      <c r="G254" s="555"/>
      <c r="H254" s="555"/>
    </row>
    <row r="255" spans="1:9">
      <c r="A255" s="170" t="s">
        <v>1258</v>
      </c>
      <c r="B255" s="652"/>
      <c r="C255" s="652"/>
      <c r="D255" s="652"/>
      <c r="E255" s="652"/>
      <c r="F255" s="652"/>
      <c r="G255" s="652"/>
      <c r="H255" s="424"/>
    </row>
    <row r="256" spans="1:9">
      <c r="A256" s="220" t="s">
        <v>2836</v>
      </c>
      <c r="B256" s="664"/>
      <c r="C256" s="664"/>
      <c r="D256" s="664"/>
      <c r="E256" s="664"/>
      <c r="F256" s="664"/>
      <c r="G256" s="664"/>
      <c r="H256" s="424"/>
    </row>
    <row r="257" spans="1:9" ht="17.25" customHeight="1">
      <c r="A257" s="681" t="s">
        <v>1649</v>
      </c>
      <c r="B257" s="681" t="s">
        <v>1822</v>
      </c>
      <c r="C257" s="677" t="s">
        <v>1398</v>
      </c>
      <c r="D257" s="681"/>
      <c r="E257" s="170"/>
      <c r="F257" s="170"/>
      <c r="G257" s="664"/>
      <c r="H257" s="424"/>
    </row>
    <row r="258" spans="1:9" ht="22.5">
      <c r="A258" s="502" t="s">
        <v>30</v>
      </c>
      <c r="B258" s="507" t="s">
        <v>19</v>
      </c>
      <c r="C258" s="430" t="s">
        <v>92</v>
      </c>
      <c r="D258" s="643" t="s">
        <v>88</v>
      </c>
      <c r="E258" s="643" t="s">
        <v>93</v>
      </c>
      <c r="F258" s="432" t="s">
        <v>94</v>
      </c>
      <c r="G258" s="508" t="s">
        <v>95</v>
      </c>
      <c r="H258" s="424"/>
    </row>
    <row r="259" spans="1:9" ht="15" customHeight="1">
      <c r="A259" s="1422" t="s">
        <v>1404</v>
      </c>
      <c r="B259" s="1468" t="s">
        <v>123</v>
      </c>
      <c r="C259" s="470" t="s">
        <v>117</v>
      </c>
      <c r="D259" s="1531" t="s">
        <v>410</v>
      </c>
      <c r="E259" s="1531">
        <v>2.3986000000000001</v>
      </c>
      <c r="F259" s="668">
        <f>'COMP AUX'!G104</f>
        <v>11.1</v>
      </c>
      <c r="G259" s="669">
        <f t="shared" ref="G259" si="16">TRUNC(E259*F259,2)</f>
        <v>26.62</v>
      </c>
      <c r="H259" s="664"/>
    </row>
    <row r="260" spans="1:9" ht="15" customHeight="1">
      <c r="A260" s="1423"/>
      <c r="B260" s="1469"/>
      <c r="C260" s="470" t="s">
        <v>99</v>
      </c>
      <c r="D260" s="1532"/>
      <c r="E260" s="1532"/>
      <c r="F260" s="478">
        <f>'COMP AUX'!G105</f>
        <v>4.5600000000000005</v>
      </c>
      <c r="G260" s="669">
        <f>TRUNC(E259*F260,2)</f>
        <v>10.93</v>
      </c>
      <c r="H260" s="424"/>
    </row>
    <row r="261" spans="1:9" ht="15" customHeight="1">
      <c r="A261" s="670"/>
      <c r="B261" s="671"/>
      <c r="C261" s="671"/>
      <c r="D261" s="671"/>
      <c r="E261" s="684"/>
      <c r="F261" s="672" t="s">
        <v>103</v>
      </c>
      <c r="G261" s="669">
        <f>G259</f>
        <v>26.62</v>
      </c>
      <c r="H261" s="671"/>
    </row>
    <row r="262" spans="1:9" ht="15" customHeight="1">
      <c r="A262" s="664"/>
      <c r="B262" s="664"/>
      <c r="C262" s="664"/>
      <c r="D262" s="664"/>
      <c r="E262" s="685"/>
      <c r="F262" s="672" t="s">
        <v>105</v>
      </c>
      <c r="G262" s="669">
        <f>G260</f>
        <v>10.93</v>
      </c>
      <c r="H262" s="664"/>
    </row>
    <row r="263" spans="1:9" ht="15" customHeight="1">
      <c r="A263" s="682" t="s">
        <v>107</v>
      </c>
      <c r="B263" s="673"/>
      <c r="C263" s="664"/>
      <c r="D263" s="664"/>
      <c r="E263" s="685"/>
      <c r="F263" s="672" t="s">
        <v>106</v>
      </c>
      <c r="G263" s="974">
        <f>SUM(G261:G262)</f>
        <v>37.549999999999997</v>
      </c>
      <c r="H263" s="664"/>
    </row>
    <row r="264" spans="1:9" ht="15" customHeight="1">
      <c r="A264" s="678" t="s">
        <v>108</v>
      </c>
      <c r="B264" s="679">
        <f>G263</f>
        <v>37.549999999999997</v>
      </c>
      <c r="C264" s="664"/>
      <c r="D264" s="664"/>
      <c r="E264" s="664"/>
      <c r="F264" s="664"/>
      <c r="G264" s="664"/>
      <c r="H264" s="664"/>
    </row>
    <row r="265" spans="1:9" ht="15" customHeight="1">
      <c r="A265" s="542" t="s">
        <v>2654</v>
      </c>
      <c r="B265" s="541"/>
      <c r="C265" s="664"/>
      <c r="D265" s="664"/>
      <c r="E265" s="664"/>
      <c r="F265" s="664"/>
      <c r="G265" s="664"/>
      <c r="H265" s="664"/>
    </row>
    <row r="266" spans="1:9" ht="15" customHeight="1">
      <c r="A266" s="622" t="s">
        <v>2714</v>
      </c>
      <c r="B266" s="541">
        <f>(B264+B265)*0.245</f>
        <v>9.1997499999999999</v>
      </c>
      <c r="C266" s="664"/>
      <c r="D266" s="664"/>
      <c r="E266" s="664"/>
      <c r="F266" s="664"/>
      <c r="G266" s="664"/>
      <c r="H266" s="664"/>
    </row>
    <row r="267" spans="1:9" ht="15" customHeight="1">
      <c r="A267" s="678" t="s">
        <v>111</v>
      </c>
      <c r="B267" s="680">
        <f>SUM(B264:B266)</f>
        <v>46.749749999999999</v>
      </c>
      <c r="C267" s="664"/>
      <c r="D267" s="664"/>
      <c r="E267" s="664"/>
      <c r="F267" s="664"/>
      <c r="G267" s="664"/>
      <c r="H267" s="589"/>
      <c r="I267" s="170" t="s">
        <v>2655</v>
      </c>
    </row>
    <row r="268" spans="1:9">
      <c r="A268" s="516"/>
      <c r="B268" s="517"/>
      <c r="C268" s="518"/>
      <c r="D268" s="516"/>
      <c r="E268" s="517"/>
      <c r="F268" s="517"/>
      <c r="G268" s="517"/>
      <c r="H268" s="516"/>
    </row>
    <row r="269" spans="1:9">
      <c r="B269" s="555"/>
      <c r="C269" s="555"/>
      <c r="D269" s="555"/>
      <c r="E269" s="555"/>
      <c r="F269" s="555"/>
      <c r="G269" s="555"/>
      <c r="H269" s="555"/>
    </row>
    <row r="270" spans="1:9">
      <c r="A270" s="170" t="s">
        <v>1258</v>
      </c>
      <c r="B270" s="652"/>
      <c r="C270" s="652"/>
      <c r="D270" s="652"/>
      <c r="E270" s="652"/>
      <c r="F270" s="652"/>
      <c r="G270" s="652"/>
      <c r="H270" s="424"/>
    </row>
    <row r="271" spans="1:9" ht="13.5" customHeight="1">
      <c r="A271" s="220" t="s">
        <v>2838</v>
      </c>
      <c r="B271" s="664"/>
      <c r="C271" s="664"/>
      <c r="D271" s="664"/>
      <c r="E271" s="664"/>
      <c r="F271" s="664"/>
      <c r="G271" s="664"/>
      <c r="H271" s="424"/>
    </row>
    <row r="272" spans="1:9" ht="15.75" customHeight="1">
      <c r="A272" s="681" t="s">
        <v>1649</v>
      </c>
      <c r="B272" s="681" t="s">
        <v>1823</v>
      </c>
      <c r="C272" s="677" t="s">
        <v>1398</v>
      </c>
      <c r="F272" s="170"/>
      <c r="G272" s="664"/>
      <c r="H272" s="424"/>
    </row>
    <row r="273" spans="1:9" ht="22.5">
      <c r="A273" s="502" t="s">
        <v>30</v>
      </c>
      <c r="B273" s="507" t="s">
        <v>19</v>
      </c>
      <c r="C273" s="430" t="s">
        <v>92</v>
      </c>
      <c r="D273" s="643" t="s">
        <v>88</v>
      </c>
      <c r="E273" s="643" t="s">
        <v>93</v>
      </c>
      <c r="F273" s="432" t="s">
        <v>94</v>
      </c>
      <c r="G273" s="508" t="s">
        <v>95</v>
      </c>
      <c r="H273" s="424"/>
    </row>
    <row r="274" spans="1:9" ht="18" customHeight="1">
      <c r="A274" s="1534">
        <v>5961</v>
      </c>
      <c r="B274" s="1416" t="s">
        <v>1606</v>
      </c>
      <c r="C274" s="667" t="s">
        <v>117</v>
      </c>
      <c r="D274" s="1476" t="s">
        <v>1338</v>
      </c>
      <c r="E274" s="1553">
        <v>0.25</v>
      </c>
      <c r="F274" s="668">
        <f>'COMP AUX'!G604</f>
        <v>11.42</v>
      </c>
      <c r="G274" s="669">
        <f t="shared" ref="G274" si="17">TRUNC(E274*F274,2)</f>
        <v>2.85</v>
      </c>
      <c r="H274" s="664"/>
    </row>
    <row r="275" spans="1:9" ht="18" customHeight="1">
      <c r="A275" s="1535"/>
      <c r="B275" s="1417"/>
      <c r="C275" s="667" t="s">
        <v>99</v>
      </c>
      <c r="D275" s="1477"/>
      <c r="E275" s="1554"/>
      <c r="F275" s="668">
        <f>'COMP AUX'!G605</f>
        <v>18.98</v>
      </c>
      <c r="G275" s="669">
        <f>TRUNC(E274*F275,2)</f>
        <v>4.74</v>
      </c>
      <c r="H275" s="664"/>
    </row>
    <row r="276" spans="1:9" ht="14.1" customHeight="1">
      <c r="A276" s="1422" t="s">
        <v>1404</v>
      </c>
      <c r="B276" s="1468" t="s">
        <v>123</v>
      </c>
      <c r="C276" s="470" t="s">
        <v>117</v>
      </c>
      <c r="D276" s="1531" t="s">
        <v>410</v>
      </c>
      <c r="E276" s="1420">
        <v>0.7</v>
      </c>
      <c r="F276" s="668">
        <f>'COMP AUX'!G104</f>
        <v>11.1</v>
      </c>
      <c r="G276" s="669">
        <f t="shared" ref="G276" si="18">TRUNC(E276*F276,2)</f>
        <v>7.77</v>
      </c>
      <c r="H276" s="664"/>
    </row>
    <row r="277" spans="1:9" ht="14.1" customHeight="1">
      <c r="A277" s="1423"/>
      <c r="B277" s="1469"/>
      <c r="C277" s="470" t="s">
        <v>99</v>
      </c>
      <c r="D277" s="1532"/>
      <c r="E277" s="1421"/>
      <c r="F277" s="478">
        <f>'COMP AUX'!G105</f>
        <v>4.5600000000000005</v>
      </c>
      <c r="G277" s="669">
        <f>TRUNC(E276*F277,2)</f>
        <v>3.19</v>
      </c>
      <c r="H277" s="424"/>
    </row>
    <row r="278" spans="1:9" ht="14.1" customHeight="1">
      <c r="A278" s="670"/>
      <c r="B278" s="671"/>
      <c r="C278" s="671"/>
      <c r="D278" s="671"/>
      <c r="E278" s="684"/>
      <c r="F278" s="672" t="s">
        <v>103</v>
      </c>
      <c r="G278" s="669">
        <f>G274+G276</f>
        <v>10.62</v>
      </c>
      <c r="H278" s="671"/>
    </row>
    <row r="279" spans="1:9" ht="14.1" customHeight="1">
      <c r="A279" s="664"/>
      <c r="B279" s="664"/>
      <c r="C279" s="664"/>
      <c r="D279" s="664"/>
      <c r="E279" s="685"/>
      <c r="F279" s="672" t="s">
        <v>105</v>
      </c>
      <c r="G279" s="669">
        <f>G275+G277</f>
        <v>7.93</v>
      </c>
      <c r="H279" s="664"/>
    </row>
    <row r="280" spans="1:9" ht="14.1" customHeight="1">
      <c r="A280" s="682" t="s">
        <v>107</v>
      </c>
      <c r="B280" s="673"/>
      <c r="C280" s="664"/>
      <c r="D280" s="664"/>
      <c r="E280" s="685"/>
      <c r="F280" s="672" t="s">
        <v>106</v>
      </c>
      <c r="G280" s="975">
        <f>SUM(G278:G279)</f>
        <v>18.549999999999997</v>
      </c>
      <c r="H280" s="664"/>
    </row>
    <row r="281" spans="1:9" ht="14.1" customHeight="1">
      <c r="A281" s="678" t="s">
        <v>108</v>
      </c>
      <c r="B281" s="679">
        <f>G280</f>
        <v>18.549999999999997</v>
      </c>
      <c r="C281" s="664"/>
      <c r="D281" s="664"/>
      <c r="E281" s="664"/>
      <c r="F281" s="664"/>
      <c r="G281" s="664"/>
      <c r="H281" s="664"/>
    </row>
    <row r="282" spans="1:9" ht="14.1" customHeight="1">
      <c r="A282" s="542" t="s">
        <v>2654</v>
      </c>
      <c r="B282" s="541"/>
      <c r="C282" s="664"/>
      <c r="D282" s="664"/>
      <c r="E282" s="664"/>
      <c r="F282" s="664"/>
      <c r="G282" s="664"/>
      <c r="H282" s="664"/>
    </row>
    <row r="283" spans="1:9" ht="14.1" customHeight="1">
      <c r="A283" s="622" t="s">
        <v>2714</v>
      </c>
      <c r="B283" s="541">
        <f>(B281+B282)*0.245</f>
        <v>4.5447499999999996</v>
      </c>
      <c r="C283" s="664"/>
      <c r="D283" s="664"/>
      <c r="E283" s="664"/>
      <c r="F283" s="664"/>
      <c r="G283" s="664"/>
      <c r="H283" s="664"/>
    </row>
    <row r="284" spans="1:9" ht="14.1" customHeight="1">
      <c r="A284" s="678" t="s">
        <v>111</v>
      </c>
      <c r="B284" s="680">
        <f>SUM(B281:B283)</f>
        <v>23.094749999999998</v>
      </c>
      <c r="C284" s="664"/>
      <c r="D284" s="664"/>
      <c r="E284" s="664"/>
      <c r="F284" s="664"/>
      <c r="G284" s="664"/>
      <c r="H284" s="589"/>
      <c r="I284" s="170" t="s">
        <v>2655</v>
      </c>
    </row>
    <row r="285" spans="1:9">
      <c r="A285" s="516"/>
      <c r="B285" s="517"/>
      <c r="C285" s="518"/>
      <c r="D285" s="516"/>
      <c r="E285" s="517"/>
      <c r="F285" s="517"/>
      <c r="G285" s="517"/>
      <c r="H285" s="516"/>
    </row>
    <row r="286" spans="1:9">
      <c r="B286" s="555"/>
      <c r="C286" s="555"/>
      <c r="D286" s="555"/>
      <c r="E286" s="555"/>
      <c r="F286" s="555"/>
      <c r="G286" s="555"/>
      <c r="H286" s="555"/>
    </row>
    <row r="287" spans="1:9" ht="14.25" customHeight="1">
      <c r="A287" s="170" t="s">
        <v>1258</v>
      </c>
      <c r="B287" s="652"/>
      <c r="C287" s="652"/>
      <c r="D287" s="652"/>
      <c r="E287" s="652"/>
      <c r="F287" s="652"/>
      <c r="G287" s="652"/>
    </row>
    <row r="288" spans="1:9" ht="15" customHeight="1">
      <c r="A288" s="220" t="s">
        <v>2837</v>
      </c>
      <c r="B288" s="664"/>
      <c r="C288" s="664"/>
      <c r="D288" s="664"/>
      <c r="E288" s="664"/>
      <c r="F288" s="664"/>
      <c r="G288" s="664"/>
    </row>
    <row r="289" spans="1:7" ht="24.75" customHeight="1">
      <c r="A289" s="681" t="s">
        <v>1649</v>
      </c>
      <c r="B289" s="1473" t="s">
        <v>3151</v>
      </c>
      <c r="C289" s="1473"/>
      <c r="D289" s="1473"/>
      <c r="E289" s="677" t="s">
        <v>1398</v>
      </c>
      <c r="F289" s="170"/>
      <c r="G289" s="664"/>
    </row>
    <row r="290" spans="1:7" ht="26.25" customHeight="1">
      <c r="A290" s="960" t="s">
        <v>30</v>
      </c>
      <c r="B290" s="507" t="s">
        <v>19</v>
      </c>
      <c r="C290" s="430" t="s">
        <v>92</v>
      </c>
      <c r="D290" s="958" t="s">
        <v>88</v>
      </c>
      <c r="E290" s="958" t="s">
        <v>93</v>
      </c>
      <c r="F290" s="432" t="s">
        <v>94</v>
      </c>
      <c r="G290" s="508" t="s">
        <v>95</v>
      </c>
    </row>
    <row r="291" spans="1:7" ht="26.25" customHeight="1">
      <c r="A291" s="960" t="s">
        <v>1607</v>
      </c>
      <c r="B291" s="961" t="s">
        <v>1608</v>
      </c>
      <c r="C291" s="430" t="s">
        <v>99</v>
      </c>
      <c r="D291" s="958" t="s">
        <v>1398</v>
      </c>
      <c r="E291" s="962">
        <v>1.1000000000000001</v>
      </c>
      <c r="F291" s="958">
        <v>81.42</v>
      </c>
      <c r="G291" s="456">
        <f>TRUNC(E291*F291,2)</f>
        <v>89.56</v>
      </c>
    </row>
    <row r="292" spans="1:7" ht="15" customHeight="1">
      <c r="A292" s="1470" t="s">
        <v>1609</v>
      </c>
      <c r="B292" s="1416" t="s">
        <v>131</v>
      </c>
      <c r="C292" s="430" t="s">
        <v>117</v>
      </c>
      <c r="D292" s="1418" t="s">
        <v>410</v>
      </c>
      <c r="E292" s="1427">
        <v>2.5459999999999998</v>
      </c>
      <c r="F292" s="435">
        <f>'COMP AUX'!G151</f>
        <v>14.93</v>
      </c>
      <c r="G292" s="456">
        <f t="shared" ref="G292" si="19">TRUNC(E292*F292,2)</f>
        <v>38.01</v>
      </c>
    </row>
    <row r="293" spans="1:7" ht="15" customHeight="1">
      <c r="A293" s="1454"/>
      <c r="B293" s="1417"/>
      <c r="C293" s="430" t="s">
        <v>99</v>
      </c>
      <c r="D293" s="1419"/>
      <c r="E293" s="1428"/>
      <c r="F293" s="435">
        <f>'COMP AUX'!G152</f>
        <v>4.5600000000000005</v>
      </c>
      <c r="G293" s="456">
        <f>TRUNC(E292*F293,2)</f>
        <v>11.6</v>
      </c>
    </row>
    <row r="294" spans="1:7" ht="15" customHeight="1">
      <c r="A294" s="1470" t="s">
        <v>1404</v>
      </c>
      <c r="B294" s="1416" t="s">
        <v>123</v>
      </c>
      <c r="C294" s="430" t="s">
        <v>117</v>
      </c>
      <c r="D294" s="1427" t="s">
        <v>410</v>
      </c>
      <c r="E294" s="1425">
        <v>3.819</v>
      </c>
      <c r="F294" s="435">
        <f>'COMP AUX'!G104</f>
        <v>11.1</v>
      </c>
      <c r="G294" s="456">
        <f t="shared" ref="G294" si="20">TRUNC(E294*F294,2)</f>
        <v>42.39</v>
      </c>
    </row>
    <row r="295" spans="1:7" ht="15" customHeight="1">
      <c r="A295" s="1454"/>
      <c r="B295" s="1466"/>
      <c r="C295" s="430" t="s">
        <v>99</v>
      </c>
      <c r="D295" s="1428"/>
      <c r="E295" s="1426"/>
      <c r="F295" s="435">
        <f>'COMP AUX'!G105</f>
        <v>4.5600000000000005</v>
      </c>
      <c r="G295" s="456">
        <f>TRUNC(E294*F295,2)</f>
        <v>17.41</v>
      </c>
    </row>
    <row r="296" spans="1:7" ht="15" customHeight="1">
      <c r="A296" s="1436" t="s">
        <v>1610</v>
      </c>
      <c r="B296" s="1416" t="s">
        <v>1611</v>
      </c>
      <c r="C296" s="430" t="s">
        <v>117</v>
      </c>
      <c r="D296" s="1427" t="s">
        <v>1359</v>
      </c>
      <c r="E296" s="1427">
        <v>6.9000000000000006E-2</v>
      </c>
      <c r="F296" s="435">
        <f>'COMP AUX'!G653</f>
        <v>11.29</v>
      </c>
      <c r="G296" s="456">
        <f>TRUNC(E296*F296,2)</f>
        <v>0.77</v>
      </c>
    </row>
    <row r="297" spans="1:7" ht="15" customHeight="1">
      <c r="A297" s="1437"/>
      <c r="B297" s="1417"/>
      <c r="C297" s="430" t="s">
        <v>1342</v>
      </c>
      <c r="D297" s="1428"/>
      <c r="E297" s="1428"/>
      <c r="F297" s="435">
        <f>'COMP AUX'!G654</f>
        <v>8.23</v>
      </c>
      <c r="G297" s="456">
        <f>TRUNC(E296*F297,2)</f>
        <v>0.56000000000000005</v>
      </c>
    </row>
    <row r="298" spans="1:7" ht="15" customHeight="1">
      <c r="A298" s="1481" t="s">
        <v>1612</v>
      </c>
      <c r="B298" s="1482" t="s">
        <v>1395</v>
      </c>
      <c r="C298" s="430" t="s">
        <v>117</v>
      </c>
      <c r="D298" s="1424" t="s">
        <v>1338</v>
      </c>
      <c r="E298" s="1533">
        <v>6.4000000000000001E-2</v>
      </c>
      <c r="F298" s="435">
        <f>'COMP AUX'!G786</f>
        <v>11.29</v>
      </c>
      <c r="G298" s="456">
        <f>TRUNC(E298*F298,2)</f>
        <v>0.72</v>
      </c>
    </row>
    <row r="299" spans="1:7" ht="15" customHeight="1">
      <c r="A299" s="1481"/>
      <c r="B299" s="1482"/>
      <c r="C299" s="430" t="s">
        <v>1342</v>
      </c>
      <c r="D299" s="1424"/>
      <c r="E299" s="1533"/>
      <c r="F299" s="435">
        <f>'COMP AUX'!G787</f>
        <v>4.92</v>
      </c>
      <c r="G299" s="456">
        <f>TRUNC(E298*F299,2)</f>
        <v>0.31</v>
      </c>
    </row>
    <row r="300" spans="1:7" ht="15" customHeight="1">
      <c r="E300" s="215"/>
      <c r="F300" s="514" t="s">
        <v>103</v>
      </c>
      <c r="G300" s="466">
        <f>G292+G294+G296+G298</f>
        <v>81.89</v>
      </c>
    </row>
    <row r="301" spans="1:7" ht="15" customHeight="1">
      <c r="E301" s="215"/>
      <c r="F301" s="438" t="s">
        <v>105</v>
      </c>
      <c r="G301" s="456">
        <f>G291+G293+G295+G297+G299</f>
        <v>119.44</v>
      </c>
    </row>
    <row r="302" spans="1:7" ht="15" customHeight="1">
      <c r="A302" s="170" t="s">
        <v>107</v>
      </c>
      <c r="E302" s="215"/>
      <c r="F302" s="438" t="s">
        <v>106</v>
      </c>
      <c r="G302" s="457">
        <f>SUM(G300:G301)</f>
        <v>201.32999999999998</v>
      </c>
    </row>
    <row r="303" spans="1:7" ht="15" customHeight="1">
      <c r="A303" s="437" t="s">
        <v>108</v>
      </c>
      <c r="B303" s="548">
        <f>G302</f>
        <v>201.32999999999998</v>
      </c>
    </row>
    <row r="304" spans="1:7" ht="15" customHeight="1">
      <c r="A304" s="542" t="s">
        <v>2654</v>
      </c>
      <c r="B304" s="541"/>
    </row>
    <row r="305" spans="1:9" ht="15" customHeight="1">
      <c r="A305" s="622" t="s">
        <v>2714</v>
      </c>
      <c r="B305" s="541">
        <f>(B303+B304)*0.245</f>
        <v>49.325849999999996</v>
      </c>
    </row>
    <row r="306" spans="1:9" ht="15" customHeight="1">
      <c r="A306" s="437" t="s">
        <v>111</v>
      </c>
      <c r="B306" s="549">
        <f>SUM(B303:B305)</f>
        <v>250.65584999999999</v>
      </c>
      <c r="H306" s="560"/>
      <c r="I306" s="170" t="s">
        <v>2659</v>
      </c>
    </row>
    <row r="307" spans="1:9">
      <c r="A307" s="516"/>
      <c r="B307" s="517"/>
      <c r="C307" s="518"/>
      <c r="D307" s="516"/>
      <c r="E307" s="517"/>
      <c r="F307" s="517"/>
      <c r="G307" s="517"/>
      <c r="H307" s="516"/>
    </row>
    <row r="308" spans="1:9">
      <c r="B308" s="555"/>
      <c r="C308" s="555"/>
      <c r="D308" s="555"/>
      <c r="E308" s="555"/>
      <c r="F308" s="555"/>
      <c r="G308" s="555"/>
      <c r="H308" s="555"/>
    </row>
    <row r="309" spans="1:9">
      <c r="A309" s="170" t="s">
        <v>1258</v>
      </c>
      <c r="B309" s="652"/>
      <c r="C309" s="652"/>
      <c r="D309" s="652"/>
      <c r="E309" s="652"/>
      <c r="F309" s="652"/>
      <c r="G309" s="652"/>
    </row>
    <row r="310" spans="1:9">
      <c r="A310" s="220" t="s">
        <v>2846</v>
      </c>
      <c r="B310" s="664"/>
      <c r="C310" s="664"/>
      <c r="D310" s="664"/>
      <c r="E310" s="664"/>
      <c r="F310" s="664"/>
      <c r="G310" s="664"/>
    </row>
    <row r="311" spans="1:9" ht="28.5" customHeight="1">
      <c r="A311" s="681" t="s">
        <v>1649</v>
      </c>
      <c r="B311" s="1473" t="s">
        <v>1820</v>
      </c>
      <c r="C311" s="1473"/>
      <c r="D311" s="1473"/>
      <c r="E311" s="677" t="s">
        <v>1398</v>
      </c>
      <c r="F311" s="170"/>
      <c r="G311" s="664"/>
    </row>
    <row r="312" spans="1:9" ht="22.5">
      <c r="A312" s="502" t="s">
        <v>30</v>
      </c>
      <c r="B312" s="507" t="s">
        <v>19</v>
      </c>
      <c r="C312" s="430" t="s">
        <v>92</v>
      </c>
      <c r="D312" s="643" t="s">
        <v>88</v>
      </c>
      <c r="E312" s="643" t="s">
        <v>93</v>
      </c>
      <c r="F312" s="432" t="s">
        <v>94</v>
      </c>
      <c r="G312" s="508" t="s">
        <v>95</v>
      </c>
    </row>
    <row r="313" spans="1:9" ht="29.25" customHeight="1">
      <c r="A313" s="502" t="s">
        <v>1607</v>
      </c>
      <c r="B313" s="434" t="s">
        <v>1608</v>
      </c>
      <c r="C313" s="430" t="s">
        <v>99</v>
      </c>
      <c r="D313" s="643" t="s">
        <v>1398</v>
      </c>
      <c r="E313" s="455">
        <v>1.1000000000000001</v>
      </c>
      <c r="F313" s="643">
        <v>81.42</v>
      </c>
      <c r="G313" s="456">
        <f>TRUNC(E313*F313,2)</f>
        <v>89.56</v>
      </c>
    </row>
    <row r="314" spans="1:9" ht="15" customHeight="1">
      <c r="A314" s="1470" t="s">
        <v>1609</v>
      </c>
      <c r="B314" s="1416" t="s">
        <v>131</v>
      </c>
      <c r="C314" s="430" t="s">
        <v>117</v>
      </c>
      <c r="D314" s="1418" t="s">
        <v>410</v>
      </c>
      <c r="E314" s="1427">
        <v>2.1539999999999999</v>
      </c>
      <c r="F314" s="435">
        <f>'COMP AUX'!G151</f>
        <v>14.93</v>
      </c>
      <c r="G314" s="456">
        <f t="shared" ref="G314:G316" si="21">TRUNC(E314*F314,2)</f>
        <v>32.15</v>
      </c>
    </row>
    <row r="315" spans="1:9" ht="15" customHeight="1">
      <c r="A315" s="1454"/>
      <c r="B315" s="1417"/>
      <c r="C315" s="430" t="s">
        <v>99</v>
      </c>
      <c r="D315" s="1419"/>
      <c r="E315" s="1428"/>
      <c r="F315" s="435">
        <f>'COMP AUX'!G152</f>
        <v>4.5600000000000005</v>
      </c>
      <c r="G315" s="456">
        <f>TRUNC(E314*F315,2)</f>
        <v>9.82</v>
      </c>
    </row>
    <row r="316" spans="1:9" ht="15" customHeight="1">
      <c r="A316" s="1470" t="s">
        <v>1404</v>
      </c>
      <c r="B316" s="1416" t="s">
        <v>123</v>
      </c>
      <c r="C316" s="430" t="s">
        <v>117</v>
      </c>
      <c r="D316" s="1427" t="s">
        <v>410</v>
      </c>
      <c r="E316" s="1425">
        <v>3.23</v>
      </c>
      <c r="F316" s="435">
        <f>'COMP AUX'!G104</f>
        <v>11.1</v>
      </c>
      <c r="G316" s="456">
        <f t="shared" si="21"/>
        <v>35.85</v>
      </c>
    </row>
    <row r="317" spans="1:9" ht="15" customHeight="1">
      <c r="A317" s="1454"/>
      <c r="B317" s="1466"/>
      <c r="C317" s="430" t="s">
        <v>99</v>
      </c>
      <c r="D317" s="1428"/>
      <c r="E317" s="1426"/>
      <c r="F317" s="435">
        <f>'COMP AUX'!G105</f>
        <v>4.5600000000000005</v>
      </c>
      <c r="G317" s="456">
        <f>TRUNC(E316*F317,2)</f>
        <v>14.72</v>
      </c>
    </row>
    <row r="318" spans="1:9" ht="15" customHeight="1">
      <c r="A318" s="1436" t="s">
        <v>1610</v>
      </c>
      <c r="B318" s="1416" t="s">
        <v>1611</v>
      </c>
      <c r="C318" s="430" t="s">
        <v>117</v>
      </c>
      <c r="D318" s="1427" t="s">
        <v>1359</v>
      </c>
      <c r="E318" s="1427">
        <v>3.2000000000000001E-2</v>
      </c>
      <c r="F318" s="435">
        <f>'COMP AUX'!G653</f>
        <v>11.29</v>
      </c>
      <c r="G318" s="456">
        <f>TRUNC(E318*F318,2)</f>
        <v>0.36</v>
      </c>
    </row>
    <row r="319" spans="1:9" ht="15" customHeight="1">
      <c r="A319" s="1437"/>
      <c r="B319" s="1417"/>
      <c r="C319" s="430" t="s">
        <v>1342</v>
      </c>
      <c r="D319" s="1428"/>
      <c r="E319" s="1428"/>
      <c r="F319" s="435">
        <f>'COMP AUX'!G654</f>
        <v>8.23</v>
      </c>
      <c r="G319" s="456">
        <f>TRUNC(E318*F319,2)</f>
        <v>0.26</v>
      </c>
    </row>
    <row r="320" spans="1:9" ht="15" customHeight="1">
      <c r="A320" s="1481" t="s">
        <v>1612</v>
      </c>
      <c r="B320" s="1482" t="s">
        <v>1395</v>
      </c>
      <c r="C320" s="430" t="s">
        <v>117</v>
      </c>
      <c r="D320" s="1424" t="s">
        <v>1338</v>
      </c>
      <c r="E320" s="1533">
        <v>0.03</v>
      </c>
      <c r="F320" s="435">
        <f>'COMP AUX'!G786</f>
        <v>11.29</v>
      </c>
      <c r="G320" s="456">
        <f>TRUNC(E320*F320,2)</f>
        <v>0.33</v>
      </c>
    </row>
    <row r="321" spans="1:8" ht="15" customHeight="1">
      <c r="A321" s="1481"/>
      <c r="B321" s="1482"/>
      <c r="C321" s="430" t="s">
        <v>1342</v>
      </c>
      <c r="D321" s="1424"/>
      <c r="E321" s="1533"/>
      <c r="F321" s="435">
        <f>'COMP AUX'!G787</f>
        <v>4.92</v>
      </c>
      <c r="G321" s="456">
        <f>TRUNC(E320*F321,2)</f>
        <v>0.14000000000000001</v>
      </c>
    </row>
    <row r="322" spans="1:8" ht="15" customHeight="1">
      <c r="E322" s="215"/>
      <c r="F322" s="514" t="s">
        <v>103</v>
      </c>
      <c r="G322" s="466">
        <f>G314+G316+G318+G320</f>
        <v>68.69</v>
      </c>
    </row>
    <row r="323" spans="1:8" ht="15" customHeight="1">
      <c r="E323" s="215"/>
      <c r="F323" s="438" t="s">
        <v>105</v>
      </c>
      <c r="G323" s="456">
        <f>G313+G315+G317+G319+G321</f>
        <v>114.5</v>
      </c>
    </row>
    <row r="324" spans="1:8" ht="15" customHeight="1">
      <c r="A324" s="170" t="s">
        <v>107</v>
      </c>
      <c r="E324" s="215"/>
      <c r="F324" s="438" t="s">
        <v>106</v>
      </c>
      <c r="G324" s="457">
        <f>SUM(G322:G323)</f>
        <v>183.19</v>
      </c>
    </row>
    <row r="325" spans="1:8" ht="15" customHeight="1">
      <c r="A325" s="437" t="s">
        <v>108</v>
      </c>
      <c r="B325" s="548">
        <f>G324</f>
        <v>183.19</v>
      </c>
    </row>
    <row r="326" spans="1:8" ht="15" customHeight="1">
      <c r="A326" s="542" t="s">
        <v>2654</v>
      </c>
      <c r="B326" s="541"/>
    </row>
    <row r="327" spans="1:8" ht="15" customHeight="1">
      <c r="A327" s="622" t="s">
        <v>2714</v>
      </c>
      <c r="B327" s="541">
        <f>(B325+B326)*0.245</f>
        <v>44.881549999999997</v>
      </c>
    </row>
    <row r="328" spans="1:8" ht="15" customHeight="1">
      <c r="A328" s="437" t="s">
        <v>111</v>
      </c>
      <c r="B328" s="549">
        <f>SUM(B325:B327)</f>
        <v>228.07155</v>
      </c>
      <c r="H328" s="560"/>
    </row>
    <row r="329" spans="1:8">
      <c r="A329" s="516"/>
      <c r="B329" s="517"/>
      <c r="C329" s="518"/>
      <c r="D329" s="516"/>
      <c r="E329" s="517"/>
      <c r="F329" s="517"/>
      <c r="G329" s="517"/>
      <c r="H329" s="516"/>
    </row>
    <row r="330" spans="1:8">
      <c r="B330" s="555"/>
      <c r="C330" s="555"/>
      <c r="D330" s="555"/>
      <c r="E330" s="555"/>
      <c r="F330" s="555"/>
      <c r="G330" s="555"/>
      <c r="H330" s="555"/>
    </row>
    <row r="331" spans="1:8">
      <c r="A331" s="170" t="s">
        <v>1258</v>
      </c>
      <c r="B331" s="652"/>
      <c r="C331" s="652"/>
      <c r="D331" s="652"/>
      <c r="E331" s="652"/>
      <c r="F331" s="652"/>
      <c r="G331" s="652"/>
    </row>
    <row r="332" spans="1:8" ht="13.5" customHeight="1">
      <c r="A332" s="220" t="s">
        <v>2845</v>
      </c>
      <c r="B332" s="664"/>
      <c r="C332" s="664"/>
      <c r="D332" s="664"/>
      <c r="E332" s="664"/>
      <c r="F332" s="664"/>
      <c r="G332" s="664"/>
    </row>
    <row r="333" spans="1:8" ht="26.25" customHeight="1">
      <c r="A333" s="681" t="s">
        <v>1675</v>
      </c>
      <c r="B333" s="681" t="s">
        <v>1676</v>
      </c>
      <c r="C333" s="677" t="s">
        <v>1398</v>
      </c>
      <c r="D333" s="681"/>
      <c r="F333" s="170"/>
      <c r="G333" s="664"/>
    </row>
    <row r="334" spans="1:8" ht="27" customHeight="1">
      <c r="A334" s="502" t="s">
        <v>30</v>
      </c>
      <c r="B334" s="507" t="s">
        <v>19</v>
      </c>
      <c r="C334" s="430" t="s">
        <v>92</v>
      </c>
      <c r="D334" s="643" t="s">
        <v>88</v>
      </c>
      <c r="E334" s="643" t="s">
        <v>93</v>
      </c>
      <c r="F334" s="432" t="s">
        <v>94</v>
      </c>
      <c r="G334" s="508" t="s">
        <v>95</v>
      </c>
    </row>
    <row r="335" spans="1:8" ht="15" customHeight="1">
      <c r="A335" s="1470" t="s">
        <v>1609</v>
      </c>
      <c r="B335" s="1416" t="s">
        <v>131</v>
      </c>
      <c r="C335" s="430" t="s">
        <v>117</v>
      </c>
      <c r="D335" s="1418" t="s">
        <v>410</v>
      </c>
      <c r="E335" s="1427">
        <v>0.31059999999999999</v>
      </c>
      <c r="F335" s="435">
        <f>'COMP AUX'!G151</f>
        <v>14.93</v>
      </c>
      <c r="G335" s="456">
        <f t="shared" ref="G335" si="22">TRUNC(E335*F335,2)</f>
        <v>4.63</v>
      </c>
    </row>
    <row r="336" spans="1:8" ht="15" customHeight="1">
      <c r="A336" s="1454"/>
      <c r="B336" s="1417"/>
      <c r="C336" s="430" t="s">
        <v>99</v>
      </c>
      <c r="D336" s="1419"/>
      <c r="E336" s="1428"/>
      <c r="F336" s="435">
        <f>'COMP AUX'!G152</f>
        <v>4.5600000000000005</v>
      </c>
      <c r="G336" s="456">
        <f>TRUNC(E335*F336,2)</f>
        <v>1.41</v>
      </c>
    </row>
    <row r="337" spans="1:9" ht="15" customHeight="1">
      <c r="A337" s="1470" t="s">
        <v>1404</v>
      </c>
      <c r="B337" s="1416" t="s">
        <v>123</v>
      </c>
      <c r="C337" s="430" t="s">
        <v>117</v>
      </c>
      <c r="D337" s="1427" t="s">
        <v>410</v>
      </c>
      <c r="E337" s="1427">
        <v>8.4699999999999998E-2</v>
      </c>
      <c r="F337" s="435">
        <f>'COMP AUX'!G104</f>
        <v>11.1</v>
      </c>
      <c r="G337" s="456">
        <f t="shared" ref="G337" si="23">TRUNC(E337*F337,2)</f>
        <v>0.94</v>
      </c>
    </row>
    <row r="338" spans="1:9" ht="15" customHeight="1">
      <c r="A338" s="1454"/>
      <c r="B338" s="1466"/>
      <c r="C338" s="430" t="s">
        <v>99</v>
      </c>
      <c r="D338" s="1428"/>
      <c r="E338" s="1428"/>
      <c r="F338" s="435">
        <f>'COMP AUX'!G105</f>
        <v>4.5600000000000005</v>
      </c>
      <c r="G338" s="456">
        <f>TRUNC(E337*F338,2)</f>
        <v>0.38</v>
      </c>
    </row>
    <row r="339" spans="1:9" ht="15" customHeight="1">
      <c r="A339" s="1470">
        <v>94968</v>
      </c>
      <c r="B339" s="1416" t="s">
        <v>1819</v>
      </c>
      <c r="C339" s="430" t="s">
        <v>117</v>
      </c>
      <c r="D339" s="1424" t="s">
        <v>1398</v>
      </c>
      <c r="E339" s="1424">
        <v>1.1299999999999999</v>
      </c>
      <c r="F339" s="435">
        <f>'COMP AUX'!G845</f>
        <v>37.49</v>
      </c>
      <c r="G339" s="456">
        <f>TRUNC(E339*F339,2)</f>
        <v>42.36</v>
      </c>
    </row>
    <row r="340" spans="1:9" ht="15" customHeight="1">
      <c r="A340" s="1536"/>
      <c r="B340" s="1417"/>
      <c r="C340" s="430" t="s">
        <v>99</v>
      </c>
      <c r="D340" s="1424"/>
      <c r="E340" s="1424"/>
      <c r="F340" s="435">
        <f>'COMP AUX'!G846</f>
        <v>208.22</v>
      </c>
      <c r="G340" s="456">
        <f>TRUNC(E339*F340,2)</f>
        <v>235.28</v>
      </c>
    </row>
    <row r="341" spans="1:9" ht="15" customHeight="1">
      <c r="E341" s="683"/>
      <c r="F341" s="547" t="s">
        <v>103</v>
      </c>
      <c r="G341" s="456">
        <f>G335+G337+G339</f>
        <v>47.93</v>
      </c>
    </row>
    <row r="342" spans="1:9" ht="15" customHeight="1">
      <c r="E342" s="215"/>
      <c r="F342" s="438" t="s">
        <v>105</v>
      </c>
      <c r="G342" s="456">
        <f>G336+G338+G340</f>
        <v>237.07</v>
      </c>
    </row>
    <row r="343" spans="1:9" ht="15" customHeight="1">
      <c r="A343" s="170" t="s">
        <v>107</v>
      </c>
      <c r="E343" s="215"/>
      <c r="F343" s="438" t="s">
        <v>106</v>
      </c>
      <c r="G343" s="457">
        <f>SUM(G341:G342)</f>
        <v>285</v>
      </c>
    </row>
    <row r="344" spans="1:9" ht="15" customHeight="1">
      <c r="A344" s="437" t="s">
        <v>108</v>
      </c>
      <c r="B344" s="548">
        <f>G343</f>
        <v>285</v>
      </c>
    </row>
    <row r="345" spans="1:9" ht="15" customHeight="1">
      <c r="A345" s="542" t="s">
        <v>2654</v>
      </c>
      <c r="B345" s="541"/>
    </row>
    <row r="346" spans="1:9" ht="15" customHeight="1">
      <c r="A346" s="622" t="s">
        <v>2714</v>
      </c>
      <c r="B346" s="541">
        <f>(B344+B345)*0.245</f>
        <v>69.825000000000003</v>
      </c>
    </row>
    <row r="347" spans="1:9" ht="15" customHeight="1">
      <c r="A347" s="437" t="s">
        <v>111</v>
      </c>
      <c r="B347" s="549">
        <f>SUM(B344:B346)</f>
        <v>354.82499999999999</v>
      </c>
      <c r="H347" s="560"/>
      <c r="I347" s="170" t="s">
        <v>2659</v>
      </c>
    </row>
    <row r="348" spans="1:9" ht="10.5" customHeight="1">
      <c r="A348" s="516"/>
      <c r="B348" s="517"/>
      <c r="C348" s="518"/>
      <c r="D348" s="516"/>
      <c r="E348" s="517"/>
      <c r="F348" s="517"/>
      <c r="G348" s="517"/>
      <c r="H348" s="516"/>
    </row>
    <row r="349" spans="1:9" ht="11.25" customHeight="1">
      <c r="A349" s="424"/>
      <c r="B349" s="421"/>
      <c r="C349" s="423"/>
      <c r="D349" s="424"/>
      <c r="E349" s="421"/>
      <c r="F349" s="421"/>
      <c r="G349" s="421"/>
      <c r="H349" s="424"/>
    </row>
    <row r="350" spans="1:9" ht="11.25" customHeight="1">
      <c r="A350" s="170" t="s">
        <v>1258</v>
      </c>
      <c r="B350" s="652"/>
      <c r="C350" s="652"/>
      <c r="D350" s="652"/>
      <c r="E350" s="652"/>
      <c r="F350" s="652"/>
      <c r="G350" s="652"/>
    </row>
    <row r="351" spans="1:9" ht="11.25" customHeight="1">
      <c r="A351" s="220" t="s">
        <v>2847</v>
      </c>
      <c r="B351" s="664"/>
      <c r="C351" s="664"/>
      <c r="D351" s="664"/>
      <c r="E351" s="664"/>
      <c r="F351" s="664"/>
      <c r="G351" s="664"/>
    </row>
    <row r="352" spans="1:9" ht="25.5" customHeight="1">
      <c r="A352" s="681" t="s">
        <v>1649</v>
      </c>
      <c r="B352" s="681" t="s">
        <v>2053</v>
      </c>
      <c r="C352" s="1039" t="s">
        <v>1574</v>
      </c>
      <c r="D352" s="681"/>
      <c r="E352" s="677"/>
      <c r="F352" s="170"/>
      <c r="G352" s="664"/>
    </row>
    <row r="353" spans="1:8" ht="22.5" customHeight="1">
      <c r="A353" s="1003" t="s">
        <v>30</v>
      </c>
      <c r="B353" s="507" t="s">
        <v>19</v>
      </c>
      <c r="C353" s="430" t="s">
        <v>92</v>
      </c>
      <c r="D353" s="1005" t="s">
        <v>88</v>
      </c>
      <c r="E353" s="1005" t="s">
        <v>93</v>
      </c>
      <c r="F353" s="432" t="s">
        <v>94</v>
      </c>
      <c r="G353" s="508" t="s">
        <v>95</v>
      </c>
    </row>
    <row r="354" spans="1:8" ht="14.1" customHeight="1">
      <c r="A354" s="1003" t="s">
        <v>1931</v>
      </c>
      <c r="B354" s="1004" t="s">
        <v>1932</v>
      </c>
      <c r="C354" s="430" t="s">
        <v>99</v>
      </c>
      <c r="D354" s="1005" t="s">
        <v>1574</v>
      </c>
      <c r="E354" s="1006">
        <v>1.1000000000000001</v>
      </c>
      <c r="F354" s="1005">
        <v>0.91</v>
      </c>
      <c r="G354" s="456">
        <f>TRUNC(E354*F354,2)</f>
        <v>1</v>
      </c>
    </row>
    <row r="355" spans="1:8" ht="14.1" customHeight="1">
      <c r="A355" s="1470" t="s">
        <v>2561</v>
      </c>
      <c r="B355" s="1416" t="s">
        <v>1938</v>
      </c>
      <c r="C355" s="430" t="s">
        <v>117</v>
      </c>
      <c r="D355" s="1424" t="s">
        <v>410</v>
      </c>
      <c r="E355" s="1533">
        <v>0.2</v>
      </c>
      <c r="F355" s="435">
        <f>'COMP AUX'!G389</f>
        <v>15.82</v>
      </c>
      <c r="G355" s="456">
        <f>TRUNC(E355*F355,2)</f>
        <v>3.16</v>
      </c>
      <c r="H355" s="424"/>
    </row>
    <row r="356" spans="1:8" ht="14.1" customHeight="1">
      <c r="A356" s="1454"/>
      <c r="B356" s="1417"/>
      <c r="C356" s="430" t="s">
        <v>99</v>
      </c>
      <c r="D356" s="1424"/>
      <c r="E356" s="1533"/>
      <c r="F356" s="435">
        <f>'COMP AUX'!G390</f>
        <v>4.5600000000000005</v>
      </c>
      <c r="G356" s="456">
        <f>TRUNC(E355*F356,2)</f>
        <v>0.91</v>
      </c>
      <c r="H356" s="424"/>
    </row>
    <row r="357" spans="1:8" ht="14.1" customHeight="1">
      <c r="E357" s="683"/>
      <c r="F357" s="547" t="s">
        <v>103</v>
      </c>
      <c r="G357" s="456">
        <f>G355</f>
        <v>3.16</v>
      </c>
    </row>
    <row r="358" spans="1:8" ht="14.1" customHeight="1">
      <c r="E358" s="215"/>
      <c r="F358" s="438" t="s">
        <v>105</v>
      </c>
      <c r="G358" s="456">
        <f>G354+G356</f>
        <v>1.9100000000000001</v>
      </c>
    </row>
    <row r="359" spans="1:8" ht="14.1" customHeight="1">
      <c r="A359" s="170" t="s">
        <v>107</v>
      </c>
      <c r="E359" s="215"/>
      <c r="F359" s="438" t="s">
        <v>106</v>
      </c>
      <c r="G359" s="457">
        <f>SUM(G357:G358)</f>
        <v>5.07</v>
      </c>
    </row>
    <row r="360" spans="1:8" ht="14.1" customHeight="1">
      <c r="A360" s="437" t="s">
        <v>108</v>
      </c>
      <c r="B360" s="548">
        <f>G359</f>
        <v>5.07</v>
      </c>
    </row>
    <row r="361" spans="1:8" ht="14.1" customHeight="1">
      <c r="A361" s="542" t="s">
        <v>2654</v>
      </c>
      <c r="B361" s="541"/>
    </row>
    <row r="362" spans="1:8" ht="14.1" customHeight="1">
      <c r="A362" s="622" t="s">
        <v>2714</v>
      </c>
      <c r="B362" s="541">
        <f>(B360+B361)*0.245</f>
        <v>1.2421500000000001</v>
      </c>
    </row>
    <row r="363" spans="1:8" ht="14.1" customHeight="1">
      <c r="A363" s="437" t="s">
        <v>111</v>
      </c>
      <c r="B363" s="549">
        <f>SUM(B360:B362)</f>
        <v>6.3121500000000008</v>
      </c>
      <c r="H363" s="560"/>
    </row>
    <row r="364" spans="1:8" ht="11.25" customHeight="1">
      <c r="A364" s="516"/>
      <c r="B364" s="517"/>
      <c r="C364" s="518"/>
      <c r="D364" s="516"/>
      <c r="E364" s="517"/>
      <c r="F364" s="517"/>
      <c r="G364" s="517"/>
      <c r="H364" s="516"/>
    </row>
    <row r="365" spans="1:8" ht="11.25" customHeight="1">
      <c r="A365" s="424"/>
      <c r="B365" s="421"/>
      <c r="C365" s="423"/>
      <c r="D365" s="424"/>
      <c r="E365" s="421"/>
      <c r="F365" s="421"/>
      <c r="G365" s="421"/>
      <c r="H365" s="424"/>
    </row>
    <row r="366" spans="1:8" ht="11.25" customHeight="1">
      <c r="A366" s="170" t="s">
        <v>1258</v>
      </c>
      <c r="B366" s="652"/>
      <c r="C366" s="652"/>
      <c r="D366" s="652"/>
      <c r="E366" s="652"/>
      <c r="F366" s="652"/>
      <c r="G366" s="652"/>
    </row>
    <row r="367" spans="1:8" ht="11.25" customHeight="1">
      <c r="A367" s="220" t="s">
        <v>2857</v>
      </c>
      <c r="B367" s="664"/>
      <c r="C367" s="664"/>
      <c r="D367" s="664"/>
      <c r="E367" s="664"/>
      <c r="F367" s="664"/>
      <c r="G367" s="664"/>
    </row>
    <row r="368" spans="1:8" ht="20.25" customHeight="1">
      <c r="A368" s="681" t="s">
        <v>1675</v>
      </c>
      <c r="B368" s="681" t="s">
        <v>3152</v>
      </c>
      <c r="C368" s="677" t="s">
        <v>1574</v>
      </c>
      <c r="D368" s="681"/>
      <c r="E368" s="170"/>
      <c r="F368" s="170"/>
      <c r="G368" s="664"/>
    </row>
    <row r="369" spans="1:9" ht="27.75" customHeight="1">
      <c r="A369" s="960" t="s">
        <v>30</v>
      </c>
      <c r="B369" s="507" t="s">
        <v>19</v>
      </c>
      <c r="C369" s="430" t="s">
        <v>92</v>
      </c>
      <c r="D369" s="958" t="s">
        <v>88</v>
      </c>
      <c r="E369" s="958" t="s">
        <v>93</v>
      </c>
      <c r="F369" s="432" t="s">
        <v>94</v>
      </c>
      <c r="G369" s="508" t="s">
        <v>95</v>
      </c>
    </row>
    <row r="370" spans="1:9" ht="25.5" customHeight="1">
      <c r="A370" s="973" t="s">
        <v>2385</v>
      </c>
      <c r="B370" s="972" t="s">
        <v>3153</v>
      </c>
      <c r="C370" s="430" t="s">
        <v>99</v>
      </c>
      <c r="D370" s="959" t="s">
        <v>1574</v>
      </c>
      <c r="E370" s="956">
        <v>1.08</v>
      </c>
      <c r="F370" s="435">
        <v>6.58</v>
      </c>
      <c r="G370" s="456">
        <f>TRUNC(E370*F370,2)</f>
        <v>7.1</v>
      </c>
    </row>
    <row r="371" spans="1:9" ht="15" customHeight="1">
      <c r="A371" s="1470" t="s">
        <v>1404</v>
      </c>
      <c r="B371" s="1416" t="s">
        <v>123</v>
      </c>
      <c r="C371" s="430" t="s">
        <v>117</v>
      </c>
      <c r="D371" s="1427" t="s">
        <v>410</v>
      </c>
      <c r="E371" s="1425">
        <v>0.03</v>
      </c>
      <c r="F371" s="435">
        <f>'COMP AUX'!G104</f>
        <v>11.1</v>
      </c>
      <c r="G371" s="456">
        <f t="shared" ref="G371" si="24">TRUNC(E371*F371,2)</f>
        <v>0.33</v>
      </c>
    </row>
    <row r="372" spans="1:9" ht="15" customHeight="1">
      <c r="A372" s="1454"/>
      <c r="B372" s="1466"/>
      <c r="C372" s="430" t="s">
        <v>99</v>
      </c>
      <c r="D372" s="1428"/>
      <c r="E372" s="1426"/>
      <c r="F372" s="435">
        <f>'COMP AUX'!G105</f>
        <v>4.5600000000000005</v>
      </c>
      <c r="G372" s="456">
        <f>TRUNC(E371*F372,2)</f>
        <v>0.13</v>
      </c>
    </row>
    <row r="373" spans="1:9" ht="15" customHeight="1">
      <c r="E373" s="683"/>
      <c r="F373" s="547" t="s">
        <v>103</v>
      </c>
      <c r="G373" s="456">
        <f>G371</f>
        <v>0.33</v>
      </c>
    </row>
    <row r="374" spans="1:9" ht="15" customHeight="1">
      <c r="E374" s="215"/>
      <c r="F374" s="438" t="s">
        <v>105</v>
      </c>
      <c r="G374" s="456">
        <f>G370+G372</f>
        <v>7.2299999999999995</v>
      </c>
    </row>
    <row r="375" spans="1:9" ht="15" customHeight="1">
      <c r="A375" s="170" t="s">
        <v>107</v>
      </c>
      <c r="E375" s="215"/>
      <c r="F375" s="438" t="s">
        <v>106</v>
      </c>
      <c r="G375" s="457">
        <f>SUM(G373:G374)</f>
        <v>7.56</v>
      </c>
    </row>
    <row r="376" spans="1:9" ht="15" customHeight="1">
      <c r="A376" s="437" t="s">
        <v>108</v>
      </c>
      <c r="B376" s="548">
        <f>G375</f>
        <v>7.56</v>
      </c>
    </row>
    <row r="377" spans="1:9" ht="15" customHeight="1">
      <c r="A377" s="542" t="s">
        <v>2654</v>
      </c>
      <c r="B377" s="541"/>
    </row>
    <row r="378" spans="1:9" ht="15" customHeight="1">
      <c r="A378" s="622" t="s">
        <v>2714</v>
      </c>
      <c r="B378" s="541">
        <f>(B376+B377)*0.245</f>
        <v>1.8521999999999998</v>
      </c>
    </row>
    <row r="379" spans="1:9" ht="15" customHeight="1">
      <c r="A379" s="437" t="s">
        <v>111</v>
      </c>
      <c r="B379" s="549">
        <f>SUM(B376:B378)</f>
        <v>9.4121999999999986</v>
      </c>
      <c r="H379" s="560"/>
      <c r="I379" s="170" t="s">
        <v>2659</v>
      </c>
    </row>
    <row r="380" spans="1:9" ht="11.25" customHeight="1">
      <c r="A380" s="516"/>
      <c r="B380" s="517"/>
      <c r="C380" s="518"/>
      <c r="D380" s="516"/>
      <c r="E380" s="517"/>
      <c r="F380" s="517"/>
      <c r="G380" s="517"/>
      <c r="H380" s="516"/>
    </row>
    <row r="381" spans="1:9" ht="11.25" customHeight="1">
      <c r="A381" s="424"/>
      <c r="B381" s="421"/>
      <c r="C381" s="423"/>
      <c r="D381" s="424"/>
      <c r="E381" s="421"/>
      <c r="F381" s="421"/>
      <c r="G381" s="421"/>
      <c r="H381" s="424"/>
    </row>
    <row r="382" spans="1:9" ht="11.25" customHeight="1">
      <c r="A382" s="170" t="s">
        <v>1258</v>
      </c>
      <c r="B382" s="652"/>
      <c r="C382" s="652"/>
      <c r="D382" s="652"/>
      <c r="E382" s="652"/>
      <c r="F382" s="652"/>
      <c r="G382" s="652"/>
    </row>
    <row r="383" spans="1:9" ht="11.25" customHeight="1">
      <c r="A383" s="220" t="s">
        <v>2854</v>
      </c>
      <c r="B383" s="664"/>
      <c r="C383" s="664"/>
      <c r="D383" s="664"/>
      <c r="E383" s="664"/>
      <c r="F383" s="664"/>
      <c r="G383" s="664"/>
    </row>
    <row r="384" spans="1:9" ht="19.5" customHeight="1">
      <c r="A384" s="681" t="s">
        <v>1675</v>
      </c>
      <c r="B384" s="1473" t="s">
        <v>3154</v>
      </c>
      <c r="C384" s="1473"/>
      <c r="D384" s="677" t="s">
        <v>418</v>
      </c>
      <c r="E384" s="170"/>
      <c r="F384" s="170"/>
      <c r="G384" s="664"/>
    </row>
    <row r="385" spans="1:9" ht="26.25" customHeight="1">
      <c r="A385" s="960" t="s">
        <v>30</v>
      </c>
      <c r="B385" s="507" t="s">
        <v>19</v>
      </c>
      <c r="C385" s="430" t="s">
        <v>92</v>
      </c>
      <c r="D385" s="958" t="s">
        <v>88</v>
      </c>
      <c r="E385" s="958" t="s">
        <v>93</v>
      </c>
      <c r="F385" s="432" t="s">
        <v>94</v>
      </c>
      <c r="G385" s="508" t="s">
        <v>95</v>
      </c>
    </row>
    <row r="386" spans="1:9" ht="25.5" customHeight="1">
      <c r="A386" s="858">
        <v>20065</v>
      </c>
      <c r="B386" s="972" t="s">
        <v>2387</v>
      </c>
      <c r="C386" s="430" t="s">
        <v>99</v>
      </c>
      <c r="D386" s="959" t="s">
        <v>418</v>
      </c>
      <c r="E386" s="956">
        <v>1</v>
      </c>
      <c r="F386" s="435">
        <v>17.760000000000002</v>
      </c>
      <c r="G386" s="456">
        <f>TRUNC(E386*F386,2)</f>
        <v>17.760000000000002</v>
      </c>
    </row>
    <row r="387" spans="1:9" ht="18" customHeight="1">
      <c r="A387" s="1537">
        <v>88277</v>
      </c>
      <c r="B387" s="1416" t="s">
        <v>2386</v>
      </c>
      <c r="C387" s="430" t="s">
        <v>117</v>
      </c>
      <c r="D387" s="1418" t="s">
        <v>410</v>
      </c>
      <c r="E387" s="1425">
        <v>0.06</v>
      </c>
      <c r="F387" s="435">
        <f>'COMP AUX'!G686</f>
        <v>11.4</v>
      </c>
      <c r="G387" s="456">
        <f t="shared" ref="G387:G389" si="25">TRUNC(E387*F387,2)</f>
        <v>0.68</v>
      </c>
    </row>
    <row r="388" spans="1:9" ht="18" customHeight="1">
      <c r="A388" s="1538"/>
      <c r="B388" s="1417"/>
      <c r="C388" s="430" t="s">
        <v>99</v>
      </c>
      <c r="D388" s="1419"/>
      <c r="E388" s="1426"/>
      <c r="F388" s="435">
        <f>'COMP AUX'!G687</f>
        <v>4.5600000000000005</v>
      </c>
      <c r="G388" s="456">
        <f>TRUNC(E387*F388,2)</f>
        <v>0.27</v>
      </c>
    </row>
    <row r="389" spans="1:9" ht="15" customHeight="1">
      <c r="A389" s="1470" t="s">
        <v>1404</v>
      </c>
      <c r="B389" s="1416" t="s">
        <v>123</v>
      </c>
      <c r="C389" s="430" t="s">
        <v>117</v>
      </c>
      <c r="D389" s="1427" t="s">
        <v>410</v>
      </c>
      <c r="E389" s="1471">
        <v>2.5657999999999999</v>
      </c>
      <c r="F389" s="435">
        <f>'COMP AUX'!G104</f>
        <v>11.1</v>
      </c>
      <c r="G389" s="456">
        <f t="shared" si="25"/>
        <v>28.48</v>
      </c>
    </row>
    <row r="390" spans="1:9" ht="15" customHeight="1">
      <c r="A390" s="1454"/>
      <c r="B390" s="1466"/>
      <c r="C390" s="430" t="s">
        <v>99</v>
      </c>
      <c r="D390" s="1428"/>
      <c r="E390" s="1472"/>
      <c r="F390" s="435">
        <f>'COMP AUX'!G105</f>
        <v>4.5600000000000005</v>
      </c>
      <c r="G390" s="456">
        <f>TRUNC(E389*F390,2)</f>
        <v>11.7</v>
      </c>
    </row>
    <row r="391" spans="1:9" ht="15" customHeight="1">
      <c r="E391" s="683"/>
      <c r="F391" s="547" t="s">
        <v>103</v>
      </c>
      <c r="G391" s="456">
        <f>G387+G389</f>
        <v>29.16</v>
      </c>
    </row>
    <row r="392" spans="1:9" ht="15" customHeight="1">
      <c r="E392" s="215"/>
      <c r="F392" s="438" t="s">
        <v>105</v>
      </c>
      <c r="G392" s="456">
        <f>G386+G388+G390</f>
        <v>29.73</v>
      </c>
    </row>
    <row r="393" spans="1:9" ht="15" customHeight="1">
      <c r="A393" s="170" t="s">
        <v>107</v>
      </c>
      <c r="E393" s="215"/>
      <c r="F393" s="438" t="s">
        <v>106</v>
      </c>
      <c r="G393" s="457">
        <f>SUM(G391:G392)</f>
        <v>58.89</v>
      </c>
    </row>
    <row r="394" spans="1:9" ht="15" customHeight="1">
      <c r="A394" s="437" t="s">
        <v>108</v>
      </c>
      <c r="B394" s="548">
        <f>G393</f>
        <v>58.89</v>
      </c>
    </row>
    <row r="395" spans="1:9" ht="15" customHeight="1">
      <c r="A395" s="542" t="s">
        <v>2654</v>
      </c>
      <c r="B395" s="541"/>
    </row>
    <row r="396" spans="1:9" ht="15" customHeight="1">
      <c r="A396" s="622" t="s">
        <v>2714</v>
      </c>
      <c r="B396" s="541">
        <f>(B394+B395)*0.245</f>
        <v>14.428050000000001</v>
      </c>
    </row>
    <row r="397" spans="1:9" ht="15" customHeight="1">
      <c r="A397" s="437" t="s">
        <v>111</v>
      </c>
      <c r="B397" s="549">
        <f>SUM(B394:B396)</f>
        <v>73.318049999999999</v>
      </c>
      <c r="H397" s="560"/>
      <c r="I397" s="170" t="s">
        <v>2659</v>
      </c>
    </row>
    <row r="398" spans="1:9" ht="11.25" customHeight="1">
      <c r="A398" s="516"/>
      <c r="B398" s="517"/>
      <c r="C398" s="518"/>
      <c r="D398" s="516"/>
      <c r="E398" s="517"/>
      <c r="F398" s="517"/>
      <c r="G398" s="517"/>
      <c r="H398" s="516"/>
    </row>
    <row r="399" spans="1:9" ht="11.25" customHeight="1">
      <c r="A399" s="424"/>
      <c r="B399" s="421"/>
      <c r="C399" s="423"/>
      <c r="D399" s="424"/>
      <c r="E399" s="421"/>
      <c r="F399" s="421"/>
      <c r="G399" s="421"/>
      <c r="H399" s="424"/>
    </row>
    <row r="400" spans="1:9" ht="11.25" customHeight="1">
      <c r="A400" s="170" t="s">
        <v>1258</v>
      </c>
      <c r="B400" s="652"/>
      <c r="C400" s="652"/>
      <c r="D400" s="652"/>
      <c r="E400" s="652"/>
      <c r="F400" s="652"/>
      <c r="G400" s="652"/>
    </row>
    <row r="401" spans="1:9" ht="11.25" customHeight="1">
      <c r="A401" s="220" t="s">
        <v>2853</v>
      </c>
      <c r="B401" s="664"/>
      <c r="C401" s="664"/>
      <c r="D401" s="664"/>
      <c r="E401" s="664"/>
      <c r="F401" s="664"/>
      <c r="G401" s="664"/>
    </row>
    <row r="402" spans="1:9" ht="30.75" customHeight="1">
      <c r="A402" s="681" t="s">
        <v>1675</v>
      </c>
      <c r="B402" s="681" t="s">
        <v>3155</v>
      </c>
      <c r="C402" s="677" t="s">
        <v>418</v>
      </c>
      <c r="E402" s="170"/>
      <c r="F402" s="170"/>
      <c r="G402" s="664"/>
    </row>
    <row r="403" spans="1:9" ht="26.25" customHeight="1">
      <c r="A403" s="960" t="s">
        <v>30</v>
      </c>
      <c r="B403" s="507" t="s">
        <v>19</v>
      </c>
      <c r="C403" s="430" t="s">
        <v>92</v>
      </c>
      <c r="D403" s="958" t="s">
        <v>88</v>
      </c>
      <c r="E403" s="958" t="s">
        <v>93</v>
      </c>
      <c r="F403" s="432" t="s">
        <v>94</v>
      </c>
      <c r="G403" s="508" t="s">
        <v>95</v>
      </c>
    </row>
    <row r="404" spans="1:9" ht="25.5" customHeight="1">
      <c r="A404" s="858" t="s">
        <v>2392</v>
      </c>
      <c r="B404" s="972" t="s">
        <v>3156</v>
      </c>
      <c r="C404" s="430" t="s">
        <v>99</v>
      </c>
      <c r="D404" s="959" t="s">
        <v>418</v>
      </c>
      <c r="E404" s="956">
        <v>1</v>
      </c>
      <c r="F404" s="435">
        <v>25.17</v>
      </c>
      <c r="G404" s="456">
        <f>TRUNC(E404*F404,2)</f>
        <v>25.17</v>
      </c>
    </row>
    <row r="405" spans="1:9" ht="15" customHeight="1">
      <c r="A405" s="1537">
        <v>88267</v>
      </c>
      <c r="B405" s="1416" t="s">
        <v>298</v>
      </c>
      <c r="C405" s="430" t="s">
        <v>117</v>
      </c>
      <c r="D405" s="1418" t="s">
        <v>410</v>
      </c>
      <c r="E405" s="1425">
        <v>0.2</v>
      </c>
      <c r="F405" s="435">
        <f>'COMP AUX'!G338</f>
        <v>15.41</v>
      </c>
      <c r="G405" s="456">
        <f t="shared" ref="G405" si="26">TRUNC(E405*F405,2)</f>
        <v>3.08</v>
      </c>
    </row>
    <row r="406" spans="1:9" ht="15" customHeight="1">
      <c r="A406" s="1538"/>
      <c r="B406" s="1417"/>
      <c r="C406" s="430" t="s">
        <v>99</v>
      </c>
      <c r="D406" s="1419"/>
      <c r="E406" s="1426"/>
      <c r="F406" s="435">
        <f>'COMP AUX'!G339</f>
        <v>4.5600000000000005</v>
      </c>
      <c r="G406" s="456">
        <f>TRUNC(E405*F406,2)</f>
        <v>0.91</v>
      </c>
    </row>
    <row r="407" spans="1:9" ht="15" customHeight="1">
      <c r="A407" s="1470" t="s">
        <v>1404</v>
      </c>
      <c r="B407" s="1416" t="s">
        <v>123</v>
      </c>
      <c r="C407" s="430" t="s">
        <v>117</v>
      </c>
      <c r="D407" s="1427" t="s">
        <v>410</v>
      </c>
      <c r="E407" s="1471">
        <v>0.8</v>
      </c>
      <c r="F407" s="435">
        <f>'COMP AUX'!G104</f>
        <v>11.1</v>
      </c>
      <c r="G407" s="456">
        <f t="shared" ref="G407" si="27">TRUNC(E407*F407,2)</f>
        <v>8.8800000000000008</v>
      </c>
    </row>
    <row r="408" spans="1:9" ht="15" customHeight="1">
      <c r="A408" s="1454"/>
      <c r="B408" s="1466"/>
      <c r="C408" s="430" t="s">
        <v>99</v>
      </c>
      <c r="D408" s="1428"/>
      <c r="E408" s="1472"/>
      <c r="F408" s="435">
        <f>'COMP AUX'!G105</f>
        <v>4.5600000000000005</v>
      </c>
      <c r="G408" s="456">
        <f>TRUNC(E407*F408,2)</f>
        <v>3.64</v>
      </c>
    </row>
    <row r="409" spans="1:9" ht="15" customHeight="1">
      <c r="E409" s="683"/>
      <c r="F409" s="547" t="s">
        <v>103</v>
      </c>
      <c r="G409" s="456">
        <f>G405+G407</f>
        <v>11.96</v>
      </c>
    </row>
    <row r="410" spans="1:9" ht="15" customHeight="1">
      <c r="E410" s="215"/>
      <c r="F410" s="438" t="s">
        <v>105</v>
      </c>
      <c r="G410" s="456">
        <f>G404+G406+G408</f>
        <v>29.720000000000002</v>
      </c>
    </row>
    <row r="411" spans="1:9" ht="15" customHeight="1">
      <c r="A411" s="170" t="s">
        <v>107</v>
      </c>
      <c r="E411" s="215"/>
      <c r="F411" s="438" t="s">
        <v>106</v>
      </c>
      <c r="G411" s="457">
        <f>SUM(G409:G410)</f>
        <v>41.680000000000007</v>
      </c>
    </row>
    <row r="412" spans="1:9" ht="15" customHeight="1">
      <c r="A412" s="437" t="s">
        <v>108</v>
      </c>
      <c r="B412" s="548">
        <f>G411</f>
        <v>41.680000000000007</v>
      </c>
    </row>
    <row r="413" spans="1:9" ht="15" customHeight="1">
      <c r="A413" s="542" t="s">
        <v>2654</v>
      </c>
      <c r="B413" s="541"/>
    </row>
    <row r="414" spans="1:9" ht="15" customHeight="1">
      <c r="A414" s="622" t="s">
        <v>2714</v>
      </c>
      <c r="B414" s="541">
        <f>(B412+B413)*0.245</f>
        <v>10.211600000000001</v>
      </c>
    </row>
    <row r="415" spans="1:9" ht="15" customHeight="1">
      <c r="A415" s="437" t="s">
        <v>111</v>
      </c>
      <c r="B415" s="549">
        <f>SUM(B412:B414)</f>
        <v>51.891600000000011</v>
      </c>
      <c r="H415" s="560"/>
      <c r="I415" s="170" t="s">
        <v>2659</v>
      </c>
    </row>
    <row r="416" spans="1:9" ht="11.25" customHeight="1">
      <c r="A416" s="516"/>
      <c r="B416" s="517"/>
      <c r="C416" s="518"/>
      <c r="D416" s="516"/>
      <c r="E416" s="517"/>
      <c r="F416" s="517"/>
      <c r="G416" s="517"/>
      <c r="H416" s="516"/>
    </row>
    <row r="417" spans="1:9" ht="11.25" customHeight="1">
      <c r="A417" s="424"/>
      <c r="B417" s="421"/>
      <c r="C417" s="423"/>
      <c r="D417" s="424"/>
      <c r="E417" s="421"/>
      <c r="F417" s="421"/>
      <c r="G417" s="421"/>
      <c r="H417" s="424"/>
    </row>
    <row r="418" spans="1:9" ht="11.25" customHeight="1">
      <c r="A418" s="170" t="s">
        <v>1258</v>
      </c>
      <c r="B418" s="652"/>
      <c r="C418" s="652"/>
      <c r="D418" s="652"/>
      <c r="E418" s="652"/>
      <c r="F418" s="652"/>
      <c r="G418" s="652"/>
    </row>
    <row r="419" spans="1:9" ht="16.5" customHeight="1">
      <c r="A419" s="220" t="s">
        <v>2852</v>
      </c>
      <c r="B419" s="664"/>
      <c r="C419" s="664"/>
      <c r="D419" s="664"/>
      <c r="E419" s="664"/>
      <c r="F419" s="664"/>
      <c r="G419" s="664"/>
    </row>
    <row r="420" spans="1:9" ht="17.25" customHeight="1">
      <c r="A420" s="681" t="s">
        <v>1675</v>
      </c>
      <c r="B420" s="681" t="s">
        <v>2393</v>
      </c>
      <c r="C420" s="677" t="s">
        <v>1398</v>
      </c>
      <c r="D420" s="681"/>
      <c r="E420" s="170"/>
      <c r="F420" s="170"/>
      <c r="G420" s="664"/>
    </row>
    <row r="421" spans="1:9" ht="26.25" customHeight="1">
      <c r="A421" s="960" t="s">
        <v>30</v>
      </c>
      <c r="B421" s="507" t="s">
        <v>19</v>
      </c>
      <c r="C421" s="430" t="s">
        <v>92</v>
      </c>
      <c r="D421" s="958" t="s">
        <v>88</v>
      </c>
      <c r="E421" s="958" t="s">
        <v>93</v>
      </c>
      <c r="F421" s="432" t="s">
        <v>94</v>
      </c>
      <c r="G421" s="508" t="s">
        <v>95</v>
      </c>
    </row>
    <row r="422" spans="1:9" ht="27.75" customHeight="1">
      <c r="A422" s="973" t="s">
        <v>2394</v>
      </c>
      <c r="B422" s="972" t="s">
        <v>2395</v>
      </c>
      <c r="C422" s="430" t="s">
        <v>99</v>
      </c>
      <c r="D422" s="959" t="s">
        <v>1398</v>
      </c>
      <c r="E422" s="956">
        <v>1.1000000000000001</v>
      </c>
      <c r="F422" s="435">
        <v>63.77</v>
      </c>
      <c r="G422" s="456">
        <f>TRUNC(E422*F422,2)</f>
        <v>70.14</v>
      </c>
    </row>
    <row r="423" spans="1:9" ht="15" customHeight="1">
      <c r="A423" s="1470" t="s">
        <v>1404</v>
      </c>
      <c r="B423" s="1416" t="s">
        <v>123</v>
      </c>
      <c r="C423" s="430" t="s">
        <v>117</v>
      </c>
      <c r="D423" s="1427" t="s">
        <v>410</v>
      </c>
      <c r="E423" s="1425">
        <v>2.5</v>
      </c>
      <c r="F423" s="435">
        <f>'COMP AUX'!G104</f>
        <v>11.1</v>
      </c>
      <c r="G423" s="456">
        <f t="shared" ref="G423" si="28">TRUNC(E423*F423,2)</f>
        <v>27.75</v>
      </c>
    </row>
    <row r="424" spans="1:9" ht="15" customHeight="1">
      <c r="A424" s="1454"/>
      <c r="B424" s="1466"/>
      <c r="C424" s="430" t="s">
        <v>99</v>
      </c>
      <c r="D424" s="1428"/>
      <c r="E424" s="1426"/>
      <c r="F424" s="435">
        <f>'COMP AUX'!G105</f>
        <v>4.5600000000000005</v>
      </c>
      <c r="G424" s="456">
        <f>TRUNC(E423*F424,2)</f>
        <v>11.4</v>
      </c>
    </row>
    <row r="425" spans="1:9" ht="15" customHeight="1">
      <c r="E425" s="683"/>
      <c r="F425" s="547" t="s">
        <v>103</v>
      </c>
      <c r="G425" s="456">
        <f>G423</f>
        <v>27.75</v>
      </c>
    </row>
    <row r="426" spans="1:9" ht="15" customHeight="1">
      <c r="E426" s="215"/>
      <c r="F426" s="438" t="s">
        <v>105</v>
      </c>
      <c r="G426" s="456">
        <f>G422+G424</f>
        <v>81.540000000000006</v>
      </c>
    </row>
    <row r="427" spans="1:9" ht="15" customHeight="1">
      <c r="A427" s="170" t="s">
        <v>107</v>
      </c>
      <c r="E427" s="215"/>
      <c r="F427" s="438" t="s">
        <v>106</v>
      </c>
      <c r="G427" s="457">
        <f>SUM(G425:G426)</f>
        <v>109.29</v>
      </c>
    </row>
    <row r="428" spans="1:9" ht="15" customHeight="1">
      <c r="A428" s="437" t="s">
        <v>108</v>
      </c>
      <c r="B428" s="548">
        <f>G427</f>
        <v>109.29</v>
      </c>
    </row>
    <row r="429" spans="1:9" ht="15" customHeight="1">
      <c r="A429" s="542" t="s">
        <v>2654</v>
      </c>
      <c r="B429" s="541"/>
    </row>
    <row r="430" spans="1:9" ht="15" customHeight="1">
      <c r="A430" s="622" t="s">
        <v>2714</v>
      </c>
      <c r="B430" s="541">
        <f>(B428+B429)*0.245</f>
        <v>26.776050000000001</v>
      </c>
    </row>
    <row r="431" spans="1:9" ht="15" customHeight="1">
      <c r="A431" s="437" t="s">
        <v>111</v>
      </c>
      <c r="B431" s="549">
        <f>SUM(B428:B430)</f>
        <v>136.06605000000002</v>
      </c>
      <c r="H431" s="560"/>
      <c r="I431" s="170" t="s">
        <v>2659</v>
      </c>
    </row>
    <row r="432" spans="1:9" ht="11.25" customHeight="1">
      <c r="A432" s="516"/>
      <c r="B432" s="517"/>
      <c r="C432" s="518"/>
      <c r="D432" s="516"/>
      <c r="E432" s="517"/>
      <c r="F432" s="517"/>
      <c r="G432" s="517"/>
      <c r="H432" s="516"/>
    </row>
    <row r="433" spans="1:8" ht="11.25" customHeight="1">
      <c r="A433" s="424"/>
      <c r="B433" s="421"/>
      <c r="C433" s="423"/>
      <c r="D433" s="424"/>
      <c r="E433" s="421"/>
      <c r="F433" s="421"/>
      <c r="G433" s="421"/>
      <c r="H433" s="424"/>
    </row>
    <row r="434" spans="1:8" ht="11.25" customHeight="1">
      <c r="A434" s="170" t="s">
        <v>1258</v>
      </c>
      <c r="B434" s="652"/>
      <c r="C434" s="652"/>
      <c r="D434" s="652"/>
      <c r="E434" s="652"/>
      <c r="F434" s="652"/>
      <c r="G434" s="652"/>
      <c r="H434" s="424"/>
    </row>
    <row r="435" spans="1:8" ht="15.75" customHeight="1">
      <c r="A435" s="220" t="s">
        <v>2850</v>
      </c>
      <c r="B435" s="664"/>
      <c r="C435" s="664"/>
      <c r="D435" s="664"/>
      <c r="E435" s="664"/>
      <c r="F435" s="664"/>
      <c r="G435" s="664"/>
      <c r="H435" s="424"/>
    </row>
    <row r="436" spans="1:8" ht="24.75" customHeight="1">
      <c r="A436" s="681" t="s">
        <v>1677</v>
      </c>
      <c r="B436" s="681" t="s">
        <v>2851</v>
      </c>
      <c r="C436" s="677" t="s">
        <v>1401</v>
      </c>
      <c r="E436" s="170"/>
      <c r="F436" s="170"/>
      <c r="G436" s="664"/>
      <c r="H436" s="424"/>
    </row>
    <row r="437" spans="1:8" ht="25.5" customHeight="1">
      <c r="A437" s="1003" t="s">
        <v>30</v>
      </c>
      <c r="B437" s="507" t="s">
        <v>19</v>
      </c>
      <c r="C437" s="430" t="s">
        <v>92</v>
      </c>
      <c r="D437" s="1005" t="s">
        <v>88</v>
      </c>
      <c r="E437" s="1005" t="s">
        <v>93</v>
      </c>
      <c r="F437" s="432" t="s">
        <v>94</v>
      </c>
      <c r="G437" s="508" t="s">
        <v>95</v>
      </c>
      <c r="H437" s="424"/>
    </row>
    <row r="438" spans="1:8" ht="15" customHeight="1">
      <c r="A438" s="1003" t="s">
        <v>1603</v>
      </c>
      <c r="B438" s="1004" t="s">
        <v>1604</v>
      </c>
      <c r="C438" s="430" t="s">
        <v>99</v>
      </c>
      <c r="D438" s="1005" t="s">
        <v>1401</v>
      </c>
      <c r="E438" s="1005">
        <v>1.03E-2</v>
      </c>
      <c r="F438" s="1005">
        <v>8.6199999999999992</v>
      </c>
      <c r="G438" s="433">
        <f t="shared" ref="G438:G439" si="29">TRUNC(E438*F438,2)</f>
        <v>0.08</v>
      </c>
      <c r="H438" s="424"/>
    </row>
    <row r="439" spans="1:8" ht="36.75" customHeight="1">
      <c r="A439" s="1003" t="s">
        <v>2571</v>
      </c>
      <c r="B439" s="1004" t="s">
        <v>2572</v>
      </c>
      <c r="C439" s="430" t="s">
        <v>99</v>
      </c>
      <c r="D439" s="1005" t="s">
        <v>408</v>
      </c>
      <c r="E439" s="1005">
        <v>1.03</v>
      </c>
      <c r="F439" s="1005">
        <v>5.01</v>
      </c>
      <c r="G439" s="433">
        <f t="shared" si="29"/>
        <v>5.16</v>
      </c>
      <c r="H439" s="424"/>
    </row>
    <row r="440" spans="1:8" ht="15" customHeight="1">
      <c r="A440" s="1436" t="s">
        <v>1624</v>
      </c>
      <c r="B440" s="1416" t="s">
        <v>1470</v>
      </c>
      <c r="C440" s="430" t="s">
        <v>117</v>
      </c>
      <c r="D440" s="1427" t="s">
        <v>410</v>
      </c>
      <c r="E440" s="1427">
        <v>0.02</v>
      </c>
      <c r="F440" s="435">
        <f>'COMP AUX'!G168</f>
        <v>14.81</v>
      </c>
      <c r="G440" s="456">
        <f>TRUNC(E440*F440,2)</f>
        <v>0.28999999999999998</v>
      </c>
      <c r="H440" s="424"/>
    </row>
    <row r="441" spans="1:8" ht="15" customHeight="1">
      <c r="A441" s="1437"/>
      <c r="B441" s="1417"/>
      <c r="C441" s="430" t="s">
        <v>99</v>
      </c>
      <c r="D441" s="1428"/>
      <c r="E441" s="1428"/>
      <c r="F441" s="435">
        <f>'COMP AUX'!G169</f>
        <v>4.5600000000000005</v>
      </c>
      <c r="G441" s="456">
        <f>TRUNC(E440*F441,2)</f>
        <v>0.09</v>
      </c>
      <c r="H441" s="424"/>
    </row>
    <row r="442" spans="1:8" ht="15" customHeight="1">
      <c r="A442" s="1422" t="s">
        <v>1404</v>
      </c>
      <c r="B442" s="1416" t="s">
        <v>123</v>
      </c>
      <c r="C442" s="430" t="s">
        <v>117</v>
      </c>
      <c r="D442" s="1424" t="s">
        <v>410</v>
      </c>
      <c r="E442" s="1438">
        <v>0.04</v>
      </c>
      <c r="F442" s="435">
        <f>'COMP AUX'!G104</f>
        <v>11.1</v>
      </c>
      <c r="G442" s="511">
        <f>TRUNC(E442*F442,2)</f>
        <v>0.44</v>
      </c>
      <c r="H442" s="424"/>
    </row>
    <row r="443" spans="1:8" ht="15" customHeight="1">
      <c r="A443" s="1423"/>
      <c r="B443" s="1417"/>
      <c r="C443" s="430" t="s">
        <v>99</v>
      </c>
      <c r="D443" s="1424"/>
      <c r="E443" s="1439"/>
      <c r="F443" s="435">
        <f>'COMP AUX'!G105</f>
        <v>4.5600000000000005</v>
      </c>
      <c r="G443" s="433">
        <f>TRUNC(E442*F443,2)</f>
        <v>0.18</v>
      </c>
      <c r="H443" s="424"/>
    </row>
    <row r="444" spans="1:8" ht="15" customHeight="1">
      <c r="E444" s="683"/>
      <c r="F444" s="547" t="s">
        <v>103</v>
      </c>
      <c r="G444" s="456">
        <f>G440+G442</f>
        <v>0.73</v>
      </c>
    </row>
    <row r="445" spans="1:8" ht="15" customHeight="1">
      <c r="E445" s="215"/>
      <c r="F445" s="438" t="s">
        <v>105</v>
      </c>
      <c r="G445" s="456">
        <f>G438+G439+G441+G443</f>
        <v>5.51</v>
      </c>
    </row>
    <row r="446" spans="1:8" ht="15" customHeight="1">
      <c r="A446" s="170" t="s">
        <v>107</v>
      </c>
      <c r="E446" s="215"/>
      <c r="F446" s="438" t="s">
        <v>106</v>
      </c>
      <c r="G446" s="457">
        <f>SUM(G444:G445)</f>
        <v>6.24</v>
      </c>
    </row>
    <row r="447" spans="1:8" ht="15" customHeight="1">
      <c r="A447" s="437" t="s">
        <v>108</v>
      </c>
      <c r="B447" s="548">
        <f>G446</f>
        <v>6.24</v>
      </c>
    </row>
    <row r="448" spans="1:8" ht="15" customHeight="1">
      <c r="A448" s="542" t="s">
        <v>2654</v>
      </c>
      <c r="B448" s="541"/>
    </row>
    <row r="449" spans="1:8" ht="15" customHeight="1">
      <c r="A449" s="622" t="s">
        <v>2714</v>
      </c>
      <c r="B449" s="541">
        <f>(B447+B448)*0.245</f>
        <v>1.5287999999999999</v>
      </c>
    </row>
    <row r="450" spans="1:8" ht="15" customHeight="1">
      <c r="A450" s="437" t="s">
        <v>111</v>
      </c>
      <c r="B450" s="549">
        <f>SUM(B447:B449)</f>
        <v>7.7688000000000006</v>
      </c>
    </row>
    <row r="451" spans="1:8" ht="11.25" customHeight="1">
      <c r="A451" s="516"/>
      <c r="B451" s="517"/>
      <c r="C451" s="518"/>
      <c r="D451" s="516"/>
      <c r="E451" s="517"/>
      <c r="F451" s="517"/>
      <c r="G451" s="517"/>
      <c r="H451" s="516"/>
    </row>
    <row r="452" spans="1:8" ht="11.25" customHeight="1">
      <c r="A452" s="424"/>
      <c r="B452" s="421"/>
      <c r="C452" s="423"/>
      <c r="D452" s="424"/>
      <c r="E452" s="421"/>
      <c r="F452" s="421"/>
      <c r="G452" s="421"/>
      <c r="H452" s="424"/>
    </row>
    <row r="453" spans="1:8" ht="11.25" customHeight="1">
      <c r="A453" s="170" t="s">
        <v>1258</v>
      </c>
      <c r="B453" s="652"/>
      <c r="C453" s="652"/>
      <c r="D453" s="652"/>
      <c r="E453" s="652"/>
      <c r="F453" s="652"/>
      <c r="G453" s="652"/>
    </row>
    <row r="454" spans="1:8" ht="11.25" customHeight="1">
      <c r="A454" s="220" t="s">
        <v>2849</v>
      </c>
      <c r="B454" s="664"/>
      <c r="C454" s="664"/>
      <c r="D454" s="664"/>
      <c r="E454" s="664"/>
      <c r="F454" s="664"/>
      <c r="G454" s="664"/>
    </row>
    <row r="455" spans="1:8" ht="28.5" customHeight="1">
      <c r="A455" s="681" t="s">
        <v>1677</v>
      </c>
      <c r="B455" s="681" t="s">
        <v>1678</v>
      </c>
      <c r="C455" s="677" t="s">
        <v>1401</v>
      </c>
      <c r="D455" s="681"/>
      <c r="F455" s="170"/>
      <c r="G455" s="664"/>
    </row>
    <row r="456" spans="1:8" ht="24.75" customHeight="1">
      <c r="A456" s="502" t="s">
        <v>30</v>
      </c>
      <c r="B456" s="507" t="s">
        <v>19</v>
      </c>
      <c r="C456" s="430" t="s">
        <v>92</v>
      </c>
      <c r="D456" s="643" t="s">
        <v>88</v>
      </c>
      <c r="E456" s="643" t="s">
        <v>93</v>
      </c>
      <c r="F456" s="432" t="s">
        <v>94</v>
      </c>
      <c r="G456" s="508" t="s">
        <v>95</v>
      </c>
    </row>
    <row r="457" spans="1:8" ht="15" customHeight="1">
      <c r="A457" s="502" t="s">
        <v>1603</v>
      </c>
      <c r="B457" s="434" t="s">
        <v>1604</v>
      </c>
      <c r="C457" s="430" t="s">
        <v>99</v>
      </c>
      <c r="D457" s="643" t="s">
        <v>1401</v>
      </c>
      <c r="E457" s="643">
        <v>2.5000000000000001E-2</v>
      </c>
      <c r="F457" s="643">
        <v>8.6199999999999992</v>
      </c>
      <c r="G457" s="433">
        <f t="shared" ref="G457:G459" si="30">TRUNC(E457*F457,2)</f>
        <v>0.21</v>
      </c>
    </row>
    <row r="458" spans="1:8" ht="36.75" customHeight="1">
      <c r="A458" s="502" t="s">
        <v>1622</v>
      </c>
      <c r="B458" s="434" t="s">
        <v>1623</v>
      </c>
      <c r="C458" s="430" t="s">
        <v>99</v>
      </c>
      <c r="D458" s="643" t="s">
        <v>408</v>
      </c>
      <c r="E458" s="643">
        <v>0.72399999999999998</v>
      </c>
      <c r="F458" s="643">
        <v>0.14000000000000001</v>
      </c>
      <c r="G458" s="433">
        <f t="shared" si="30"/>
        <v>0.1</v>
      </c>
    </row>
    <row r="459" spans="1:8" ht="15" customHeight="1">
      <c r="A459" s="1436" t="s">
        <v>1468</v>
      </c>
      <c r="B459" s="1416" t="s">
        <v>1469</v>
      </c>
      <c r="C459" s="430" t="s">
        <v>117</v>
      </c>
      <c r="D459" s="1427" t="s">
        <v>410</v>
      </c>
      <c r="E459" s="1427">
        <v>3.7499999999999999E-2</v>
      </c>
      <c r="F459" s="435">
        <f>'COMP AUX'!G185</f>
        <v>10.31</v>
      </c>
      <c r="G459" s="456">
        <f t="shared" si="30"/>
        <v>0.38</v>
      </c>
    </row>
    <row r="460" spans="1:8" ht="15" customHeight="1">
      <c r="A460" s="1437"/>
      <c r="B460" s="1417"/>
      <c r="C460" s="430" t="s">
        <v>99</v>
      </c>
      <c r="D460" s="1428"/>
      <c r="E460" s="1428"/>
      <c r="F460" s="435">
        <f>'COMP AUX'!G186</f>
        <v>4.5600000000000005</v>
      </c>
      <c r="G460" s="456">
        <f>TRUNC(E459*F460,2)</f>
        <v>0.17</v>
      </c>
    </row>
    <row r="461" spans="1:8" ht="15" customHeight="1">
      <c r="A461" s="1436" t="s">
        <v>1624</v>
      </c>
      <c r="B461" s="1416" t="s">
        <v>1470</v>
      </c>
      <c r="C461" s="430" t="s">
        <v>117</v>
      </c>
      <c r="D461" s="1427" t="s">
        <v>410</v>
      </c>
      <c r="E461" s="1427">
        <v>0.11550000000000001</v>
      </c>
      <c r="F461" s="435">
        <f>'COMP AUX'!G168</f>
        <v>14.81</v>
      </c>
      <c r="G461" s="456">
        <f>TRUNC(E461*F461,2)</f>
        <v>1.71</v>
      </c>
    </row>
    <row r="462" spans="1:8" ht="15" customHeight="1">
      <c r="A462" s="1437"/>
      <c r="B462" s="1417"/>
      <c r="C462" s="430" t="s">
        <v>99</v>
      </c>
      <c r="D462" s="1428"/>
      <c r="E462" s="1428"/>
      <c r="F462" s="435">
        <f>'COMP AUX'!G169</f>
        <v>4.5600000000000005</v>
      </c>
      <c r="G462" s="456">
        <f>TRUNC(E461*F462,2)</f>
        <v>0.52</v>
      </c>
    </row>
    <row r="463" spans="1:8" ht="15" customHeight="1">
      <c r="A463" s="1436">
        <v>92793</v>
      </c>
      <c r="B463" s="1416" t="s">
        <v>2848</v>
      </c>
      <c r="C463" s="430" t="s">
        <v>117</v>
      </c>
      <c r="D463" s="1427" t="s">
        <v>1401</v>
      </c>
      <c r="E463" s="1438">
        <v>1</v>
      </c>
      <c r="F463" s="435">
        <f>'COMP AUX'!G1064</f>
        <v>0.36</v>
      </c>
      <c r="G463" s="456">
        <f>TRUNC(E463*F463,2)</f>
        <v>0.36</v>
      </c>
    </row>
    <row r="464" spans="1:8" ht="15" customHeight="1">
      <c r="A464" s="1437"/>
      <c r="B464" s="1417"/>
      <c r="C464" s="430" t="s">
        <v>99</v>
      </c>
      <c r="D464" s="1428"/>
      <c r="E464" s="1439"/>
      <c r="F464" s="435">
        <f>'COMP AUX'!G1065</f>
        <v>5.68</v>
      </c>
      <c r="G464" s="456">
        <f>TRUNC(E463*F464,2)</f>
        <v>5.68</v>
      </c>
    </row>
    <row r="465" spans="1:9" ht="15" customHeight="1">
      <c r="E465" s="683"/>
      <c r="F465" s="547" t="s">
        <v>103</v>
      </c>
      <c r="G465" s="456">
        <f>G459+G461+G463</f>
        <v>2.4499999999999997</v>
      </c>
    </row>
    <row r="466" spans="1:9" ht="15" customHeight="1">
      <c r="E466" s="215"/>
      <c r="F466" s="438" t="s">
        <v>105</v>
      </c>
      <c r="G466" s="456">
        <f>G457+G458+G460+G462+G464</f>
        <v>6.68</v>
      </c>
    </row>
    <row r="467" spans="1:9" ht="15" customHeight="1">
      <c r="A467" s="170" t="s">
        <v>107</v>
      </c>
      <c r="E467" s="215"/>
      <c r="F467" s="438" t="s">
        <v>106</v>
      </c>
      <c r="G467" s="457">
        <f>SUM(G465:G466)</f>
        <v>9.129999999999999</v>
      </c>
    </row>
    <row r="468" spans="1:9" ht="15" customHeight="1">
      <c r="A468" s="437" t="s">
        <v>108</v>
      </c>
      <c r="B468" s="548">
        <f>G467</f>
        <v>9.129999999999999</v>
      </c>
    </row>
    <row r="469" spans="1:9" ht="15" customHeight="1">
      <c r="A469" s="542" t="s">
        <v>2654</v>
      </c>
      <c r="B469" s="541"/>
    </row>
    <row r="470" spans="1:9" ht="15" customHeight="1">
      <c r="A470" s="622" t="s">
        <v>2714</v>
      </c>
      <c r="B470" s="541">
        <f>(B468+B469)*0.245</f>
        <v>2.2368499999999996</v>
      </c>
    </row>
    <row r="471" spans="1:9" ht="15" customHeight="1">
      <c r="A471" s="437" t="s">
        <v>111</v>
      </c>
      <c r="B471" s="549">
        <f>SUM(B468:B470)</f>
        <v>11.366849999999999</v>
      </c>
      <c r="H471" s="560"/>
      <c r="I471" s="170" t="s">
        <v>2659</v>
      </c>
    </row>
    <row r="472" spans="1:9" ht="11.25" customHeight="1">
      <c r="A472" s="516"/>
      <c r="B472" s="517"/>
      <c r="C472" s="518"/>
      <c r="D472" s="516"/>
      <c r="E472" s="517"/>
      <c r="F472" s="517"/>
      <c r="G472" s="517"/>
      <c r="H472" s="516"/>
    </row>
    <row r="473" spans="1:9" ht="11.25" customHeight="1">
      <c r="A473" s="424"/>
      <c r="B473" s="421"/>
      <c r="C473" s="423"/>
      <c r="D473" s="424"/>
      <c r="E473" s="421"/>
      <c r="F473" s="421"/>
      <c r="G473" s="421"/>
      <c r="H473" s="424"/>
    </row>
    <row r="474" spans="1:9" ht="11.25" customHeight="1">
      <c r="A474" s="170" t="s">
        <v>1258</v>
      </c>
      <c r="B474" s="652"/>
      <c r="C474" s="652"/>
      <c r="D474" s="652"/>
      <c r="E474" s="652"/>
      <c r="F474" s="652"/>
      <c r="G474" s="652"/>
    </row>
    <row r="475" spans="1:9" ht="14.25" customHeight="1">
      <c r="A475" s="220" t="s">
        <v>2855</v>
      </c>
      <c r="B475" s="664"/>
      <c r="C475" s="664"/>
      <c r="D475" s="664"/>
      <c r="E475" s="664"/>
      <c r="F475" s="664"/>
      <c r="G475" s="664"/>
    </row>
    <row r="476" spans="1:9" ht="26.25" customHeight="1">
      <c r="A476" s="681" t="s">
        <v>1675</v>
      </c>
      <c r="B476" s="681" t="s">
        <v>1679</v>
      </c>
      <c r="C476" s="677" t="s">
        <v>1401</v>
      </c>
      <c r="D476" s="681"/>
      <c r="F476" s="170"/>
      <c r="G476" s="664"/>
    </row>
    <row r="477" spans="1:9" ht="25.5" customHeight="1">
      <c r="A477" s="502" t="s">
        <v>30</v>
      </c>
      <c r="B477" s="507" t="s">
        <v>19</v>
      </c>
      <c r="C477" s="430" t="s">
        <v>92</v>
      </c>
      <c r="D477" s="643" t="s">
        <v>88</v>
      </c>
      <c r="E477" s="643" t="s">
        <v>93</v>
      </c>
      <c r="F477" s="432" t="s">
        <v>94</v>
      </c>
      <c r="G477" s="508" t="s">
        <v>95</v>
      </c>
    </row>
    <row r="478" spans="1:9" ht="15" customHeight="1">
      <c r="A478" s="502" t="s">
        <v>1603</v>
      </c>
      <c r="B478" s="434" t="s">
        <v>1604</v>
      </c>
      <c r="C478" s="430" t="s">
        <v>99</v>
      </c>
      <c r="D478" s="643" t="s">
        <v>1401</v>
      </c>
      <c r="E478" s="643">
        <v>2.5000000000000001E-2</v>
      </c>
      <c r="F478" s="643">
        <v>8.6199999999999992</v>
      </c>
      <c r="G478" s="433">
        <f t="shared" ref="G478:G480" si="31">TRUNC(E478*F478,2)</f>
        <v>0.21</v>
      </c>
    </row>
    <row r="479" spans="1:9" ht="39.75" customHeight="1">
      <c r="A479" s="502" t="s">
        <v>1622</v>
      </c>
      <c r="B479" s="434" t="s">
        <v>1623</v>
      </c>
      <c r="C479" s="430" t="s">
        <v>99</v>
      </c>
      <c r="D479" s="643" t="s">
        <v>408</v>
      </c>
      <c r="E479" s="643">
        <v>0.46550000000000002</v>
      </c>
      <c r="F479" s="643">
        <v>0.14000000000000001</v>
      </c>
      <c r="G479" s="433">
        <f t="shared" si="31"/>
        <v>0.06</v>
      </c>
    </row>
    <row r="480" spans="1:9" ht="15" customHeight="1">
      <c r="A480" s="1436" t="s">
        <v>1468</v>
      </c>
      <c r="B480" s="1416" t="s">
        <v>1469</v>
      </c>
      <c r="C480" s="430" t="s">
        <v>117</v>
      </c>
      <c r="D480" s="1427" t="s">
        <v>410</v>
      </c>
      <c r="E480" s="1427">
        <v>2.9000000000000001E-2</v>
      </c>
      <c r="F480" s="435">
        <f>'COMP AUX'!G185</f>
        <v>10.31</v>
      </c>
      <c r="G480" s="456">
        <f t="shared" si="31"/>
        <v>0.28999999999999998</v>
      </c>
    </row>
    <row r="481" spans="1:9" ht="15" customHeight="1">
      <c r="A481" s="1437"/>
      <c r="B481" s="1417"/>
      <c r="C481" s="430" t="s">
        <v>99</v>
      </c>
      <c r="D481" s="1428"/>
      <c r="E481" s="1428"/>
      <c r="F481" s="435">
        <f>'COMP AUX'!G186</f>
        <v>4.5600000000000005</v>
      </c>
      <c r="G481" s="456">
        <f>TRUNC(E480*F481,2)</f>
        <v>0.13</v>
      </c>
    </row>
    <row r="482" spans="1:9" ht="15" customHeight="1">
      <c r="A482" s="1436" t="s">
        <v>1624</v>
      </c>
      <c r="B482" s="1416" t="s">
        <v>1470</v>
      </c>
      <c r="C482" s="430" t="s">
        <v>117</v>
      </c>
      <c r="D482" s="1427" t="s">
        <v>410</v>
      </c>
      <c r="E482" s="1427">
        <v>8.8999999999999996E-2</v>
      </c>
      <c r="F482" s="435">
        <f>'COMP AUX'!G168</f>
        <v>14.81</v>
      </c>
      <c r="G482" s="456">
        <f>TRUNC(E482*F482,2)</f>
        <v>1.31</v>
      </c>
    </row>
    <row r="483" spans="1:9" ht="15" customHeight="1">
      <c r="A483" s="1437"/>
      <c r="B483" s="1417"/>
      <c r="C483" s="430" t="s">
        <v>99</v>
      </c>
      <c r="D483" s="1428"/>
      <c r="E483" s="1428"/>
      <c r="F483" s="435">
        <f>'COMP AUX'!G169</f>
        <v>4.5600000000000005</v>
      </c>
      <c r="G483" s="456">
        <f>TRUNC(E482*F483,2)</f>
        <v>0.4</v>
      </c>
    </row>
    <row r="484" spans="1:9" ht="15" customHeight="1">
      <c r="A484" s="1436" t="s">
        <v>1626</v>
      </c>
      <c r="B484" s="1416" t="s">
        <v>2856</v>
      </c>
      <c r="C484" s="430" t="s">
        <v>117</v>
      </c>
      <c r="D484" s="1427" t="s">
        <v>1401</v>
      </c>
      <c r="E484" s="1438">
        <v>1</v>
      </c>
      <c r="F484" s="435">
        <f>'COMP AUX'!G1078</f>
        <v>0.19</v>
      </c>
      <c r="G484" s="456">
        <f>TRUNC(E484*F484,2)</f>
        <v>0.19</v>
      </c>
    </row>
    <row r="485" spans="1:9" ht="15" customHeight="1">
      <c r="A485" s="1437"/>
      <c r="B485" s="1417"/>
      <c r="C485" s="430" t="s">
        <v>99</v>
      </c>
      <c r="D485" s="1428"/>
      <c r="E485" s="1439"/>
      <c r="F485" s="435">
        <f>'COMP AUX'!G1079</f>
        <v>4.78</v>
      </c>
      <c r="G485" s="456">
        <f>TRUNC(E484*F485,2)</f>
        <v>4.78</v>
      </c>
    </row>
    <row r="486" spans="1:9" ht="15" customHeight="1">
      <c r="E486" s="683"/>
      <c r="F486" s="547" t="s">
        <v>103</v>
      </c>
      <c r="G486" s="456">
        <f>G480+G482+G484</f>
        <v>1.79</v>
      </c>
    </row>
    <row r="487" spans="1:9" ht="15" customHeight="1">
      <c r="E487" s="215"/>
      <c r="F487" s="438" t="s">
        <v>105</v>
      </c>
      <c r="G487" s="456">
        <f>G478+G479+G481+G483+G485</f>
        <v>5.58</v>
      </c>
    </row>
    <row r="488" spans="1:9" ht="15" customHeight="1">
      <c r="A488" s="170" t="s">
        <v>107</v>
      </c>
      <c r="E488" s="215"/>
      <c r="F488" s="438" t="s">
        <v>106</v>
      </c>
      <c r="G488" s="457">
        <f>SUM(G486:G487)</f>
        <v>7.37</v>
      </c>
    </row>
    <row r="489" spans="1:9" ht="15" customHeight="1">
      <c r="A489" s="437" t="s">
        <v>108</v>
      </c>
      <c r="B489" s="548">
        <f>G488</f>
        <v>7.37</v>
      </c>
    </row>
    <row r="490" spans="1:9" ht="15" customHeight="1">
      <c r="A490" s="542" t="s">
        <v>2654</v>
      </c>
      <c r="B490" s="541"/>
    </row>
    <row r="491" spans="1:9" ht="15" customHeight="1">
      <c r="A491" s="622" t="s">
        <v>2714</v>
      </c>
      <c r="B491" s="541">
        <f>(B489+B490)*0.245</f>
        <v>1.80565</v>
      </c>
    </row>
    <row r="492" spans="1:9" ht="15" customHeight="1">
      <c r="A492" s="437" t="s">
        <v>111</v>
      </c>
      <c r="B492" s="549">
        <f>SUM(B489:B491)</f>
        <v>9.175650000000001</v>
      </c>
      <c r="H492" s="560"/>
      <c r="I492" s="170" t="s">
        <v>2659</v>
      </c>
    </row>
    <row r="493" spans="1:9" ht="11.25" customHeight="1">
      <c r="A493" s="516"/>
      <c r="B493" s="517"/>
      <c r="C493" s="518"/>
      <c r="D493" s="516"/>
      <c r="E493" s="517"/>
      <c r="F493" s="517"/>
      <c r="G493" s="517"/>
      <c r="H493" s="516"/>
    </row>
    <row r="494" spans="1:9" ht="11.25" customHeight="1">
      <c r="A494" s="424"/>
      <c r="B494" s="421"/>
      <c r="C494" s="423"/>
      <c r="D494" s="424"/>
      <c r="E494" s="421"/>
      <c r="F494" s="421"/>
      <c r="G494" s="421"/>
      <c r="H494" s="424"/>
    </row>
    <row r="495" spans="1:9" ht="11.25" customHeight="1">
      <c r="A495" s="170" t="s">
        <v>1258</v>
      </c>
      <c r="H495" s="424"/>
    </row>
    <row r="496" spans="1:9" ht="11.25" customHeight="1">
      <c r="A496" s="220" t="s">
        <v>2563</v>
      </c>
      <c r="H496" s="424"/>
    </row>
    <row r="497" spans="1:8" ht="24" customHeight="1">
      <c r="A497" s="505" t="s">
        <v>1649</v>
      </c>
      <c r="B497" s="1544" t="s">
        <v>2564</v>
      </c>
      <c r="C497" s="1544"/>
      <c r="D497" s="1544"/>
      <c r="E497" s="1040" t="s">
        <v>1574</v>
      </c>
      <c r="G497" s="506"/>
      <c r="H497" s="424"/>
    </row>
    <row r="498" spans="1:8" ht="24" customHeight="1">
      <c r="A498" s="1003" t="s">
        <v>30</v>
      </c>
      <c r="B498" s="507" t="s">
        <v>19</v>
      </c>
      <c r="C498" s="430" t="s">
        <v>92</v>
      </c>
      <c r="D498" s="1005" t="s">
        <v>88</v>
      </c>
      <c r="E498" s="1005" t="s">
        <v>93</v>
      </c>
      <c r="F498" s="432" t="s">
        <v>94</v>
      </c>
      <c r="G498" s="508" t="s">
        <v>95</v>
      </c>
      <c r="H498" s="424"/>
    </row>
    <row r="499" spans="1:8" ht="15" customHeight="1">
      <c r="A499" s="1545">
        <v>88262</v>
      </c>
      <c r="B499" s="1482" t="s">
        <v>1686</v>
      </c>
      <c r="C499" s="430" t="s">
        <v>117</v>
      </c>
      <c r="D499" s="1424" t="s">
        <v>410</v>
      </c>
      <c r="E499" s="1425">
        <v>2.7690000000000001</v>
      </c>
      <c r="F499" s="435">
        <f>'COMP AUX'!G87</f>
        <v>14.81</v>
      </c>
      <c r="G499" s="511">
        <f>TRUNC(E499*F499,2)</f>
        <v>41</v>
      </c>
      <c r="H499" s="424"/>
    </row>
    <row r="500" spans="1:8" ht="15" customHeight="1">
      <c r="A500" s="1545"/>
      <c r="B500" s="1482"/>
      <c r="C500" s="430" t="s">
        <v>99</v>
      </c>
      <c r="D500" s="1424"/>
      <c r="E500" s="1426"/>
      <c r="F500" s="435">
        <f>'COMP AUX'!G88</f>
        <v>4.5600000000000005</v>
      </c>
      <c r="G500" s="433">
        <f>TRUNC(E499*F500,2)</f>
        <v>12.62</v>
      </c>
      <c r="H500" s="424"/>
    </row>
    <row r="501" spans="1:8" ht="15" customHeight="1">
      <c r="A501" s="1545">
        <v>88239</v>
      </c>
      <c r="B501" s="1468" t="s">
        <v>971</v>
      </c>
      <c r="C501" s="430" t="s">
        <v>117</v>
      </c>
      <c r="D501" s="1424" t="s">
        <v>410</v>
      </c>
      <c r="E501" s="1427">
        <v>1.0860000000000001</v>
      </c>
      <c r="F501" s="435">
        <f>'COMP AUX'!G202</f>
        <v>13.9</v>
      </c>
      <c r="G501" s="433">
        <f>TRUNC(E501*F501,2)</f>
        <v>15.09</v>
      </c>
      <c r="H501" s="424"/>
    </row>
    <row r="502" spans="1:8" ht="15" customHeight="1">
      <c r="A502" s="1545"/>
      <c r="B502" s="1469"/>
      <c r="C502" s="430" t="s">
        <v>99</v>
      </c>
      <c r="D502" s="1424"/>
      <c r="E502" s="1428"/>
      <c r="F502" s="435">
        <f>'COMP AUX'!G203</f>
        <v>4.5600000000000005</v>
      </c>
      <c r="G502" s="433">
        <f>TRUNC(E501*F502,2)</f>
        <v>4.95</v>
      </c>
      <c r="H502" s="424"/>
    </row>
    <row r="503" spans="1:8" ht="26.25" customHeight="1">
      <c r="A503" s="1012" t="s">
        <v>1687</v>
      </c>
      <c r="B503" s="1004" t="s">
        <v>1688</v>
      </c>
      <c r="C503" s="430" t="s">
        <v>99</v>
      </c>
      <c r="D503" s="1005" t="s">
        <v>1276</v>
      </c>
      <c r="E503" s="716">
        <v>1.7000000000000001E-2</v>
      </c>
      <c r="F503" s="1005">
        <v>5.55</v>
      </c>
      <c r="G503" s="433">
        <f>TRUNC(E503*F503,2)</f>
        <v>0.09</v>
      </c>
      <c r="H503" s="424"/>
    </row>
    <row r="504" spans="1:8" ht="21.75" customHeight="1">
      <c r="A504" s="1012" t="s">
        <v>2565</v>
      </c>
      <c r="B504" s="1004" t="s">
        <v>2568</v>
      </c>
      <c r="C504" s="430" t="s">
        <v>99</v>
      </c>
      <c r="D504" s="1005" t="s">
        <v>418</v>
      </c>
      <c r="E504" s="1006">
        <v>0.37</v>
      </c>
      <c r="F504" s="1005">
        <v>4.33</v>
      </c>
      <c r="G504" s="456">
        <f t="shared" ref="G504:G507" si="32">TRUNC(E504*F504,2)</f>
        <v>1.6</v>
      </c>
      <c r="H504" s="424"/>
    </row>
    <row r="505" spans="1:8" ht="24.75" customHeight="1">
      <c r="A505" s="1012" t="s">
        <v>1689</v>
      </c>
      <c r="B505" s="1004" t="s">
        <v>1582</v>
      </c>
      <c r="C505" s="430" t="s">
        <v>99</v>
      </c>
      <c r="D505" s="1005" t="s">
        <v>418</v>
      </c>
      <c r="E505" s="1006">
        <v>0.44</v>
      </c>
      <c r="F505" s="1005">
        <v>1.17</v>
      </c>
      <c r="G505" s="456">
        <f t="shared" si="32"/>
        <v>0.51</v>
      </c>
      <c r="H505" s="424"/>
    </row>
    <row r="506" spans="1:8" ht="25.5" customHeight="1">
      <c r="A506" s="1012" t="s">
        <v>2566</v>
      </c>
      <c r="B506" s="1004" t="s">
        <v>2569</v>
      </c>
      <c r="C506" s="430" t="s">
        <v>99</v>
      </c>
      <c r="D506" s="1005" t="s">
        <v>1401</v>
      </c>
      <c r="E506" s="1006">
        <v>3.9E-2</v>
      </c>
      <c r="F506" s="1005">
        <v>9.15</v>
      </c>
      <c r="G506" s="456">
        <f t="shared" si="32"/>
        <v>0.35</v>
      </c>
      <c r="H506" s="424"/>
    </row>
    <row r="507" spans="1:8" ht="22.5" customHeight="1">
      <c r="A507" s="1012" t="s">
        <v>2567</v>
      </c>
      <c r="B507" s="1004" t="s">
        <v>2570</v>
      </c>
      <c r="C507" s="430" t="s">
        <v>99</v>
      </c>
      <c r="D507" s="1005" t="s">
        <v>418</v>
      </c>
      <c r="E507" s="1006">
        <v>1.38</v>
      </c>
      <c r="F507" s="1005">
        <v>3.58</v>
      </c>
      <c r="G507" s="456">
        <f t="shared" si="32"/>
        <v>4.9400000000000004</v>
      </c>
      <c r="H507" s="424"/>
    </row>
    <row r="508" spans="1:8" ht="15" customHeight="1">
      <c r="E508" s="683"/>
      <c r="F508" s="514" t="s">
        <v>103</v>
      </c>
      <c r="G508" s="466">
        <f>G499+G501</f>
        <v>56.09</v>
      </c>
    </row>
    <row r="509" spans="1:8" ht="15" customHeight="1">
      <c r="E509" s="215"/>
      <c r="F509" s="438" t="s">
        <v>105</v>
      </c>
      <c r="G509" s="456">
        <f>G500+G502+G503+G504+G505+G506+G507</f>
        <v>25.060000000000006</v>
      </c>
    </row>
    <row r="510" spans="1:8" ht="15" customHeight="1">
      <c r="A510" s="170" t="s">
        <v>107</v>
      </c>
      <c r="E510" s="215"/>
      <c r="F510" s="438" t="s">
        <v>106</v>
      </c>
      <c r="G510" s="457">
        <f>SUM(G508:G509)</f>
        <v>81.150000000000006</v>
      </c>
    </row>
    <row r="511" spans="1:8" ht="15" customHeight="1">
      <c r="A511" s="437" t="s">
        <v>108</v>
      </c>
      <c r="B511" s="548">
        <f>G510</f>
        <v>81.150000000000006</v>
      </c>
    </row>
    <row r="512" spans="1:8" ht="15" customHeight="1">
      <c r="A512" s="542" t="s">
        <v>2654</v>
      </c>
      <c r="B512" s="541"/>
    </row>
    <row r="513" spans="1:8" ht="15" customHeight="1">
      <c r="A513" s="622" t="s">
        <v>2714</v>
      </c>
      <c r="B513" s="541">
        <f>(B511+B512)*0.245</f>
        <v>19.88175</v>
      </c>
    </row>
    <row r="514" spans="1:8" ht="15" customHeight="1">
      <c r="A514" s="437" t="s">
        <v>111</v>
      </c>
      <c r="B514" s="549">
        <f>SUM(B511:B513)</f>
        <v>101.03175</v>
      </c>
      <c r="H514" s="560"/>
    </row>
    <row r="515" spans="1:8" ht="11.25" customHeight="1">
      <c r="A515" s="516"/>
      <c r="B515" s="517"/>
      <c r="C515" s="518"/>
      <c r="D515" s="516"/>
      <c r="E515" s="517"/>
      <c r="F515" s="517"/>
      <c r="G515" s="517"/>
      <c r="H515" s="516"/>
    </row>
    <row r="516" spans="1:8" ht="11.25" customHeight="1">
      <c r="A516" s="424"/>
      <c r="B516" s="421"/>
      <c r="C516" s="423"/>
      <c r="D516" s="424"/>
      <c r="E516" s="421"/>
      <c r="F516" s="421"/>
      <c r="G516" s="421"/>
      <c r="H516" s="424"/>
    </row>
    <row r="517" spans="1:8" ht="14.1" customHeight="1">
      <c r="A517" s="170" t="s">
        <v>1258</v>
      </c>
    </row>
    <row r="518" spans="1:8" ht="14.1" customHeight="1">
      <c r="A518" s="220" t="s">
        <v>1692</v>
      </c>
    </row>
    <row r="519" spans="1:8" ht="25.5" customHeight="1">
      <c r="A519" s="505" t="s">
        <v>1649</v>
      </c>
      <c r="B519" s="505" t="s">
        <v>3149</v>
      </c>
      <c r="C519" s="506" t="s">
        <v>1398</v>
      </c>
      <c r="D519" s="505"/>
      <c r="E519" s="505"/>
      <c r="G519" s="506"/>
    </row>
    <row r="520" spans="1:8" ht="31.5" customHeight="1">
      <c r="A520" s="502" t="s">
        <v>30</v>
      </c>
      <c r="B520" s="507" t="s">
        <v>19</v>
      </c>
      <c r="C520" s="430" t="s">
        <v>92</v>
      </c>
      <c r="D520" s="650" t="s">
        <v>88</v>
      </c>
      <c r="E520" s="650" t="s">
        <v>93</v>
      </c>
      <c r="F520" s="432" t="s">
        <v>94</v>
      </c>
      <c r="G520" s="508" t="s">
        <v>95</v>
      </c>
    </row>
    <row r="521" spans="1:8" ht="15" customHeight="1">
      <c r="A521" s="1422" t="s">
        <v>1404</v>
      </c>
      <c r="B521" s="1416" t="s">
        <v>123</v>
      </c>
      <c r="C521" s="430" t="s">
        <v>117</v>
      </c>
      <c r="D521" s="1424" t="s">
        <v>410</v>
      </c>
      <c r="E521" s="1425">
        <v>2.31</v>
      </c>
      <c r="F521" s="435">
        <f>'COMP AUX'!G104</f>
        <v>11.1</v>
      </c>
      <c r="G521" s="511">
        <f>TRUNC(E521*F521,2)</f>
        <v>25.64</v>
      </c>
    </row>
    <row r="522" spans="1:8" ht="15" customHeight="1">
      <c r="A522" s="1423"/>
      <c r="B522" s="1417"/>
      <c r="C522" s="430" t="s">
        <v>99</v>
      </c>
      <c r="D522" s="1424"/>
      <c r="E522" s="1426"/>
      <c r="F522" s="435">
        <f>'COMP AUX'!G105</f>
        <v>4.5600000000000005</v>
      </c>
      <c r="G522" s="433">
        <f>TRUNC(E521*F522,2)</f>
        <v>10.53</v>
      </c>
    </row>
    <row r="523" spans="1:8" ht="15" customHeight="1">
      <c r="A523" s="1545">
        <v>88377</v>
      </c>
      <c r="B523" s="1468" t="s">
        <v>1406</v>
      </c>
      <c r="C523" s="430" t="s">
        <v>117</v>
      </c>
      <c r="D523" s="1424" t="s">
        <v>410</v>
      </c>
      <c r="E523" s="1427">
        <v>1.46</v>
      </c>
      <c r="F523" s="435">
        <f>'COMP AUX'!G861</f>
        <v>10.58</v>
      </c>
      <c r="G523" s="433">
        <f>TRUNC(E523*F523,2)</f>
        <v>15.44</v>
      </c>
    </row>
    <row r="524" spans="1:8" ht="15" customHeight="1">
      <c r="A524" s="1545"/>
      <c r="B524" s="1469"/>
      <c r="C524" s="430" t="s">
        <v>99</v>
      </c>
      <c r="D524" s="1424"/>
      <c r="E524" s="1428"/>
      <c r="F524" s="435">
        <f>'COMP AUX'!G862</f>
        <v>4.12</v>
      </c>
      <c r="G524" s="433">
        <f>TRUNC(E523*F524,2)</f>
        <v>6.01</v>
      </c>
    </row>
    <row r="525" spans="1:8" ht="38.25" customHeight="1">
      <c r="A525" s="649" t="s">
        <v>1693</v>
      </c>
      <c r="B525" s="717" t="s">
        <v>1694</v>
      </c>
      <c r="C525" s="430" t="s">
        <v>1342</v>
      </c>
      <c r="D525" s="651" t="s">
        <v>1359</v>
      </c>
      <c r="E525" s="651">
        <v>0.75</v>
      </c>
      <c r="F525" s="435">
        <f>'COMP AUX'!G1121</f>
        <v>1.04</v>
      </c>
      <c r="G525" s="456">
        <f>TRUNC(E525*F525,2)</f>
        <v>0.78</v>
      </c>
    </row>
    <row r="526" spans="1:8" ht="36.75" customHeight="1">
      <c r="A526" s="649">
        <v>88831</v>
      </c>
      <c r="B526" s="717" t="s">
        <v>1695</v>
      </c>
      <c r="C526" s="430" t="s">
        <v>1342</v>
      </c>
      <c r="D526" s="651" t="s">
        <v>1338</v>
      </c>
      <c r="E526" s="651">
        <v>0.71</v>
      </c>
      <c r="F526" s="435">
        <f>'COMP AUX'!G1172</f>
        <v>0.04</v>
      </c>
      <c r="G526" s="456">
        <f>TRUNC(E526*F526,2)</f>
        <v>0.02</v>
      </c>
    </row>
    <row r="527" spans="1:8" ht="30" customHeight="1">
      <c r="A527" s="448" t="s">
        <v>1399</v>
      </c>
      <c r="B527" s="434" t="s">
        <v>1400</v>
      </c>
      <c r="C527" s="430" t="s">
        <v>99</v>
      </c>
      <c r="D527" s="650" t="s">
        <v>1398</v>
      </c>
      <c r="E527" s="455">
        <v>0.751</v>
      </c>
      <c r="F527" s="650">
        <v>56.25</v>
      </c>
      <c r="G527" s="433">
        <f>TRUNC(E527*F527,2)</f>
        <v>42.24</v>
      </c>
    </row>
    <row r="528" spans="1:8" ht="15" customHeight="1">
      <c r="A528" s="448" t="s">
        <v>1072</v>
      </c>
      <c r="B528" s="434" t="s">
        <v>1073</v>
      </c>
      <c r="C528" s="430" t="s">
        <v>99</v>
      </c>
      <c r="D528" s="650" t="s">
        <v>1401</v>
      </c>
      <c r="E528" s="455">
        <v>362.66</v>
      </c>
      <c r="F528" s="650">
        <v>0.49</v>
      </c>
      <c r="G528" s="456">
        <f t="shared" ref="G528:G529" si="33">TRUNC(E528*F528,2)</f>
        <v>177.7</v>
      </c>
    </row>
    <row r="529" spans="1:9" ht="25.5" customHeight="1">
      <c r="A529" s="448" t="s">
        <v>1402</v>
      </c>
      <c r="B529" s="434" t="s">
        <v>1403</v>
      </c>
      <c r="C529" s="430" t="s">
        <v>99</v>
      </c>
      <c r="D529" s="650" t="s">
        <v>1398</v>
      </c>
      <c r="E529" s="455">
        <v>0.59299999999999997</v>
      </c>
      <c r="F529" s="650">
        <v>63.77</v>
      </c>
      <c r="G529" s="456">
        <f t="shared" si="33"/>
        <v>37.81</v>
      </c>
    </row>
    <row r="530" spans="1:9" ht="15" customHeight="1">
      <c r="E530" s="683"/>
      <c r="F530" s="514" t="s">
        <v>103</v>
      </c>
      <c r="G530" s="466">
        <f>G521+G523</f>
        <v>41.08</v>
      </c>
    </row>
    <row r="531" spans="1:9" ht="15" customHeight="1">
      <c r="E531" s="215"/>
      <c r="F531" s="438" t="s">
        <v>105</v>
      </c>
      <c r="G531" s="456">
        <f>G522+G524+G525+G526+G527+G528+G529</f>
        <v>275.08999999999997</v>
      </c>
    </row>
    <row r="532" spans="1:9" ht="15" customHeight="1">
      <c r="A532" s="170" t="s">
        <v>107</v>
      </c>
      <c r="E532" s="215"/>
      <c r="F532" s="438" t="s">
        <v>106</v>
      </c>
      <c r="G532" s="457">
        <f>SUM(G530:G531)</f>
        <v>316.16999999999996</v>
      </c>
    </row>
    <row r="533" spans="1:9" ht="15" customHeight="1">
      <c r="A533" s="437" t="s">
        <v>108</v>
      </c>
      <c r="B533" s="548">
        <f>G532</f>
        <v>316.16999999999996</v>
      </c>
    </row>
    <row r="534" spans="1:9" ht="15" customHeight="1">
      <c r="A534" s="542" t="s">
        <v>2654</v>
      </c>
      <c r="B534" s="541"/>
    </row>
    <row r="535" spans="1:9" ht="15" customHeight="1">
      <c r="A535" s="622" t="s">
        <v>2714</v>
      </c>
      <c r="B535" s="541">
        <f>(B533+B534)*0.245</f>
        <v>77.461649999999992</v>
      </c>
    </row>
    <row r="536" spans="1:9" ht="15" customHeight="1">
      <c r="A536" s="437" t="s">
        <v>111</v>
      </c>
      <c r="B536" s="549">
        <f>SUM(B533:B535)</f>
        <v>393.63164999999992</v>
      </c>
      <c r="H536" s="560"/>
      <c r="I536" s="170" t="s">
        <v>2659</v>
      </c>
    </row>
    <row r="537" spans="1:9" ht="11.25" customHeight="1">
      <c r="A537" s="516"/>
      <c r="B537" s="517"/>
      <c r="C537" s="518"/>
      <c r="D537" s="516"/>
      <c r="E537" s="517"/>
      <c r="F537" s="517"/>
      <c r="G537" s="517"/>
      <c r="H537" s="516"/>
    </row>
    <row r="538" spans="1:9" ht="11.25" customHeight="1">
      <c r="A538" s="424"/>
      <c r="B538" s="421"/>
      <c r="C538" s="423"/>
      <c r="D538" s="424"/>
      <c r="E538" s="421"/>
      <c r="F538" s="421"/>
      <c r="G538" s="421"/>
      <c r="H538" s="424"/>
    </row>
    <row r="539" spans="1:9" ht="14.1" customHeight="1">
      <c r="A539" s="170" t="s">
        <v>1258</v>
      </c>
    </row>
    <row r="540" spans="1:9" ht="14.1" customHeight="1">
      <c r="A540" s="220" t="s">
        <v>1697</v>
      </c>
    </row>
    <row r="541" spans="1:9" ht="18" customHeight="1">
      <c r="A541" s="505" t="s">
        <v>1536</v>
      </c>
      <c r="B541" s="505" t="s">
        <v>3150</v>
      </c>
      <c r="C541" s="1364" t="s">
        <v>1398</v>
      </c>
      <c r="E541" s="505"/>
      <c r="F541" s="170"/>
      <c r="G541" s="506"/>
    </row>
    <row r="542" spans="1:9" ht="30" customHeight="1">
      <c r="A542" s="711" t="s">
        <v>30</v>
      </c>
      <c r="B542" s="507" t="s">
        <v>19</v>
      </c>
      <c r="C542" s="430" t="s">
        <v>92</v>
      </c>
      <c r="D542" s="690" t="s">
        <v>88</v>
      </c>
      <c r="E542" s="690" t="s">
        <v>93</v>
      </c>
      <c r="F542" s="432" t="s">
        <v>94</v>
      </c>
      <c r="G542" s="508" t="s">
        <v>95</v>
      </c>
    </row>
    <row r="543" spans="1:9" ht="15.95" customHeight="1">
      <c r="A543" s="1422" t="s">
        <v>1404</v>
      </c>
      <c r="B543" s="1416" t="s">
        <v>123</v>
      </c>
      <c r="C543" s="430" t="s">
        <v>117</v>
      </c>
      <c r="D543" s="1424" t="s">
        <v>410</v>
      </c>
      <c r="E543" s="1425">
        <v>4.5</v>
      </c>
      <c r="F543" s="435">
        <f>'COMP AUX'!G104</f>
        <v>11.1</v>
      </c>
      <c r="G543" s="511">
        <f>TRUNC(E543*F543,2)</f>
        <v>49.95</v>
      </c>
    </row>
    <row r="544" spans="1:9" ht="15.95" customHeight="1">
      <c r="A544" s="1423"/>
      <c r="B544" s="1417"/>
      <c r="C544" s="430" t="s">
        <v>99</v>
      </c>
      <c r="D544" s="1424"/>
      <c r="E544" s="1426"/>
      <c r="F544" s="435">
        <f>'COMP AUX'!G105</f>
        <v>4.5600000000000005</v>
      </c>
      <c r="G544" s="433">
        <f>TRUNC(E543*F544,2)</f>
        <v>20.52</v>
      </c>
    </row>
    <row r="545" spans="1:9" ht="15.95" customHeight="1">
      <c r="A545" s="1470" t="s">
        <v>1609</v>
      </c>
      <c r="B545" s="1416" t="s">
        <v>131</v>
      </c>
      <c r="C545" s="430" t="s">
        <v>117</v>
      </c>
      <c r="D545" s="1418" t="s">
        <v>410</v>
      </c>
      <c r="E545" s="1425">
        <v>1.65</v>
      </c>
      <c r="F545" s="435">
        <f>'COMP AUX'!G151</f>
        <v>14.93</v>
      </c>
      <c r="G545" s="456">
        <f t="shared" ref="G545:G547" si="34">TRUNC(E545*F545,2)</f>
        <v>24.63</v>
      </c>
    </row>
    <row r="546" spans="1:9" ht="15.95" customHeight="1">
      <c r="A546" s="1454"/>
      <c r="B546" s="1417"/>
      <c r="C546" s="430" t="s">
        <v>99</v>
      </c>
      <c r="D546" s="1419"/>
      <c r="E546" s="1426"/>
      <c r="F546" s="435">
        <f>'COMP AUX'!G152</f>
        <v>4.5600000000000005</v>
      </c>
      <c r="G546" s="456">
        <f>TRUNC(E545*F546,2)</f>
        <v>7.52</v>
      </c>
    </row>
    <row r="547" spans="1:9" ht="24.75" customHeight="1">
      <c r="A547" s="721" t="s">
        <v>1698</v>
      </c>
      <c r="B547" s="496" t="s">
        <v>1699</v>
      </c>
      <c r="C547" s="430" t="s">
        <v>1342</v>
      </c>
      <c r="D547" s="432" t="s">
        <v>1359</v>
      </c>
      <c r="E547" s="713">
        <v>0.3</v>
      </c>
      <c r="F547" s="435">
        <f>'COMP AUX'!G1185</f>
        <v>1.0699999999999998</v>
      </c>
      <c r="G547" s="456">
        <f t="shared" si="34"/>
        <v>0.32</v>
      </c>
    </row>
    <row r="548" spans="1:9" ht="15" customHeight="1">
      <c r="E548" s="215"/>
      <c r="F548" s="514" t="s">
        <v>103</v>
      </c>
      <c r="G548" s="466">
        <f>G543+G545</f>
        <v>74.58</v>
      </c>
    </row>
    <row r="549" spans="1:9" ht="15" customHeight="1">
      <c r="E549" s="215"/>
      <c r="F549" s="438" t="s">
        <v>105</v>
      </c>
      <c r="G549" s="456">
        <f>G544+G546+G547</f>
        <v>28.36</v>
      </c>
    </row>
    <row r="550" spans="1:9" ht="15" customHeight="1">
      <c r="A550" s="170" t="s">
        <v>107</v>
      </c>
      <c r="E550" s="215"/>
      <c r="F550" s="438" t="s">
        <v>106</v>
      </c>
      <c r="G550" s="457">
        <f>SUM(G548:G549)</f>
        <v>102.94</v>
      </c>
    </row>
    <row r="551" spans="1:9" ht="15" customHeight="1">
      <c r="A551" s="437" t="s">
        <v>108</v>
      </c>
      <c r="B551" s="548">
        <f>G550</f>
        <v>102.94</v>
      </c>
    </row>
    <row r="552" spans="1:9" ht="15" customHeight="1">
      <c r="A552" s="542" t="s">
        <v>2654</v>
      </c>
      <c r="B552" s="541"/>
    </row>
    <row r="553" spans="1:9" ht="15" customHeight="1">
      <c r="A553" s="622" t="s">
        <v>2714</v>
      </c>
      <c r="B553" s="541">
        <f>(B551+B552)*0.245</f>
        <v>25.220299999999998</v>
      </c>
    </row>
    <row r="554" spans="1:9" ht="15" customHeight="1">
      <c r="A554" s="437" t="s">
        <v>111</v>
      </c>
      <c r="B554" s="549">
        <f>SUM(B551:B553)</f>
        <v>128.16030000000001</v>
      </c>
      <c r="H554" s="560"/>
      <c r="I554" s="170" t="s">
        <v>2659</v>
      </c>
    </row>
    <row r="555" spans="1:9" ht="11.25" customHeight="1">
      <c r="A555" s="516"/>
      <c r="B555" s="517"/>
      <c r="C555" s="518"/>
      <c r="D555" s="516"/>
      <c r="E555" s="517"/>
      <c r="F555" s="517"/>
      <c r="G555" s="517"/>
      <c r="H555" s="516"/>
    </row>
    <row r="556" spans="1:9" ht="11.25" customHeight="1">
      <c r="A556" s="424"/>
      <c r="B556" s="421"/>
      <c r="C556" s="423"/>
      <c r="D556" s="424"/>
      <c r="E556" s="421"/>
      <c r="F556" s="421"/>
      <c r="G556" s="421"/>
      <c r="H556" s="424"/>
    </row>
    <row r="557" spans="1:9" ht="11.25" customHeight="1">
      <c r="A557" s="170" t="s">
        <v>1258</v>
      </c>
    </row>
    <row r="558" spans="1:9" ht="11.25" customHeight="1">
      <c r="A558" s="220" t="s">
        <v>2858</v>
      </c>
    </row>
    <row r="559" spans="1:9" ht="17.25" customHeight="1">
      <c r="A559" s="505" t="s">
        <v>1536</v>
      </c>
      <c r="B559" s="1429" t="s">
        <v>3157</v>
      </c>
      <c r="C559" s="1429"/>
      <c r="D559" s="754" t="s">
        <v>1398</v>
      </c>
      <c r="E559" s="505"/>
      <c r="F559" s="170"/>
      <c r="G559" s="506"/>
    </row>
    <row r="560" spans="1:9" ht="25.5" customHeight="1">
      <c r="A560" s="751" t="s">
        <v>30</v>
      </c>
      <c r="B560" s="507" t="s">
        <v>19</v>
      </c>
      <c r="C560" s="430" t="s">
        <v>92</v>
      </c>
      <c r="D560" s="739" t="s">
        <v>88</v>
      </c>
      <c r="E560" s="739" t="s">
        <v>93</v>
      </c>
      <c r="F560" s="432" t="s">
        <v>94</v>
      </c>
      <c r="G560" s="508" t="s">
        <v>95</v>
      </c>
    </row>
    <row r="561" spans="1:9" ht="15" customHeight="1">
      <c r="A561" s="1422" t="s">
        <v>1404</v>
      </c>
      <c r="B561" s="1416" t="s">
        <v>123</v>
      </c>
      <c r="C561" s="430" t="s">
        <v>117</v>
      </c>
      <c r="D561" s="1418" t="s">
        <v>410</v>
      </c>
      <c r="E561" s="1425">
        <v>0.12</v>
      </c>
      <c r="F561" s="435">
        <f>'COMP AUX'!G104</f>
        <v>11.1</v>
      </c>
      <c r="G561" s="511">
        <f>TRUNC(E561*F561,2)</f>
        <v>1.33</v>
      </c>
    </row>
    <row r="562" spans="1:9" ht="15" customHeight="1">
      <c r="A562" s="1423"/>
      <c r="B562" s="1417"/>
      <c r="C562" s="430" t="s">
        <v>99</v>
      </c>
      <c r="D562" s="1419"/>
      <c r="E562" s="1426"/>
      <c r="F562" s="435">
        <f>'COMP AUX'!G105</f>
        <v>4.5600000000000005</v>
      </c>
      <c r="G562" s="456">
        <f>TRUNC(E561*F562,2)</f>
        <v>0.54</v>
      </c>
    </row>
    <row r="563" spans="1:9" ht="15" customHeight="1">
      <c r="A563" s="1470">
        <v>88315</v>
      </c>
      <c r="B563" s="1416" t="s">
        <v>1830</v>
      </c>
      <c r="C563" s="430" t="s">
        <v>117</v>
      </c>
      <c r="D563" s="1418" t="s">
        <v>410</v>
      </c>
      <c r="E563" s="1425">
        <v>0.12</v>
      </c>
      <c r="F563" s="435">
        <f>'COMP AUX'!G440</f>
        <v>14.81</v>
      </c>
      <c r="G563" s="456">
        <f t="shared" ref="G563" si="35">TRUNC(E563*F563,2)</f>
        <v>1.77</v>
      </c>
    </row>
    <row r="564" spans="1:9" ht="15" customHeight="1">
      <c r="A564" s="1454"/>
      <c r="B564" s="1417"/>
      <c r="C564" s="430" t="s">
        <v>99</v>
      </c>
      <c r="D564" s="1419"/>
      <c r="E564" s="1426"/>
      <c r="F564" s="435">
        <f>'COMP AUX'!G441</f>
        <v>4.5600000000000005</v>
      </c>
      <c r="G564" s="456">
        <f>TRUNC(E563*F564,2)</f>
        <v>0.54</v>
      </c>
    </row>
    <row r="565" spans="1:9" ht="18.75" customHeight="1">
      <c r="A565" s="721" t="s">
        <v>1827</v>
      </c>
      <c r="B565" s="496" t="s">
        <v>3158</v>
      </c>
      <c r="C565" s="430" t="s">
        <v>99</v>
      </c>
      <c r="D565" s="432" t="s">
        <v>1401</v>
      </c>
      <c r="E565" s="753">
        <v>1.05</v>
      </c>
      <c r="F565" s="435">
        <v>4.71</v>
      </c>
      <c r="G565" s="456">
        <f t="shared" ref="G565" si="36">TRUNC(E565*F565,2)</f>
        <v>4.9400000000000004</v>
      </c>
    </row>
    <row r="566" spans="1:9" ht="18" customHeight="1">
      <c r="A566" s="1436" t="s">
        <v>1828</v>
      </c>
      <c r="B566" s="1416" t="s">
        <v>3159</v>
      </c>
      <c r="C566" s="430" t="s">
        <v>117</v>
      </c>
      <c r="D566" s="1418" t="s">
        <v>418</v>
      </c>
      <c r="E566" s="1425">
        <v>6.0000000000000001E-3</v>
      </c>
      <c r="F566" s="435">
        <f>'COMP AUX'!G1239</f>
        <v>66.64</v>
      </c>
      <c r="G566" s="456">
        <f>TRUNC(E566*F566,2)</f>
        <v>0.39</v>
      </c>
    </row>
    <row r="567" spans="1:9" ht="18" customHeight="1">
      <c r="A567" s="1437"/>
      <c r="B567" s="1466"/>
      <c r="C567" s="430" t="s">
        <v>99</v>
      </c>
      <c r="D567" s="1419"/>
      <c r="E567" s="1426"/>
      <c r="F567" s="435">
        <f>'COMP AUX'!G1240</f>
        <v>61.190000000000005</v>
      </c>
      <c r="G567" s="456">
        <f>TRUNC(E566*F567,2)</f>
        <v>0.36</v>
      </c>
    </row>
    <row r="568" spans="1:9" ht="15" customHeight="1">
      <c r="E568" s="215"/>
      <c r="F568" s="514" t="s">
        <v>103</v>
      </c>
      <c r="G568" s="466">
        <f>G561+G563+G566</f>
        <v>3.49</v>
      </c>
    </row>
    <row r="569" spans="1:9" ht="15" customHeight="1">
      <c r="E569" s="215"/>
      <c r="F569" s="438" t="s">
        <v>105</v>
      </c>
      <c r="G569" s="456">
        <f>G562+G564+G565+G567</f>
        <v>6.3800000000000008</v>
      </c>
    </row>
    <row r="570" spans="1:9" ht="15" customHeight="1">
      <c r="A570" s="170" t="s">
        <v>107</v>
      </c>
      <c r="E570" s="215"/>
      <c r="F570" s="438" t="s">
        <v>106</v>
      </c>
      <c r="G570" s="457">
        <f>SUM(G568:G569)</f>
        <v>9.870000000000001</v>
      </c>
    </row>
    <row r="571" spans="1:9" ht="15" customHeight="1">
      <c r="A571" s="437" t="s">
        <v>108</v>
      </c>
      <c r="B571" s="548">
        <f>G570</f>
        <v>9.870000000000001</v>
      </c>
    </row>
    <row r="572" spans="1:9" ht="15" customHeight="1">
      <c r="A572" s="542" t="s">
        <v>2654</v>
      </c>
      <c r="B572" s="541"/>
    </row>
    <row r="573" spans="1:9" ht="15" customHeight="1">
      <c r="A573" s="622" t="s">
        <v>2714</v>
      </c>
      <c r="B573" s="541">
        <f>(B571+B572)*0.245</f>
        <v>2.4181500000000002</v>
      </c>
    </row>
    <row r="574" spans="1:9" ht="15" customHeight="1">
      <c r="A574" s="437" t="s">
        <v>111</v>
      </c>
      <c r="B574" s="549">
        <f>SUM(B571:B573)</f>
        <v>12.288150000000002</v>
      </c>
      <c r="H574" s="560"/>
      <c r="I574" s="170" t="s">
        <v>2659</v>
      </c>
    </row>
    <row r="575" spans="1:9" ht="11.25" customHeight="1">
      <c r="A575" s="516"/>
      <c r="B575" s="517"/>
      <c r="C575" s="518"/>
      <c r="D575" s="516"/>
      <c r="E575" s="517"/>
      <c r="F575" s="517"/>
      <c r="G575" s="517"/>
      <c r="H575" s="516"/>
    </row>
    <row r="576" spans="1:9" ht="11.25" customHeight="1">
      <c r="A576" s="424"/>
      <c r="B576" s="421"/>
      <c r="C576" s="423"/>
      <c r="D576" s="424"/>
      <c r="E576" s="421"/>
      <c r="F576" s="421"/>
      <c r="G576" s="421"/>
      <c r="H576" s="424"/>
    </row>
    <row r="577" spans="1:10" ht="11.25" customHeight="1">
      <c r="A577" s="170" t="s">
        <v>1258</v>
      </c>
      <c r="H577" s="424"/>
    </row>
    <row r="578" spans="1:10" ht="15" customHeight="1">
      <c r="A578" s="220" t="s">
        <v>3109</v>
      </c>
      <c r="H578" s="424"/>
    </row>
    <row r="579" spans="1:10" ht="30" customHeight="1">
      <c r="A579" s="505" t="s">
        <v>1536</v>
      </c>
      <c r="B579" s="505" t="s">
        <v>3107</v>
      </c>
      <c r="C579" s="1137" t="s">
        <v>1574</v>
      </c>
      <c r="E579" s="505"/>
      <c r="F579" s="170"/>
      <c r="G579" s="506"/>
      <c r="H579" s="424"/>
      <c r="J579" s="170" t="s">
        <v>3108</v>
      </c>
    </row>
    <row r="580" spans="1:10" ht="24" customHeight="1">
      <c r="A580" s="902" t="s">
        <v>30</v>
      </c>
      <c r="B580" s="507" t="s">
        <v>19</v>
      </c>
      <c r="C580" s="430" t="s">
        <v>92</v>
      </c>
      <c r="D580" s="897" t="s">
        <v>88</v>
      </c>
      <c r="E580" s="897" t="s">
        <v>93</v>
      </c>
      <c r="F580" s="432" t="s">
        <v>94</v>
      </c>
      <c r="G580" s="508" t="s">
        <v>95</v>
      </c>
      <c r="H580" s="424"/>
    </row>
    <row r="581" spans="1:10" ht="15" customHeight="1">
      <c r="A581" s="1422" t="s">
        <v>1404</v>
      </c>
      <c r="B581" s="1416" t="s">
        <v>123</v>
      </c>
      <c r="C581" s="430" t="s">
        <v>117</v>
      </c>
      <c r="D581" s="1418" t="s">
        <v>410</v>
      </c>
      <c r="E581" s="1420">
        <v>6.2E-2</v>
      </c>
      <c r="F581" s="435">
        <f>'COMP AUX'!G104</f>
        <v>11.1</v>
      </c>
      <c r="G581" s="511">
        <f>TRUNC(E581*F581,2)</f>
        <v>0.68</v>
      </c>
      <c r="H581" s="424"/>
    </row>
    <row r="582" spans="1:10" ht="15" customHeight="1">
      <c r="A582" s="1423"/>
      <c r="B582" s="1417"/>
      <c r="C582" s="430" t="s">
        <v>99</v>
      </c>
      <c r="D582" s="1419"/>
      <c r="E582" s="1421"/>
      <c r="F582" s="435">
        <f>'COMP AUX'!G105</f>
        <v>4.5600000000000005</v>
      </c>
      <c r="G582" s="456">
        <f>TRUNC(E581*F582,2)</f>
        <v>0.28000000000000003</v>
      </c>
      <c r="H582" s="424"/>
    </row>
    <row r="583" spans="1:10" ht="15" customHeight="1">
      <c r="A583" s="1414">
        <v>88323</v>
      </c>
      <c r="B583" s="1416" t="s">
        <v>931</v>
      </c>
      <c r="C583" s="430" t="s">
        <v>117</v>
      </c>
      <c r="D583" s="1418" t="s">
        <v>410</v>
      </c>
      <c r="E583" s="1420">
        <v>5.6000000000000001E-2</v>
      </c>
      <c r="F583" s="452">
        <f>'COMP AUX'!G372</f>
        <v>16.16</v>
      </c>
      <c r="G583" s="456">
        <f t="shared" ref="G583" si="37">TRUNC(E583*F583,2)</f>
        <v>0.9</v>
      </c>
      <c r="H583" s="424"/>
    </row>
    <row r="584" spans="1:10" ht="15" customHeight="1">
      <c r="A584" s="1415"/>
      <c r="B584" s="1417"/>
      <c r="C584" s="430" t="s">
        <v>99</v>
      </c>
      <c r="D584" s="1419"/>
      <c r="E584" s="1421"/>
      <c r="F584" s="452">
        <f>'COMP AUX'!G373</f>
        <v>4.5600000000000005</v>
      </c>
      <c r="G584" s="456">
        <f>TRUNC(E583*F584,2)</f>
        <v>0.25</v>
      </c>
      <c r="H584" s="424"/>
    </row>
    <row r="585" spans="1:10" ht="35.1" customHeight="1">
      <c r="A585" s="950" t="s">
        <v>2210</v>
      </c>
      <c r="B585" s="1136" t="s">
        <v>3186</v>
      </c>
      <c r="C585" s="430" t="s">
        <v>99</v>
      </c>
      <c r="D585" s="898" t="s">
        <v>2211</v>
      </c>
      <c r="E585" s="901">
        <v>4.1500000000000004</v>
      </c>
      <c r="F585" s="452">
        <v>1.1100000000000001</v>
      </c>
      <c r="G585" s="456">
        <f t="shared" ref="G585:G586" si="38">TRUNC(E585*F585,2)</f>
        <v>4.5999999999999996</v>
      </c>
      <c r="H585" s="424"/>
    </row>
    <row r="586" spans="1:10" ht="42.75" customHeight="1">
      <c r="A586" s="507">
        <v>39522</v>
      </c>
      <c r="B586" s="717" t="s">
        <v>3185</v>
      </c>
      <c r="C586" s="430" t="s">
        <v>99</v>
      </c>
      <c r="D586" s="432" t="s">
        <v>1574</v>
      </c>
      <c r="E586" s="524">
        <v>1.1459999999999999</v>
      </c>
      <c r="F586" s="452">
        <v>94.02</v>
      </c>
      <c r="G586" s="456">
        <f t="shared" si="38"/>
        <v>107.74</v>
      </c>
      <c r="H586" s="424"/>
    </row>
    <row r="587" spans="1:10" ht="15" customHeight="1">
      <c r="A587" s="1481" t="s">
        <v>2212</v>
      </c>
      <c r="B587" s="1482" t="s">
        <v>2214</v>
      </c>
      <c r="C587" s="430" t="s">
        <v>117</v>
      </c>
      <c r="D587" s="1418" t="s">
        <v>1359</v>
      </c>
      <c r="E587" s="1430">
        <v>8.9999999999999998E-4</v>
      </c>
      <c r="F587" s="452">
        <f>'COMP AUX'!G1322</f>
        <v>10.68</v>
      </c>
      <c r="G587" s="456">
        <f>TRUNC(E587*F587,2)</f>
        <v>0</v>
      </c>
      <c r="H587" s="424"/>
    </row>
    <row r="588" spans="1:10" ht="15" customHeight="1">
      <c r="A588" s="1481"/>
      <c r="B588" s="1483"/>
      <c r="C588" s="430" t="s">
        <v>99</v>
      </c>
      <c r="D588" s="1419"/>
      <c r="E588" s="1431"/>
      <c r="F588" s="452">
        <f>'COMP AUX'!G1323</f>
        <v>6.7000000000000011</v>
      </c>
      <c r="G588" s="456">
        <f>TRUNC(E587*F588,2)</f>
        <v>0</v>
      </c>
      <c r="H588" s="424"/>
    </row>
    <row r="589" spans="1:10" ht="15" customHeight="1">
      <c r="A589" s="1481" t="s">
        <v>2213</v>
      </c>
      <c r="B589" s="1482" t="s">
        <v>2215</v>
      </c>
      <c r="C589" s="430" t="s">
        <v>117</v>
      </c>
      <c r="D589" s="1418" t="s">
        <v>1338</v>
      </c>
      <c r="E589" s="1430">
        <v>1.1999999999999999E-3</v>
      </c>
      <c r="F589" s="452">
        <f>'COMP AUX'!G1401</f>
        <v>10.68</v>
      </c>
      <c r="G589" s="456">
        <f>TRUNC(E589*F589,2)</f>
        <v>0.01</v>
      </c>
      <c r="H589" s="424"/>
    </row>
    <row r="590" spans="1:10" ht="15" customHeight="1">
      <c r="A590" s="1484"/>
      <c r="B590" s="1483"/>
      <c r="C590" s="430" t="s">
        <v>99</v>
      </c>
      <c r="D590" s="1419"/>
      <c r="E590" s="1431"/>
      <c r="F590" s="452">
        <f>'COMP AUX'!G1402</f>
        <v>4.45</v>
      </c>
      <c r="G590" s="456">
        <f>TRUNC(E589*F590,2)</f>
        <v>0</v>
      </c>
      <c r="H590" s="424"/>
    </row>
    <row r="591" spans="1:10" ht="15" customHeight="1">
      <c r="E591" s="215"/>
      <c r="F591" s="514" t="s">
        <v>103</v>
      </c>
      <c r="G591" s="466">
        <f>G581+G583+G587+G589</f>
        <v>1.59</v>
      </c>
    </row>
    <row r="592" spans="1:10" ht="15" customHeight="1">
      <c r="E592" s="215"/>
      <c r="F592" s="438" t="s">
        <v>105</v>
      </c>
      <c r="G592" s="456">
        <f>G582+G584+G585+G586+G588+G590</f>
        <v>112.86999999999999</v>
      </c>
    </row>
    <row r="593" spans="1:11" ht="15" customHeight="1">
      <c r="A593" s="170" t="s">
        <v>107</v>
      </c>
      <c r="E593" s="215"/>
      <c r="F593" s="438" t="s">
        <v>106</v>
      </c>
      <c r="G593" s="457">
        <f>SUM(G591:G592)</f>
        <v>114.46</v>
      </c>
    </row>
    <row r="594" spans="1:11" ht="15" customHeight="1">
      <c r="A594" s="437" t="s">
        <v>108</v>
      </c>
      <c r="B594" s="548">
        <f>G593</f>
        <v>114.46</v>
      </c>
    </row>
    <row r="595" spans="1:11" ht="15" customHeight="1">
      <c r="A595" s="542" t="s">
        <v>2654</v>
      </c>
      <c r="B595" s="541"/>
    </row>
    <row r="596" spans="1:11" ht="15" customHeight="1">
      <c r="A596" s="622" t="s">
        <v>2714</v>
      </c>
      <c r="B596" s="541">
        <f>(B594+B595)*0.245</f>
        <v>28.042699999999996</v>
      </c>
    </row>
    <row r="597" spans="1:11" ht="15" customHeight="1">
      <c r="A597" s="437" t="s">
        <v>111</v>
      </c>
      <c r="B597" s="549">
        <f>SUM(B594:B596)</f>
        <v>142.5027</v>
      </c>
      <c r="H597" s="560"/>
      <c r="I597" s="170" t="s">
        <v>2659</v>
      </c>
    </row>
    <row r="598" spans="1:11" ht="11.25" customHeight="1">
      <c r="A598" s="516"/>
      <c r="B598" s="517"/>
      <c r="C598" s="518"/>
      <c r="D598" s="516"/>
      <c r="E598" s="517"/>
      <c r="F598" s="517"/>
      <c r="G598" s="517"/>
      <c r="H598" s="516"/>
    </row>
    <row r="599" spans="1:11" ht="11.25" customHeight="1">
      <c r="A599" s="424"/>
      <c r="B599" s="421"/>
      <c r="C599" s="423"/>
      <c r="D599" s="424"/>
      <c r="E599" s="421"/>
      <c r="F599" s="421"/>
      <c r="G599" s="421"/>
      <c r="H599" s="424"/>
    </row>
    <row r="600" spans="1:11" ht="11.25" customHeight="1">
      <c r="A600" s="170" t="s">
        <v>1258</v>
      </c>
      <c r="H600" s="424"/>
    </row>
    <row r="601" spans="1:11" ht="13.5" customHeight="1">
      <c r="A601" s="220" t="s">
        <v>2981</v>
      </c>
      <c r="H601" s="424"/>
    </row>
    <row r="602" spans="1:11" ht="24.75" customHeight="1">
      <c r="A602" s="505" t="s">
        <v>1536</v>
      </c>
      <c r="B602" s="505" t="s">
        <v>2973</v>
      </c>
      <c r="C602" s="1040" t="s">
        <v>1574</v>
      </c>
      <c r="E602" s="505"/>
      <c r="F602" s="170"/>
      <c r="G602" s="506"/>
      <c r="H602" s="424"/>
      <c r="I602" s="170" t="s">
        <v>2979</v>
      </c>
    </row>
    <row r="603" spans="1:11" ht="24" customHeight="1">
      <c r="A603" s="1223" t="s">
        <v>30</v>
      </c>
      <c r="B603" s="507" t="s">
        <v>19</v>
      </c>
      <c r="C603" s="430" t="s">
        <v>92</v>
      </c>
      <c r="D603" s="1221" t="s">
        <v>88</v>
      </c>
      <c r="E603" s="1221" t="s">
        <v>93</v>
      </c>
      <c r="F603" s="432" t="s">
        <v>94</v>
      </c>
      <c r="G603" s="508" t="s">
        <v>95</v>
      </c>
      <c r="H603" s="424"/>
    </row>
    <row r="604" spans="1:11" ht="14.1" customHeight="1">
      <c r="A604" s="1422" t="s">
        <v>1404</v>
      </c>
      <c r="B604" s="1416" t="s">
        <v>123</v>
      </c>
      <c r="C604" s="430" t="s">
        <v>117</v>
      </c>
      <c r="D604" s="1418" t="s">
        <v>410</v>
      </c>
      <c r="E604" s="1420">
        <v>0.1</v>
      </c>
      <c r="F604" s="435">
        <f>'COMP AUX'!G104</f>
        <v>11.1</v>
      </c>
      <c r="G604" s="511">
        <f>TRUNC(E604*F604,2)</f>
        <v>1.1100000000000001</v>
      </c>
      <c r="H604" s="424"/>
    </row>
    <row r="605" spans="1:11" ht="14.1" customHeight="1">
      <c r="A605" s="1423"/>
      <c r="B605" s="1417"/>
      <c r="C605" s="430" t="s">
        <v>99</v>
      </c>
      <c r="D605" s="1419"/>
      <c r="E605" s="1421"/>
      <c r="F605" s="435">
        <f>'COMP AUX'!G105</f>
        <v>4.5600000000000005</v>
      </c>
      <c r="G605" s="456">
        <f>TRUNC(E604*F605,2)</f>
        <v>0.45</v>
      </c>
      <c r="H605" s="424"/>
    </row>
    <row r="606" spans="1:11" ht="14.1" customHeight="1">
      <c r="A606" s="1414">
        <v>88309</v>
      </c>
      <c r="B606" s="1416" t="s">
        <v>131</v>
      </c>
      <c r="C606" s="430" t="s">
        <v>117</v>
      </c>
      <c r="D606" s="1418" t="s">
        <v>410</v>
      </c>
      <c r="E606" s="1420">
        <v>0.1</v>
      </c>
      <c r="F606" s="452">
        <f>'COMP AUX'!G151</f>
        <v>14.93</v>
      </c>
      <c r="G606" s="456">
        <f t="shared" ref="G606" si="39">TRUNC(E606*F606,2)</f>
        <v>1.49</v>
      </c>
      <c r="H606" s="424"/>
    </row>
    <row r="607" spans="1:11" ht="14.1" customHeight="1">
      <c r="A607" s="1415"/>
      <c r="B607" s="1417"/>
      <c r="C607" s="430" t="s">
        <v>99</v>
      </c>
      <c r="D607" s="1419"/>
      <c r="E607" s="1421"/>
      <c r="F607" s="452">
        <f>'COMP AUX'!G152</f>
        <v>4.5600000000000005</v>
      </c>
      <c r="G607" s="456">
        <f>TRUNC(E606*F607,2)</f>
        <v>0.45</v>
      </c>
      <c r="H607" s="424"/>
    </row>
    <row r="608" spans="1:11" ht="24" customHeight="1">
      <c r="A608" s="950" t="s">
        <v>90</v>
      </c>
      <c r="B608" s="1217" t="s">
        <v>2982</v>
      </c>
      <c r="C608" s="430" t="s">
        <v>99</v>
      </c>
      <c r="D608" s="1218" t="s">
        <v>1538</v>
      </c>
      <c r="E608" s="1220">
        <v>0.248</v>
      </c>
      <c r="F608" s="452">
        <v>180</v>
      </c>
      <c r="G608" s="456">
        <f t="shared" ref="G608:G610" si="40">TRUNC(E608*F608,2)</f>
        <v>44.64</v>
      </c>
      <c r="H608" s="424"/>
      <c r="K608" s="170" t="s">
        <v>2974</v>
      </c>
    </row>
    <row r="609" spans="1:13" ht="39" customHeight="1">
      <c r="A609" s="950">
        <v>1607</v>
      </c>
      <c r="B609" s="1217" t="s">
        <v>2978</v>
      </c>
      <c r="C609" s="430" t="s">
        <v>99</v>
      </c>
      <c r="D609" s="1218" t="s">
        <v>1538</v>
      </c>
      <c r="E609" s="1220">
        <v>1.42</v>
      </c>
      <c r="F609" s="452">
        <v>0.15</v>
      </c>
      <c r="G609" s="456">
        <f t="shared" si="40"/>
        <v>0.21</v>
      </c>
      <c r="H609" s="424"/>
      <c r="K609" s="170" t="s">
        <v>2975</v>
      </c>
      <c r="L609" s="1268">
        <v>180</v>
      </c>
      <c r="M609" s="170" t="s">
        <v>2976</v>
      </c>
    </row>
    <row r="610" spans="1:13" ht="26.25" customHeight="1">
      <c r="A610" s="507">
        <v>4300</v>
      </c>
      <c r="B610" s="496" t="s">
        <v>2977</v>
      </c>
      <c r="C610" s="430" t="s">
        <v>99</v>
      </c>
      <c r="D610" s="432" t="s">
        <v>1538</v>
      </c>
      <c r="E610" s="524">
        <v>1.42</v>
      </c>
      <c r="F610" s="452">
        <v>0.53</v>
      </c>
      <c r="G610" s="456">
        <f t="shared" si="40"/>
        <v>0.75</v>
      </c>
      <c r="H610" s="424"/>
    </row>
    <row r="611" spans="1:13" ht="14.1" customHeight="1">
      <c r="E611" s="215"/>
      <c r="F611" s="514" t="s">
        <v>103</v>
      </c>
      <c r="G611" s="466">
        <f>G604+G606</f>
        <v>2.6</v>
      </c>
    </row>
    <row r="612" spans="1:13" ht="14.1" customHeight="1">
      <c r="E612" s="215"/>
      <c r="F612" s="438" t="s">
        <v>105</v>
      </c>
      <c r="G612" s="456">
        <f>G605+G607+G610+G608+G609</f>
        <v>46.5</v>
      </c>
      <c r="L612" s="170">
        <f>0.9*3</f>
        <v>2.7</v>
      </c>
    </row>
    <row r="613" spans="1:13" ht="14.1" customHeight="1">
      <c r="A613" s="170" t="s">
        <v>107</v>
      </c>
      <c r="E613" s="215"/>
      <c r="F613" s="438" t="s">
        <v>106</v>
      </c>
      <c r="G613" s="457">
        <f>SUM(G611:G612)</f>
        <v>49.1</v>
      </c>
      <c r="J613" s="170">
        <f>1/L613</f>
        <v>0.24838549428713358</v>
      </c>
      <c r="L613" s="170">
        <f>3.66*1.1</f>
        <v>4.0260000000000007</v>
      </c>
      <c r="M613" s="1269">
        <f>L609/L613</f>
        <v>44.709388971684049</v>
      </c>
    </row>
    <row r="614" spans="1:13" ht="14.1" customHeight="1">
      <c r="A614" s="437" t="s">
        <v>108</v>
      </c>
      <c r="B614" s="548">
        <f>G613</f>
        <v>49.1</v>
      </c>
    </row>
    <row r="615" spans="1:13" ht="14.1" customHeight="1">
      <c r="A615" s="542" t="s">
        <v>2654</v>
      </c>
      <c r="B615" s="541"/>
    </row>
    <row r="616" spans="1:13" ht="14.1" customHeight="1">
      <c r="A616" s="622" t="s">
        <v>2714</v>
      </c>
      <c r="B616" s="541">
        <f>(B614+B615)*0.245</f>
        <v>12.029500000000001</v>
      </c>
    </row>
    <row r="617" spans="1:13" ht="14.1" customHeight="1">
      <c r="A617" s="437" t="s">
        <v>111</v>
      </c>
      <c r="B617" s="549">
        <f>SUM(B614:B616)</f>
        <v>61.1295</v>
      </c>
      <c r="H617" s="560"/>
      <c r="I617" s="170" t="s">
        <v>2659</v>
      </c>
    </row>
    <row r="618" spans="1:13" ht="11.25" customHeight="1">
      <c r="A618" s="516"/>
      <c r="B618" s="517"/>
      <c r="C618" s="518"/>
      <c r="D618" s="516"/>
      <c r="E618" s="517"/>
      <c r="F618" s="517"/>
      <c r="G618" s="517"/>
      <c r="H618" s="516"/>
    </row>
    <row r="619" spans="1:13" ht="11.25" customHeight="1">
      <c r="A619" s="424"/>
      <c r="B619" s="421"/>
      <c r="C619" s="423"/>
      <c r="D619" s="424"/>
      <c r="E619" s="421"/>
      <c r="F619" s="421"/>
      <c r="G619" s="421"/>
      <c r="H619" s="424"/>
    </row>
    <row r="620" spans="1:13" ht="11.25" customHeight="1">
      <c r="A620" s="170" t="s">
        <v>1258</v>
      </c>
      <c r="H620" s="424"/>
    </row>
    <row r="621" spans="1:13" ht="11.25" customHeight="1">
      <c r="A621" s="220" t="s">
        <v>2984</v>
      </c>
      <c r="H621" s="424"/>
      <c r="I621" s="170">
        <v>407742</v>
      </c>
      <c r="J621" s="170" t="s">
        <v>2987</v>
      </c>
    </row>
    <row r="622" spans="1:13" ht="18.75" customHeight="1">
      <c r="A622" s="505" t="s">
        <v>1536</v>
      </c>
      <c r="B622" s="505" t="s">
        <v>2970</v>
      </c>
      <c r="C622" s="722" t="s">
        <v>418</v>
      </c>
      <c r="E622" s="505"/>
      <c r="F622" s="170"/>
      <c r="G622" s="506"/>
      <c r="H622" s="424"/>
    </row>
    <row r="623" spans="1:13" ht="24" customHeight="1">
      <c r="A623" s="1223" t="s">
        <v>30</v>
      </c>
      <c r="B623" s="507" t="s">
        <v>19</v>
      </c>
      <c r="C623" s="430" t="s">
        <v>92</v>
      </c>
      <c r="D623" s="1221" t="s">
        <v>88</v>
      </c>
      <c r="E623" s="1221" t="s">
        <v>93</v>
      </c>
      <c r="F623" s="432" t="s">
        <v>94</v>
      </c>
      <c r="G623" s="508" t="s">
        <v>95</v>
      </c>
      <c r="H623" s="424"/>
    </row>
    <row r="624" spans="1:13" ht="14.1" customHeight="1">
      <c r="A624" s="1422">
        <v>88241</v>
      </c>
      <c r="B624" s="1416" t="s">
        <v>2744</v>
      </c>
      <c r="C624" s="430" t="s">
        <v>117</v>
      </c>
      <c r="D624" s="1418" t="s">
        <v>410</v>
      </c>
      <c r="E624" s="1430">
        <v>9.4200000000000006E-2</v>
      </c>
      <c r="F624" s="435">
        <f>'COMP AUX'!G53</f>
        <v>10.74</v>
      </c>
      <c r="G624" s="511">
        <f>TRUNC(E624*F624,2)</f>
        <v>1.01</v>
      </c>
      <c r="H624" s="424"/>
    </row>
    <row r="625" spans="1:9" ht="14.1" customHeight="1">
      <c r="A625" s="1423"/>
      <c r="B625" s="1417"/>
      <c r="C625" s="430" t="s">
        <v>99</v>
      </c>
      <c r="D625" s="1419"/>
      <c r="E625" s="1431"/>
      <c r="F625" s="435">
        <f>'COMP AUX'!G54</f>
        <v>4.5600000000000005</v>
      </c>
      <c r="G625" s="456">
        <f>TRUNC(E624*F625,2)</f>
        <v>0.42</v>
      </c>
      <c r="H625" s="424"/>
    </row>
    <row r="626" spans="1:9" ht="14.1" customHeight="1">
      <c r="A626" s="1414">
        <v>88262</v>
      </c>
      <c r="B626" s="1416" t="s">
        <v>1882</v>
      </c>
      <c r="C626" s="430" t="s">
        <v>117</v>
      </c>
      <c r="D626" s="1418" t="s">
        <v>410</v>
      </c>
      <c r="E626" s="1430">
        <v>9.4200000000000006E-2</v>
      </c>
      <c r="F626" s="452">
        <f>'COMP AUX'!G87</f>
        <v>14.81</v>
      </c>
      <c r="G626" s="456">
        <f t="shared" ref="G626" si="41">TRUNC(E626*F626,2)</f>
        <v>1.39</v>
      </c>
      <c r="H626" s="424"/>
    </row>
    <row r="627" spans="1:9" ht="14.1" customHeight="1">
      <c r="A627" s="1415"/>
      <c r="B627" s="1417"/>
      <c r="C627" s="430" t="s">
        <v>99</v>
      </c>
      <c r="D627" s="1419"/>
      <c r="E627" s="1431"/>
      <c r="F627" s="452">
        <f>'COMP AUX'!G88</f>
        <v>4.5600000000000005</v>
      </c>
      <c r="G627" s="456">
        <f>TRUNC(E626*F627,2)</f>
        <v>0.42</v>
      </c>
      <c r="H627" s="424"/>
    </row>
    <row r="628" spans="1:9" ht="16.5" customHeight="1">
      <c r="A628" s="950">
        <v>5061</v>
      </c>
      <c r="B628" s="1217" t="s">
        <v>3187</v>
      </c>
      <c r="C628" s="430" t="s">
        <v>99</v>
      </c>
      <c r="D628" s="1218" t="s">
        <v>1401</v>
      </c>
      <c r="E628" s="1222">
        <v>9.4000000000000004E-3</v>
      </c>
      <c r="F628" s="452">
        <v>9</v>
      </c>
      <c r="G628" s="456">
        <f t="shared" ref="G628:G629" si="42">TRUNC(E628*F628,2)</f>
        <v>0.08</v>
      </c>
      <c r="H628" s="424"/>
    </row>
    <row r="629" spans="1:9" ht="15" customHeight="1">
      <c r="A629" s="950" t="s">
        <v>90</v>
      </c>
      <c r="B629" s="1217" t="s">
        <v>2986</v>
      </c>
      <c r="C629" s="430" t="s">
        <v>99</v>
      </c>
      <c r="D629" s="1218" t="s">
        <v>418</v>
      </c>
      <c r="E629" s="1220">
        <v>1.05</v>
      </c>
      <c r="F629" s="452">
        <v>1.1599999999999999</v>
      </c>
      <c r="G629" s="456">
        <f t="shared" si="42"/>
        <v>1.21</v>
      </c>
      <c r="H629" s="424"/>
    </row>
    <row r="630" spans="1:9" ht="14.1" customHeight="1">
      <c r="E630" s="215"/>
      <c r="F630" s="1270" t="s">
        <v>103</v>
      </c>
      <c r="G630" s="466">
        <f>G624+G626</f>
        <v>2.4</v>
      </c>
    </row>
    <row r="631" spans="1:9" ht="14.1" customHeight="1">
      <c r="E631" s="215"/>
      <c r="F631" s="1271" t="s">
        <v>105</v>
      </c>
      <c r="G631" s="456">
        <f>G625+G627+G628+G629</f>
        <v>2.13</v>
      </c>
    </row>
    <row r="632" spans="1:9" ht="14.1" customHeight="1">
      <c r="A632" s="170" t="s">
        <v>107</v>
      </c>
      <c r="E632" s="215"/>
      <c r="F632" s="1271" t="s">
        <v>106</v>
      </c>
      <c r="G632" s="457">
        <f>SUM(G630:G631)</f>
        <v>4.5299999999999994</v>
      </c>
    </row>
    <row r="633" spans="1:9" ht="14.1" customHeight="1">
      <c r="A633" s="437" t="s">
        <v>108</v>
      </c>
      <c r="B633" s="548">
        <f>G632</f>
        <v>4.5299999999999994</v>
      </c>
      <c r="F633" s="1272"/>
    </row>
    <row r="634" spans="1:9" ht="14.1" customHeight="1">
      <c r="A634" s="542" t="s">
        <v>2654</v>
      </c>
      <c r="B634" s="541"/>
      <c r="F634" s="1272"/>
    </row>
    <row r="635" spans="1:9" ht="14.1" customHeight="1">
      <c r="A635" s="622" t="s">
        <v>2714</v>
      </c>
      <c r="B635" s="541">
        <f>(B633+B634)*0.245</f>
        <v>1.1098499999999998</v>
      </c>
      <c r="F635" s="1272"/>
    </row>
    <row r="636" spans="1:9" ht="14.1" customHeight="1">
      <c r="A636" s="437" t="s">
        <v>111</v>
      </c>
      <c r="B636" s="549">
        <f>SUM(B633:B635)</f>
        <v>5.6398499999999991</v>
      </c>
      <c r="F636" s="1272"/>
      <c r="H636" s="560"/>
      <c r="I636" s="170" t="s">
        <v>2659</v>
      </c>
    </row>
    <row r="637" spans="1:9" ht="11.25" customHeight="1">
      <c r="A637" s="516"/>
      <c r="B637" s="517"/>
      <c r="C637" s="518"/>
      <c r="D637" s="516"/>
      <c r="E637" s="517"/>
      <c r="F637" s="517"/>
      <c r="G637" s="517"/>
      <c r="H637" s="516"/>
    </row>
    <row r="638" spans="1:9" ht="11.25" customHeight="1">
      <c r="A638" s="424"/>
      <c r="B638" s="421"/>
      <c r="C638" s="423"/>
      <c r="D638" s="424"/>
      <c r="E638" s="421"/>
      <c r="F638" s="421"/>
      <c r="G638" s="421"/>
      <c r="H638" s="424"/>
    </row>
    <row r="639" spans="1:9" ht="11.25" customHeight="1">
      <c r="A639" s="170" t="s">
        <v>1258</v>
      </c>
      <c r="H639" s="424"/>
    </row>
    <row r="640" spans="1:9" ht="11.25" customHeight="1">
      <c r="A640" s="220" t="s">
        <v>2203</v>
      </c>
      <c r="H640" s="424"/>
    </row>
    <row r="641" spans="1:9" ht="19.5" customHeight="1">
      <c r="A641" s="505" t="s">
        <v>1536</v>
      </c>
      <c r="B641" s="505" t="s">
        <v>2209</v>
      </c>
      <c r="C641" s="903" t="s">
        <v>1574</v>
      </c>
      <c r="E641" s="505"/>
      <c r="F641" s="170"/>
      <c r="G641" s="506"/>
      <c r="H641" s="424"/>
    </row>
    <row r="642" spans="1:9" ht="24.75" customHeight="1">
      <c r="A642" s="902" t="s">
        <v>30</v>
      </c>
      <c r="B642" s="507" t="s">
        <v>19</v>
      </c>
      <c r="C642" s="430" t="s">
        <v>92</v>
      </c>
      <c r="D642" s="897" t="s">
        <v>88</v>
      </c>
      <c r="E642" s="897" t="s">
        <v>93</v>
      </c>
      <c r="F642" s="432" t="s">
        <v>94</v>
      </c>
      <c r="G642" s="508" t="s">
        <v>95</v>
      </c>
      <c r="H642" s="424"/>
    </row>
    <row r="643" spans="1:9" ht="15" customHeight="1">
      <c r="A643" s="1422" t="s">
        <v>1404</v>
      </c>
      <c r="B643" s="1416" t="s">
        <v>123</v>
      </c>
      <c r="C643" s="430" t="s">
        <v>117</v>
      </c>
      <c r="D643" s="1418" t="s">
        <v>410</v>
      </c>
      <c r="E643" s="1420">
        <v>0.1</v>
      </c>
      <c r="F643" s="435">
        <f>'COMP AUX'!G104</f>
        <v>11.1</v>
      </c>
      <c r="G643" s="511">
        <f>TRUNC(E643*F643,2)</f>
        <v>1.1100000000000001</v>
      </c>
      <c r="H643" s="424"/>
    </row>
    <row r="644" spans="1:9" ht="15" customHeight="1">
      <c r="A644" s="1423"/>
      <c r="B644" s="1417"/>
      <c r="C644" s="430" t="s">
        <v>99</v>
      </c>
      <c r="D644" s="1419"/>
      <c r="E644" s="1421"/>
      <c r="F644" s="435">
        <f>'COMP AUX'!G105</f>
        <v>4.5600000000000005</v>
      </c>
      <c r="G644" s="456">
        <f>TRUNC(E643*F644,2)</f>
        <v>0.45</v>
      </c>
      <c r="H644" s="424"/>
    </row>
    <row r="645" spans="1:9" ht="15" customHeight="1">
      <c r="A645" s="1414">
        <v>88262</v>
      </c>
      <c r="B645" s="1416" t="s">
        <v>1882</v>
      </c>
      <c r="C645" s="430" t="s">
        <v>117</v>
      </c>
      <c r="D645" s="1418" t="s">
        <v>410</v>
      </c>
      <c r="E645" s="1420">
        <v>0.1</v>
      </c>
      <c r="F645" s="452">
        <f>'COMP AUX'!G87</f>
        <v>14.81</v>
      </c>
      <c r="G645" s="456">
        <f t="shared" ref="G645" si="43">TRUNC(E645*F645,2)</f>
        <v>1.48</v>
      </c>
      <c r="H645" s="424"/>
    </row>
    <row r="646" spans="1:9" ht="15" customHeight="1">
      <c r="A646" s="1415"/>
      <c r="B646" s="1417"/>
      <c r="C646" s="430" t="s">
        <v>99</v>
      </c>
      <c r="D646" s="1419"/>
      <c r="E646" s="1421"/>
      <c r="F646" s="452">
        <f>'COMP AUX'!G88</f>
        <v>4.5600000000000005</v>
      </c>
      <c r="G646" s="456">
        <f>TRUNC(E645*F646,2)</f>
        <v>0.45</v>
      </c>
      <c r="H646" s="424"/>
    </row>
    <row r="647" spans="1:9" ht="15" customHeight="1">
      <c r="A647" s="721" t="s">
        <v>90</v>
      </c>
      <c r="B647" s="496" t="s">
        <v>2208</v>
      </c>
      <c r="C647" s="430" t="s">
        <v>99</v>
      </c>
      <c r="D647" s="432" t="s">
        <v>1574</v>
      </c>
      <c r="E647" s="524">
        <v>1.05</v>
      </c>
      <c r="F647" s="452">
        <v>18.05</v>
      </c>
      <c r="G647" s="456">
        <f t="shared" ref="G647" si="44">TRUNC(E647*F647,2)</f>
        <v>18.95</v>
      </c>
      <c r="H647" s="424"/>
    </row>
    <row r="648" spans="1:9" ht="15" customHeight="1">
      <c r="E648" s="215"/>
      <c r="F648" s="514" t="s">
        <v>103</v>
      </c>
      <c r="G648" s="466">
        <f>G643+G646</f>
        <v>1.56</v>
      </c>
    </row>
    <row r="649" spans="1:9" ht="15" customHeight="1">
      <c r="E649" s="215"/>
      <c r="F649" s="438" t="s">
        <v>105</v>
      </c>
      <c r="G649" s="456">
        <f>G644+G646+G647</f>
        <v>19.849999999999998</v>
      </c>
    </row>
    <row r="650" spans="1:9" ht="15" customHeight="1">
      <c r="A650" s="170" t="s">
        <v>107</v>
      </c>
      <c r="E650" s="215"/>
      <c r="F650" s="438" t="s">
        <v>106</v>
      </c>
      <c r="G650" s="457">
        <f>SUM(G648:G649)</f>
        <v>21.409999999999997</v>
      </c>
    </row>
    <row r="651" spans="1:9" ht="15" customHeight="1">
      <c r="A651" s="437" t="s">
        <v>108</v>
      </c>
      <c r="B651" s="548">
        <f>G650</f>
        <v>21.409999999999997</v>
      </c>
    </row>
    <row r="652" spans="1:9" ht="15" customHeight="1">
      <c r="A652" s="542" t="s">
        <v>2654</v>
      </c>
      <c r="B652" s="541"/>
    </row>
    <row r="653" spans="1:9" ht="15" customHeight="1">
      <c r="A653" s="622" t="s">
        <v>2714</v>
      </c>
      <c r="B653" s="541">
        <f>(B651+B652)*0.245</f>
        <v>5.2454499999999991</v>
      </c>
    </row>
    <row r="654" spans="1:9" ht="15" customHeight="1">
      <c r="A654" s="437" t="s">
        <v>111</v>
      </c>
      <c r="B654" s="549">
        <f>SUM(B651:B653)</f>
        <v>26.655449999999995</v>
      </c>
      <c r="H654" s="560"/>
      <c r="I654" s="170" t="s">
        <v>2659</v>
      </c>
    </row>
    <row r="655" spans="1:9" ht="11.25" customHeight="1">
      <c r="A655" s="516"/>
      <c r="B655" s="517"/>
      <c r="C655" s="518"/>
      <c r="D655" s="516"/>
      <c r="E655" s="517"/>
      <c r="F655" s="517"/>
      <c r="G655" s="517"/>
      <c r="H655" s="516"/>
    </row>
    <row r="656" spans="1:9" ht="11.25" customHeight="1">
      <c r="A656" s="424"/>
      <c r="B656" s="421"/>
      <c r="C656" s="423"/>
      <c r="D656" s="424"/>
      <c r="E656" s="421"/>
      <c r="F656" s="421"/>
      <c r="G656" s="421"/>
      <c r="H656" s="424"/>
    </row>
    <row r="657" spans="1:13" ht="11.25" customHeight="1">
      <c r="A657" s="170" t="s">
        <v>1258</v>
      </c>
      <c r="H657" s="424"/>
    </row>
    <row r="658" spans="1:13" ht="11.25" customHeight="1">
      <c r="A658" s="220" t="s">
        <v>2206</v>
      </c>
      <c r="H658" s="424"/>
    </row>
    <row r="659" spans="1:13" ht="16.5" customHeight="1">
      <c r="A659" s="505" t="s">
        <v>1536</v>
      </c>
      <c r="B659" s="505" t="s">
        <v>2201</v>
      </c>
      <c r="C659" s="903" t="s">
        <v>418</v>
      </c>
      <c r="E659" s="505"/>
      <c r="F659" s="170"/>
      <c r="G659" s="506"/>
      <c r="H659" s="424"/>
    </row>
    <row r="660" spans="1:13" ht="25.5" customHeight="1">
      <c r="A660" s="902" t="s">
        <v>30</v>
      </c>
      <c r="B660" s="507" t="s">
        <v>19</v>
      </c>
      <c r="C660" s="430" t="s">
        <v>92</v>
      </c>
      <c r="D660" s="897" t="s">
        <v>88</v>
      </c>
      <c r="E660" s="897" t="s">
        <v>93</v>
      </c>
      <c r="F660" s="432" t="s">
        <v>94</v>
      </c>
      <c r="G660" s="508" t="s">
        <v>95</v>
      </c>
      <c r="H660" s="424"/>
    </row>
    <row r="661" spans="1:13" ht="15" customHeight="1">
      <c r="A661" s="1422" t="s">
        <v>1404</v>
      </c>
      <c r="B661" s="1416" t="s">
        <v>123</v>
      </c>
      <c r="C661" s="430" t="s">
        <v>117</v>
      </c>
      <c r="D661" s="1418" t="s">
        <v>410</v>
      </c>
      <c r="E661" s="1420">
        <v>0.14000000000000001</v>
      </c>
      <c r="F661" s="435">
        <f>'COMP AUX'!G104</f>
        <v>11.1</v>
      </c>
      <c r="G661" s="511">
        <f>TRUNC(E661*F661,2)</f>
        <v>1.55</v>
      </c>
      <c r="H661" s="424"/>
    </row>
    <row r="662" spans="1:13" ht="15" customHeight="1">
      <c r="A662" s="1423"/>
      <c r="B662" s="1417"/>
      <c r="C662" s="430" t="s">
        <v>99</v>
      </c>
      <c r="D662" s="1419"/>
      <c r="E662" s="1421"/>
      <c r="F662" s="435">
        <f>'COMP AUX'!G105</f>
        <v>4.5600000000000005</v>
      </c>
      <c r="G662" s="456">
        <f>TRUNC(E661*F662,2)</f>
        <v>0.63</v>
      </c>
      <c r="H662" s="424"/>
    </row>
    <row r="663" spans="1:13" ht="15" customHeight="1">
      <c r="A663" s="1470">
        <v>88315</v>
      </c>
      <c r="B663" s="1416" t="s">
        <v>1830</v>
      </c>
      <c r="C663" s="430" t="s">
        <v>117</v>
      </c>
      <c r="D663" s="1418" t="s">
        <v>410</v>
      </c>
      <c r="E663" s="1420">
        <v>0.14000000000000001</v>
      </c>
      <c r="F663" s="435">
        <f>'COMP AUX'!G440</f>
        <v>14.81</v>
      </c>
      <c r="G663" s="456">
        <f t="shared" ref="G663" si="45">TRUNC(E663*F663,2)</f>
        <v>2.0699999999999998</v>
      </c>
      <c r="H663" s="424"/>
      <c r="L663" s="170" t="s">
        <v>2829</v>
      </c>
      <c r="M663" s="425"/>
    </row>
    <row r="664" spans="1:13" ht="15" customHeight="1">
      <c r="A664" s="1454"/>
      <c r="B664" s="1417"/>
      <c r="C664" s="430" t="s">
        <v>99</v>
      </c>
      <c r="D664" s="1419"/>
      <c r="E664" s="1421"/>
      <c r="F664" s="435">
        <f>'COMP AUX'!G441</f>
        <v>4.5600000000000005</v>
      </c>
      <c r="G664" s="456">
        <f>TRUNC(E663*F664,2)</f>
        <v>0.63</v>
      </c>
      <c r="H664" s="424"/>
      <c r="L664" s="425" t="s">
        <v>2823</v>
      </c>
      <c r="M664" s="425"/>
    </row>
    <row r="665" spans="1:13" ht="15" customHeight="1">
      <c r="A665" s="721" t="s">
        <v>90</v>
      </c>
      <c r="B665" s="496" t="s">
        <v>2202</v>
      </c>
      <c r="C665" s="430" t="s">
        <v>99</v>
      </c>
      <c r="D665" s="432" t="s">
        <v>418</v>
      </c>
      <c r="E665" s="524">
        <v>1.05</v>
      </c>
      <c r="F665" s="452">
        <f>(1.35+1.4+1.6)/3</f>
        <v>1.45</v>
      </c>
      <c r="G665" s="456">
        <f t="shared" ref="G665" si="46">TRUNC(E665*F665,2)</f>
        <v>1.52</v>
      </c>
      <c r="H665" s="424"/>
      <c r="J665" s="425" t="s">
        <v>2821</v>
      </c>
      <c r="K665" s="1141" t="s">
        <v>2822</v>
      </c>
      <c r="L665" s="425">
        <v>1.35</v>
      </c>
    </row>
    <row r="666" spans="1:13" ht="15" customHeight="1">
      <c r="E666" s="215"/>
      <c r="F666" s="514" t="s">
        <v>103</v>
      </c>
      <c r="G666" s="466">
        <f>G661+G663</f>
        <v>3.62</v>
      </c>
      <c r="J666" s="868" t="s">
        <v>2824</v>
      </c>
      <c r="K666" s="1141" t="s">
        <v>2825</v>
      </c>
      <c r="L666" s="1142">
        <v>1.4</v>
      </c>
    </row>
    <row r="667" spans="1:13" ht="15" customHeight="1">
      <c r="E667" s="215"/>
      <c r="F667" s="438" t="s">
        <v>105</v>
      </c>
      <c r="G667" s="456">
        <f>G662+G664+G665</f>
        <v>2.7800000000000002</v>
      </c>
      <c r="J667" s="170" t="s">
        <v>2827</v>
      </c>
      <c r="K667" s="1141" t="s">
        <v>2826</v>
      </c>
      <c r="L667" s="1142">
        <v>1.6</v>
      </c>
    </row>
    <row r="668" spans="1:13" ht="15" customHeight="1">
      <c r="A668" s="170" t="s">
        <v>107</v>
      </c>
      <c r="E668" s="215"/>
      <c r="F668" s="438" t="s">
        <v>106</v>
      </c>
      <c r="G668" s="457">
        <f>SUM(G666:G667)</f>
        <v>6.4</v>
      </c>
    </row>
    <row r="669" spans="1:13" ht="15" customHeight="1">
      <c r="A669" s="437" t="s">
        <v>108</v>
      </c>
      <c r="B669" s="548">
        <f>G668</f>
        <v>6.4</v>
      </c>
    </row>
    <row r="670" spans="1:13" ht="15" customHeight="1">
      <c r="A670" s="542" t="s">
        <v>2654</v>
      </c>
      <c r="B670" s="541"/>
    </row>
    <row r="671" spans="1:13" ht="15" customHeight="1">
      <c r="A671" s="622" t="s">
        <v>2714</v>
      </c>
      <c r="B671" s="541">
        <f>(B669+B670)*0.245</f>
        <v>1.5680000000000001</v>
      </c>
    </row>
    <row r="672" spans="1:13" ht="15" customHeight="1">
      <c r="A672" s="437" t="s">
        <v>111</v>
      </c>
      <c r="B672" s="549">
        <f>SUM(B669:B671)</f>
        <v>7.968</v>
      </c>
      <c r="H672" s="560"/>
      <c r="I672" s="170" t="s">
        <v>2659</v>
      </c>
    </row>
    <row r="673" spans="1:12" ht="11.25" customHeight="1">
      <c r="A673" s="516"/>
      <c r="B673" s="517"/>
      <c r="C673" s="518"/>
      <c r="D673" s="516"/>
      <c r="E673" s="517"/>
      <c r="F673" s="517"/>
      <c r="G673" s="517"/>
      <c r="H673" s="516"/>
    </row>
    <row r="674" spans="1:12" ht="11.25" customHeight="1">
      <c r="A674" s="424"/>
      <c r="B674" s="421"/>
      <c r="C674" s="423"/>
      <c r="D674" s="424"/>
      <c r="E674" s="421"/>
      <c r="F674" s="421"/>
      <c r="G674" s="421"/>
      <c r="H674" s="424"/>
    </row>
    <row r="675" spans="1:12" ht="11.25" customHeight="1">
      <c r="A675" s="170" t="s">
        <v>1258</v>
      </c>
      <c r="H675" s="424"/>
    </row>
    <row r="676" spans="1:12" ht="11.25" customHeight="1">
      <c r="A676" s="220" t="s">
        <v>2802</v>
      </c>
      <c r="H676" s="424"/>
    </row>
    <row r="677" spans="1:12" ht="18" customHeight="1">
      <c r="A677" s="505" t="s">
        <v>1536</v>
      </c>
      <c r="B677" s="505" t="s">
        <v>2204</v>
      </c>
      <c r="C677" s="903" t="s">
        <v>1538</v>
      </c>
      <c r="E677" s="505"/>
      <c r="F677" s="170"/>
      <c r="G677" s="506"/>
      <c r="H677" s="424"/>
    </row>
    <row r="678" spans="1:12" ht="29.25" customHeight="1">
      <c r="A678" s="902" t="s">
        <v>30</v>
      </c>
      <c r="B678" s="507" t="s">
        <v>19</v>
      </c>
      <c r="C678" s="430" t="s">
        <v>92</v>
      </c>
      <c r="D678" s="897" t="s">
        <v>88</v>
      </c>
      <c r="E678" s="897" t="s">
        <v>93</v>
      </c>
      <c r="F678" s="432" t="s">
        <v>94</v>
      </c>
      <c r="G678" s="508" t="s">
        <v>95</v>
      </c>
      <c r="H678" s="424"/>
    </row>
    <row r="679" spans="1:12" ht="15" customHeight="1">
      <c r="A679" s="1422" t="s">
        <v>1404</v>
      </c>
      <c r="B679" s="1416" t="s">
        <v>123</v>
      </c>
      <c r="C679" s="430" t="s">
        <v>117</v>
      </c>
      <c r="D679" s="1418" t="s">
        <v>410</v>
      </c>
      <c r="E679" s="1420">
        <v>0.46</v>
      </c>
      <c r="F679" s="435">
        <f>'COMP AUX'!G104</f>
        <v>11.1</v>
      </c>
      <c r="G679" s="511">
        <f>TRUNC(E679*F679,2)</f>
        <v>5.0999999999999996</v>
      </c>
      <c r="H679" s="424"/>
    </row>
    <row r="680" spans="1:12" ht="15" customHeight="1">
      <c r="A680" s="1423"/>
      <c r="B680" s="1417"/>
      <c r="C680" s="430" t="s">
        <v>99</v>
      </c>
      <c r="D680" s="1419"/>
      <c r="E680" s="1421"/>
      <c r="F680" s="435">
        <f>'COMP AUX'!G105</f>
        <v>4.5600000000000005</v>
      </c>
      <c r="G680" s="456">
        <f>TRUNC(E679*F680,2)</f>
        <v>2.09</v>
      </c>
      <c r="H680" s="424"/>
    </row>
    <row r="681" spans="1:12" ht="15" customHeight="1">
      <c r="A681" s="1470">
        <v>88315</v>
      </c>
      <c r="B681" s="1416" t="s">
        <v>1830</v>
      </c>
      <c r="C681" s="430" t="s">
        <v>117</v>
      </c>
      <c r="D681" s="1418" t="s">
        <v>410</v>
      </c>
      <c r="E681" s="1420">
        <v>0.46</v>
      </c>
      <c r="F681" s="435">
        <f>'COMP AUX'!G440</f>
        <v>14.81</v>
      </c>
      <c r="G681" s="456">
        <f t="shared" ref="G681" si="47">TRUNC(E681*F681,2)</f>
        <v>6.81</v>
      </c>
      <c r="H681" s="424"/>
    </row>
    <row r="682" spans="1:12" ht="15" customHeight="1">
      <c r="A682" s="1454"/>
      <c r="B682" s="1417"/>
      <c r="C682" s="430" t="s">
        <v>99</v>
      </c>
      <c r="D682" s="1419"/>
      <c r="E682" s="1421"/>
      <c r="F682" s="435">
        <f>'COMP AUX'!G441</f>
        <v>4.5600000000000005</v>
      </c>
      <c r="G682" s="456">
        <f>TRUNC(E681*F682,2)</f>
        <v>2.09</v>
      </c>
      <c r="H682" s="424"/>
      <c r="L682" s="170" t="s">
        <v>2831</v>
      </c>
    </row>
    <row r="683" spans="1:12" ht="15" customHeight="1">
      <c r="A683" s="721" t="s">
        <v>90</v>
      </c>
      <c r="B683" s="496" t="s">
        <v>2828</v>
      </c>
      <c r="C683" s="430" t="s">
        <v>99</v>
      </c>
      <c r="D683" s="432" t="s">
        <v>1538</v>
      </c>
      <c r="E683" s="524">
        <v>1</v>
      </c>
      <c r="F683" s="452">
        <f>(3.8+3.3+5.2)/3</f>
        <v>4.1000000000000005</v>
      </c>
      <c r="G683" s="456">
        <f t="shared" ref="G683" si="48">TRUNC(E683*F683,2)</f>
        <v>4.0999999999999996</v>
      </c>
      <c r="H683" s="424"/>
      <c r="L683" s="170" t="s">
        <v>2830</v>
      </c>
    </row>
    <row r="684" spans="1:12" ht="15" customHeight="1">
      <c r="E684" s="215"/>
      <c r="F684" s="514" t="s">
        <v>103</v>
      </c>
      <c r="G684" s="466">
        <f>G679+G681</f>
        <v>11.91</v>
      </c>
      <c r="L684" s="425" t="s">
        <v>2823</v>
      </c>
    </row>
    <row r="685" spans="1:12" ht="15" customHeight="1">
      <c r="E685" s="215"/>
      <c r="F685" s="438" t="s">
        <v>105</v>
      </c>
      <c r="G685" s="456">
        <f>G680+G682+G683</f>
        <v>8.2799999999999994</v>
      </c>
      <c r="J685" s="425" t="s">
        <v>2821</v>
      </c>
      <c r="K685" s="1141" t="s">
        <v>2822</v>
      </c>
      <c r="L685" s="1142">
        <v>3.8</v>
      </c>
    </row>
    <row r="686" spans="1:12" ht="15" customHeight="1">
      <c r="A686" s="170" t="s">
        <v>107</v>
      </c>
      <c r="E686" s="215"/>
      <c r="F686" s="438" t="s">
        <v>106</v>
      </c>
      <c r="G686" s="457">
        <f>SUM(G684:G685)</f>
        <v>20.189999999999998</v>
      </c>
      <c r="J686" s="868" t="s">
        <v>2824</v>
      </c>
      <c r="K686" s="1141" t="s">
        <v>2825</v>
      </c>
      <c r="L686" s="1142">
        <v>3.3</v>
      </c>
    </row>
    <row r="687" spans="1:12" ht="15" customHeight="1">
      <c r="A687" s="437" t="s">
        <v>108</v>
      </c>
      <c r="B687" s="548">
        <f>G686</f>
        <v>20.189999999999998</v>
      </c>
      <c r="J687" s="170" t="s">
        <v>2827</v>
      </c>
      <c r="K687" s="1141" t="s">
        <v>2826</v>
      </c>
      <c r="L687" s="1142">
        <v>5.2</v>
      </c>
    </row>
    <row r="688" spans="1:12" ht="15" customHeight="1">
      <c r="A688" s="542" t="s">
        <v>2654</v>
      </c>
      <c r="B688" s="541"/>
    </row>
    <row r="689" spans="1:9" ht="15" customHeight="1">
      <c r="A689" s="622" t="s">
        <v>2714</v>
      </c>
      <c r="B689" s="541">
        <f>(B687+B688)*0.245</f>
        <v>4.9465499999999993</v>
      </c>
    </row>
    <row r="690" spans="1:9" ht="15" customHeight="1">
      <c r="A690" s="437" t="s">
        <v>111</v>
      </c>
      <c r="B690" s="549">
        <f>SUM(B687:B689)</f>
        <v>25.136549999999996</v>
      </c>
      <c r="H690" s="560"/>
      <c r="I690" s="170" t="s">
        <v>2659</v>
      </c>
    </row>
    <row r="691" spans="1:9" ht="11.25" customHeight="1">
      <c r="A691" s="516"/>
      <c r="B691" s="517"/>
      <c r="C691" s="518"/>
      <c r="D691" s="516"/>
      <c r="E691" s="517"/>
      <c r="F691" s="517"/>
      <c r="G691" s="517"/>
      <c r="H691" s="516"/>
    </row>
    <row r="692" spans="1:9" ht="11.25" customHeight="1">
      <c r="A692" s="424"/>
      <c r="B692" s="421"/>
      <c r="C692" s="423"/>
      <c r="D692" s="424"/>
      <c r="E692" s="421"/>
      <c r="F692" s="421"/>
      <c r="G692" s="421"/>
      <c r="H692" s="424"/>
    </row>
    <row r="693" spans="1:9" ht="11.25" customHeight="1">
      <c r="A693" s="170" t="s">
        <v>1258</v>
      </c>
      <c r="H693" s="424"/>
    </row>
    <row r="694" spans="1:9" ht="11.25" customHeight="1">
      <c r="A694" s="220" t="s">
        <v>2217</v>
      </c>
      <c r="H694" s="424"/>
    </row>
    <row r="695" spans="1:9" ht="24.75" customHeight="1">
      <c r="A695" s="505" t="s">
        <v>1536</v>
      </c>
      <c r="B695" s="505" t="s">
        <v>3188</v>
      </c>
      <c r="C695" s="903" t="s">
        <v>418</v>
      </c>
      <c r="E695" s="505"/>
      <c r="F695" s="170"/>
      <c r="G695" s="506"/>
      <c r="H695" s="424"/>
    </row>
    <row r="696" spans="1:9" ht="28.5" customHeight="1">
      <c r="A696" s="902" t="s">
        <v>30</v>
      </c>
      <c r="B696" s="507" t="s">
        <v>19</v>
      </c>
      <c r="C696" s="430" t="s">
        <v>92</v>
      </c>
      <c r="D696" s="897" t="s">
        <v>88</v>
      </c>
      <c r="E696" s="897" t="s">
        <v>93</v>
      </c>
      <c r="F696" s="432" t="s">
        <v>94</v>
      </c>
      <c r="G696" s="508" t="s">
        <v>95</v>
      </c>
      <c r="H696" s="424"/>
    </row>
    <row r="697" spans="1:9" ht="28.5" customHeight="1">
      <c r="A697" s="899" t="s">
        <v>586</v>
      </c>
      <c r="B697" s="896" t="s">
        <v>587</v>
      </c>
      <c r="C697" s="430" t="s">
        <v>99</v>
      </c>
      <c r="D697" s="900" t="s">
        <v>2219</v>
      </c>
      <c r="E697" s="900">
        <v>0.161</v>
      </c>
      <c r="F697" s="432">
        <v>28.24</v>
      </c>
      <c r="G697" s="508">
        <f t="shared" ref="G697:G701" si="49">TRUNC(E697*F697,2)</f>
        <v>4.54</v>
      </c>
      <c r="H697" s="424"/>
    </row>
    <row r="698" spans="1:9" ht="28.5" customHeight="1">
      <c r="A698" s="899" t="s">
        <v>921</v>
      </c>
      <c r="B698" s="896" t="s">
        <v>3187</v>
      </c>
      <c r="C698" s="430" t="s">
        <v>99</v>
      </c>
      <c r="D698" s="900" t="s">
        <v>1401</v>
      </c>
      <c r="E698" s="900">
        <v>2.5000000000000001E-2</v>
      </c>
      <c r="F698" s="501">
        <v>9</v>
      </c>
      <c r="G698" s="508">
        <f t="shared" si="49"/>
        <v>0.22</v>
      </c>
      <c r="H698" s="424"/>
    </row>
    <row r="699" spans="1:9" ht="28.5" customHeight="1">
      <c r="A699" s="899" t="s">
        <v>924</v>
      </c>
      <c r="B699" s="896" t="s">
        <v>925</v>
      </c>
      <c r="C699" s="430" t="s">
        <v>99</v>
      </c>
      <c r="D699" s="900" t="s">
        <v>1401</v>
      </c>
      <c r="E699" s="900">
        <v>4.8999999999999998E-3</v>
      </c>
      <c r="F699" s="432">
        <v>35.71</v>
      </c>
      <c r="G699" s="508">
        <f t="shared" si="49"/>
        <v>0.17</v>
      </c>
      <c r="H699" s="424"/>
    </row>
    <row r="700" spans="1:9" ht="28.5" customHeight="1">
      <c r="A700" s="899" t="s">
        <v>910</v>
      </c>
      <c r="B700" s="896" t="s">
        <v>911</v>
      </c>
      <c r="C700" s="430" t="s">
        <v>99</v>
      </c>
      <c r="D700" s="900" t="s">
        <v>1401</v>
      </c>
      <c r="E700" s="900">
        <v>0.18</v>
      </c>
      <c r="F700" s="432">
        <v>58.39</v>
      </c>
      <c r="G700" s="508">
        <f t="shared" si="49"/>
        <v>10.51</v>
      </c>
      <c r="H700" s="424"/>
    </row>
    <row r="701" spans="1:9" ht="28.5" customHeight="1">
      <c r="A701" s="899" t="s">
        <v>2218</v>
      </c>
      <c r="B701" s="896" t="s">
        <v>3189</v>
      </c>
      <c r="C701" s="430" t="s">
        <v>99</v>
      </c>
      <c r="D701" s="900" t="s">
        <v>418</v>
      </c>
      <c r="E701" s="900">
        <v>1.05</v>
      </c>
      <c r="F701" s="432">
        <v>49.45</v>
      </c>
      <c r="G701" s="508">
        <f t="shared" si="49"/>
        <v>51.92</v>
      </c>
      <c r="H701" s="424"/>
    </row>
    <row r="702" spans="1:9" ht="15" customHeight="1">
      <c r="A702" s="1422" t="s">
        <v>1404</v>
      </c>
      <c r="B702" s="1416" t="s">
        <v>123</v>
      </c>
      <c r="C702" s="430" t="s">
        <v>117</v>
      </c>
      <c r="D702" s="1418" t="s">
        <v>410</v>
      </c>
      <c r="E702" s="1420">
        <v>0.63300000000000001</v>
      </c>
      <c r="F702" s="435">
        <f>'COMP AUX'!G104</f>
        <v>11.1</v>
      </c>
      <c r="G702" s="511">
        <f>TRUNC(E702*F702,2)</f>
        <v>7.02</v>
      </c>
      <c r="H702" s="424"/>
    </row>
    <row r="703" spans="1:9" ht="15" customHeight="1">
      <c r="A703" s="1423"/>
      <c r="B703" s="1417"/>
      <c r="C703" s="430" t="s">
        <v>99</v>
      </c>
      <c r="D703" s="1419"/>
      <c r="E703" s="1421"/>
      <c r="F703" s="435">
        <f>'COMP AUX'!G105</f>
        <v>4.5600000000000005</v>
      </c>
      <c r="G703" s="456">
        <f>TRUNC(E702*F703,2)</f>
        <v>2.88</v>
      </c>
      <c r="H703" s="424"/>
    </row>
    <row r="704" spans="1:9" ht="15" customHeight="1">
      <c r="A704" s="1414">
        <v>88323</v>
      </c>
      <c r="B704" s="1416" t="s">
        <v>931</v>
      </c>
      <c r="C704" s="430" t="s">
        <v>117</v>
      </c>
      <c r="D704" s="1418" t="s">
        <v>410</v>
      </c>
      <c r="E704" s="1420">
        <v>0.53900000000000003</v>
      </c>
      <c r="F704" s="452">
        <f>'COMP AUX'!G372</f>
        <v>16.16</v>
      </c>
      <c r="G704" s="456">
        <f t="shared" ref="G704" si="50">TRUNC(E704*F704,2)</f>
        <v>8.7100000000000009</v>
      </c>
      <c r="H704" s="424"/>
    </row>
    <row r="705" spans="1:9" ht="15" customHeight="1">
      <c r="A705" s="1415"/>
      <c r="B705" s="1417"/>
      <c r="C705" s="430" t="s">
        <v>99</v>
      </c>
      <c r="D705" s="1419"/>
      <c r="E705" s="1421"/>
      <c r="F705" s="452">
        <f>'COMP AUX'!G373</f>
        <v>4.5600000000000005</v>
      </c>
      <c r="G705" s="456">
        <f>TRUNC(E704*F705,2)</f>
        <v>2.4500000000000002</v>
      </c>
      <c r="H705" s="424"/>
    </row>
    <row r="706" spans="1:9" ht="15" customHeight="1">
      <c r="A706" s="1481" t="s">
        <v>2212</v>
      </c>
      <c r="B706" s="1482" t="s">
        <v>2214</v>
      </c>
      <c r="C706" s="430" t="s">
        <v>117</v>
      </c>
      <c r="D706" s="1418" t="s">
        <v>1359</v>
      </c>
      <c r="E706" s="1430">
        <v>1.32E-2</v>
      </c>
      <c r="F706" s="452">
        <f>'COMP AUX'!G1322</f>
        <v>10.68</v>
      </c>
      <c r="G706" s="456">
        <f>TRUNC(E706*F706,2)</f>
        <v>0.14000000000000001</v>
      </c>
      <c r="H706" s="424"/>
    </row>
    <row r="707" spans="1:9" ht="15" customHeight="1">
      <c r="A707" s="1481"/>
      <c r="B707" s="1483"/>
      <c r="C707" s="430" t="s">
        <v>99</v>
      </c>
      <c r="D707" s="1419"/>
      <c r="E707" s="1431"/>
      <c r="F707" s="452">
        <f>'COMP AUX'!G1323</f>
        <v>6.7000000000000011</v>
      </c>
      <c r="G707" s="456">
        <f>TRUNC(E706*F707,2)</f>
        <v>0.08</v>
      </c>
      <c r="H707" s="424"/>
    </row>
    <row r="708" spans="1:9" ht="15" customHeight="1">
      <c r="A708" s="1481" t="s">
        <v>2213</v>
      </c>
      <c r="B708" s="1482" t="s">
        <v>2215</v>
      </c>
      <c r="C708" s="430" t="s">
        <v>117</v>
      </c>
      <c r="D708" s="1418" t="s">
        <v>1338</v>
      </c>
      <c r="E708" s="1430">
        <v>1.83E-2</v>
      </c>
      <c r="F708" s="452">
        <f>'COMP AUX'!G1401</f>
        <v>10.68</v>
      </c>
      <c r="G708" s="456">
        <f>TRUNC(E708*F708,2)</f>
        <v>0.19</v>
      </c>
      <c r="H708" s="424"/>
    </row>
    <row r="709" spans="1:9" ht="15" customHeight="1">
      <c r="A709" s="1484"/>
      <c r="B709" s="1483"/>
      <c r="C709" s="430" t="s">
        <v>99</v>
      </c>
      <c r="D709" s="1419"/>
      <c r="E709" s="1431"/>
      <c r="F709" s="452">
        <f>'COMP AUX'!G1402</f>
        <v>4.45</v>
      </c>
      <c r="G709" s="456">
        <f>TRUNC(E708*F709,2)</f>
        <v>0.08</v>
      </c>
      <c r="H709" s="424"/>
    </row>
    <row r="710" spans="1:9" ht="15" customHeight="1">
      <c r="E710" s="215"/>
      <c r="F710" s="514" t="s">
        <v>103</v>
      </c>
      <c r="G710" s="466">
        <f>G704+G702+G706+G708</f>
        <v>16.060000000000002</v>
      </c>
    </row>
    <row r="711" spans="1:9" ht="15" customHeight="1">
      <c r="E711" s="215"/>
      <c r="F711" s="438" t="s">
        <v>105</v>
      </c>
      <c r="G711" s="456">
        <f>G697+G698+G699+G700+G703+G701+G705+G707+G709</f>
        <v>72.850000000000009</v>
      </c>
    </row>
    <row r="712" spans="1:9" ht="15" customHeight="1">
      <c r="A712" s="170" t="s">
        <v>107</v>
      </c>
      <c r="E712" s="215"/>
      <c r="F712" s="438" t="s">
        <v>106</v>
      </c>
      <c r="G712" s="457">
        <f>SUM(G710:G711)</f>
        <v>88.910000000000011</v>
      </c>
    </row>
    <row r="713" spans="1:9" ht="15" customHeight="1">
      <c r="A713" s="437" t="s">
        <v>108</v>
      </c>
      <c r="B713" s="548">
        <f>G712</f>
        <v>88.910000000000011</v>
      </c>
    </row>
    <row r="714" spans="1:9" ht="15" customHeight="1">
      <c r="A714" s="542" t="s">
        <v>2654</v>
      </c>
      <c r="B714" s="541"/>
    </row>
    <row r="715" spans="1:9" ht="15" customHeight="1">
      <c r="A715" s="622" t="s">
        <v>2714</v>
      </c>
      <c r="B715" s="541">
        <f>(B713+B714)*0.245</f>
        <v>21.782950000000003</v>
      </c>
    </row>
    <row r="716" spans="1:9" ht="15" customHeight="1">
      <c r="A716" s="437" t="s">
        <v>111</v>
      </c>
      <c r="B716" s="549">
        <f>SUM(B713:B715)</f>
        <v>110.69295000000001</v>
      </c>
      <c r="H716" s="560"/>
      <c r="I716" s="170" t="s">
        <v>2659</v>
      </c>
    </row>
    <row r="717" spans="1:9" ht="11.25" customHeight="1">
      <c r="A717" s="516"/>
      <c r="B717" s="517"/>
      <c r="C717" s="518"/>
      <c r="D717" s="516"/>
      <c r="E717" s="517"/>
      <c r="F717" s="517"/>
      <c r="G717" s="517"/>
      <c r="H717" s="516"/>
    </row>
    <row r="718" spans="1:9" ht="11.25" customHeight="1">
      <c r="A718" s="424"/>
      <c r="B718" s="421"/>
      <c r="C718" s="423"/>
      <c r="D718" s="424"/>
      <c r="E718" s="421"/>
      <c r="F718" s="421"/>
      <c r="G718" s="421"/>
      <c r="H718" s="424"/>
    </row>
    <row r="719" spans="1:9" ht="11.25" customHeight="1">
      <c r="A719" s="170" t="s">
        <v>1258</v>
      </c>
      <c r="H719" s="424"/>
    </row>
    <row r="720" spans="1:9" ht="11.25" customHeight="1">
      <c r="A720" s="220" t="s">
        <v>2477</v>
      </c>
      <c r="H720" s="424"/>
    </row>
    <row r="721" spans="1:9" ht="15" customHeight="1">
      <c r="A721" s="505" t="s">
        <v>1536</v>
      </c>
      <c r="B721" s="505" t="s">
        <v>2478</v>
      </c>
      <c r="C721" s="993" t="s">
        <v>418</v>
      </c>
      <c r="E721" s="505"/>
      <c r="F721" s="170"/>
      <c r="G721" s="506"/>
      <c r="H721" s="424"/>
    </row>
    <row r="722" spans="1:9" ht="22.5" customHeight="1">
      <c r="A722" s="986" t="s">
        <v>30</v>
      </c>
      <c r="B722" s="507" t="s">
        <v>19</v>
      </c>
      <c r="C722" s="430" t="s">
        <v>92</v>
      </c>
      <c r="D722" s="989" t="s">
        <v>88</v>
      </c>
      <c r="E722" s="989" t="s">
        <v>93</v>
      </c>
      <c r="F722" s="432" t="s">
        <v>94</v>
      </c>
      <c r="G722" s="508" t="s">
        <v>95</v>
      </c>
      <c r="H722" s="424"/>
    </row>
    <row r="723" spans="1:9" ht="28.5" customHeight="1">
      <c r="A723" s="990" t="s">
        <v>2479</v>
      </c>
      <c r="B723" s="988" t="s">
        <v>2480</v>
      </c>
      <c r="C723" s="430" t="s">
        <v>99</v>
      </c>
      <c r="D723" s="991" t="s">
        <v>1574</v>
      </c>
      <c r="E723" s="991">
        <v>0.82499999999999996</v>
      </c>
      <c r="F723" s="432">
        <v>35.14</v>
      </c>
      <c r="G723" s="508">
        <f t="shared" ref="G723" si="51">TRUNC(E723*F723,2)</f>
        <v>28.99</v>
      </c>
      <c r="H723" s="424"/>
    </row>
    <row r="724" spans="1:9" ht="14.1" customHeight="1">
      <c r="A724" s="1422" t="s">
        <v>1404</v>
      </c>
      <c r="B724" s="1416" t="s">
        <v>123</v>
      </c>
      <c r="C724" s="430" t="s">
        <v>117</v>
      </c>
      <c r="D724" s="1418" t="s">
        <v>410</v>
      </c>
      <c r="E724" s="1420">
        <v>0.12</v>
      </c>
      <c r="F724" s="435">
        <f>'COMP AUX'!G104</f>
        <v>11.1</v>
      </c>
      <c r="G724" s="511">
        <f>TRUNC(E724*F724,2)</f>
        <v>1.33</v>
      </c>
      <c r="H724" s="424"/>
    </row>
    <row r="725" spans="1:9" ht="14.1" customHeight="1">
      <c r="A725" s="1423"/>
      <c r="B725" s="1417"/>
      <c r="C725" s="430" t="s">
        <v>99</v>
      </c>
      <c r="D725" s="1419"/>
      <c r="E725" s="1421"/>
      <c r="F725" s="435">
        <f>'COMP AUX'!G105</f>
        <v>4.5600000000000005</v>
      </c>
      <c r="G725" s="456">
        <f>TRUNC(E724*F725,2)</f>
        <v>0.54</v>
      </c>
      <c r="H725" s="424"/>
    </row>
    <row r="726" spans="1:9" ht="14.1" customHeight="1">
      <c r="A726" s="1414">
        <v>88323</v>
      </c>
      <c r="B726" s="1416" t="s">
        <v>931</v>
      </c>
      <c r="C726" s="430" t="s">
        <v>117</v>
      </c>
      <c r="D726" s="1418" t="s">
        <v>410</v>
      </c>
      <c r="E726" s="1420">
        <v>0.12</v>
      </c>
      <c r="F726" s="452">
        <f>'COMP AUX'!G372</f>
        <v>16.16</v>
      </c>
      <c r="G726" s="456">
        <f t="shared" ref="G726" si="52">TRUNC(E726*F726,2)</f>
        <v>1.93</v>
      </c>
      <c r="H726" s="424"/>
    </row>
    <row r="727" spans="1:9" ht="14.1" customHeight="1">
      <c r="A727" s="1415"/>
      <c r="B727" s="1417"/>
      <c r="C727" s="430" t="s">
        <v>99</v>
      </c>
      <c r="D727" s="1419"/>
      <c r="E727" s="1421"/>
      <c r="F727" s="452">
        <f>'COMP AUX'!G373</f>
        <v>4.5600000000000005</v>
      </c>
      <c r="G727" s="456">
        <f>TRUNC(E726*F727,2)</f>
        <v>0.54</v>
      </c>
      <c r="H727" s="424"/>
    </row>
    <row r="728" spans="1:9" ht="14.1" customHeight="1">
      <c r="E728" s="215"/>
      <c r="F728" s="514" t="s">
        <v>103</v>
      </c>
      <c r="G728" s="466">
        <f>G724+G726</f>
        <v>3.26</v>
      </c>
    </row>
    <row r="729" spans="1:9" ht="14.1" customHeight="1">
      <c r="E729" s="215"/>
      <c r="F729" s="438" t="s">
        <v>105</v>
      </c>
      <c r="G729" s="456">
        <f>G723+G725+G727</f>
        <v>30.069999999999997</v>
      </c>
    </row>
    <row r="730" spans="1:9" ht="14.1" customHeight="1">
      <c r="A730" s="170" t="s">
        <v>107</v>
      </c>
      <c r="E730" s="215"/>
      <c r="F730" s="438" t="s">
        <v>106</v>
      </c>
      <c r="G730" s="457">
        <f>SUM(G728:G729)</f>
        <v>33.33</v>
      </c>
    </row>
    <row r="731" spans="1:9" ht="14.1" customHeight="1">
      <c r="A731" s="437" t="s">
        <v>108</v>
      </c>
      <c r="B731" s="548">
        <f>G730</f>
        <v>33.33</v>
      </c>
    </row>
    <row r="732" spans="1:9" ht="14.1" customHeight="1">
      <c r="A732" s="542" t="s">
        <v>2654</v>
      </c>
      <c r="B732" s="541"/>
    </row>
    <row r="733" spans="1:9" ht="14.1" customHeight="1">
      <c r="A733" s="622" t="s">
        <v>2714</v>
      </c>
      <c r="B733" s="541">
        <f>(B731+B732)*0.245</f>
        <v>8.1658499999999989</v>
      </c>
    </row>
    <row r="734" spans="1:9" ht="14.1" customHeight="1">
      <c r="A734" s="437" t="s">
        <v>111</v>
      </c>
      <c r="B734" s="549">
        <f>SUM(B731:B733)</f>
        <v>41.495849999999997</v>
      </c>
      <c r="H734" s="560"/>
      <c r="I734" s="170" t="s">
        <v>2659</v>
      </c>
    </row>
    <row r="735" spans="1:9" ht="11.25" customHeight="1">
      <c r="A735" s="516"/>
      <c r="B735" s="517"/>
      <c r="C735" s="518"/>
      <c r="D735" s="516"/>
      <c r="E735" s="517"/>
      <c r="F735" s="517"/>
      <c r="G735" s="517"/>
      <c r="H735" s="516"/>
    </row>
    <row r="736" spans="1:9" ht="11.25" customHeight="1">
      <c r="A736" s="424"/>
      <c r="B736" s="421"/>
      <c r="C736" s="423"/>
      <c r="D736" s="424"/>
      <c r="E736" s="421"/>
      <c r="F736" s="421"/>
      <c r="G736" s="421"/>
      <c r="H736" s="424"/>
    </row>
    <row r="737" spans="1:12" ht="11.25" customHeight="1">
      <c r="A737" s="170" t="s">
        <v>1258</v>
      </c>
      <c r="H737" s="424"/>
    </row>
    <row r="738" spans="1:12" ht="11.25" customHeight="1">
      <c r="A738" s="220" t="s">
        <v>3031</v>
      </c>
      <c r="H738" s="424"/>
    </row>
    <row r="739" spans="1:12" ht="15" customHeight="1">
      <c r="A739" s="505" t="s">
        <v>1536</v>
      </c>
      <c r="B739" s="505" t="s">
        <v>2930</v>
      </c>
      <c r="C739" s="722" t="s">
        <v>1574</v>
      </c>
      <c r="D739" s="505"/>
      <c r="E739" s="170"/>
      <c r="F739" s="170"/>
      <c r="G739" s="506"/>
      <c r="H739" s="424"/>
    </row>
    <row r="740" spans="1:12" ht="26.25" customHeight="1">
      <c r="A740" s="1216" t="s">
        <v>30</v>
      </c>
      <c r="B740" s="507" t="s">
        <v>19</v>
      </c>
      <c r="C740" s="430" t="s">
        <v>92</v>
      </c>
      <c r="D740" s="1212" t="s">
        <v>88</v>
      </c>
      <c r="E740" s="1212" t="s">
        <v>93</v>
      </c>
      <c r="F740" s="432" t="s">
        <v>94</v>
      </c>
      <c r="G740" s="508" t="s">
        <v>95</v>
      </c>
      <c r="H740" s="424"/>
    </row>
    <row r="741" spans="1:12" ht="15" customHeight="1">
      <c r="A741" s="1422" t="s">
        <v>1404</v>
      </c>
      <c r="B741" s="1416" t="s">
        <v>123</v>
      </c>
      <c r="C741" s="430" t="s">
        <v>117</v>
      </c>
      <c r="D741" s="1424" t="s">
        <v>410</v>
      </c>
      <c r="E741" s="1425">
        <v>1.4</v>
      </c>
      <c r="F741" s="435">
        <f>'COMP AUX'!G104</f>
        <v>11.1</v>
      </c>
      <c r="G741" s="511">
        <f>TRUNC(E741*F741,2)</f>
        <v>15.54</v>
      </c>
      <c r="H741" s="424"/>
    </row>
    <row r="742" spans="1:12" ht="15" customHeight="1">
      <c r="A742" s="1423"/>
      <c r="B742" s="1417"/>
      <c r="C742" s="430" t="s">
        <v>99</v>
      </c>
      <c r="D742" s="1424"/>
      <c r="E742" s="1426"/>
      <c r="F742" s="435">
        <f>'COMP AUX'!G105</f>
        <v>4.5600000000000005</v>
      </c>
      <c r="G742" s="456">
        <f>TRUNC(E741*F742,2)</f>
        <v>6.38</v>
      </c>
      <c r="H742" s="424"/>
    </row>
    <row r="743" spans="1:12" ht="15" customHeight="1">
      <c r="A743" s="1422">
        <v>88262</v>
      </c>
      <c r="B743" s="1416" t="s">
        <v>1882</v>
      </c>
      <c r="C743" s="430" t="s">
        <v>117</v>
      </c>
      <c r="D743" s="1427" t="s">
        <v>410</v>
      </c>
      <c r="E743" s="1425">
        <v>1.4</v>
      </c>
      <c r="F743" s="435">
        <f>'COMP AUX'!G87</f>
        <v>14.81</v>
      </c>
      <c r="G743" s="456">
        <f>TRUNC(E743:E743*F743,2)</f>
        <v>20.73</v>
      </c>
      <c r="H743" s="424"/>
    </row>
    <row r="744" spans="1:12" ht="15" customHeight="1">
      <c r="A744" s="1423"/>
      <c r="B744" s="1417"/>
      <c r="C744" s="430" t="s">
        <v>99</v>
      </c>
      <c r="D744" s="1428"/>
      <c r="E744" s="1426"/>
      <c r="F744" s="435">
        <f>'COMP AUX'!G88</f>
        <v>4.5600000000000005</v>
      </c>
      <c r="G744" s="456">
        <f>TRUNC(E743:E743*F744,2)</f>
        <v>6.38</v>
      </c>
      <c r="H744" s="424"/>
    </row>
    <row r="745" spans="1:12" ht="15" customHeight="1">
      <c r="A745" s="1214" t="s">
        <v>90</v>
      </c>
      <c r="B745" s="1211" t="s">
        <v>2916</v>
      </c>
      <c r="C745" s="430" t="s">
        <v>99</v>
      </c>
      <c r="D745" s="1213" t="s">
        <v>1666</v>
      </c>
      <c r="E745" s="1278">
        <v>0.33400000000000002</v>
      </c>
      <c r="F745" s="435">
        <v>405.9</v>
      </c>
      <c r="G745" s="456">
        <f>TRUNC(E745*F745,2)</f>
        <v>135.57</v>
      </c>
      <c r="H745" s="424"/>
      <c r="K745" s="1127">
        <f>1.2*2.5</f>
        <v>3</v>
      </c>
      <c r="L745" s="170">
        <v>405.9</v>
      </c>
    </row>
    <row r="746" spans="1:12" ht="26.25" customHeight="1">
      <c r="A746" s="1214">
        <v>39422</v>
      </c>
      <c r="B746" s="1211" t="s">
        <v>3020</v>
      </c>
      <c r="C746" s="430" t="s">
        <v>99</v>
      </c>
      <c r="D746" s="1213" t="s">
        <v>1538</v>
      </c>
      <c r="E746" s="1278">
        <v>0.33400000000000002</v>
      </c>
      <c r="F746" s="435">
        <v>5.16</v>
      </c>
      <c r="G746" s="456">
        <f>TRUNC(E746*F746,2)</f>
        <v>1.72</v>
      </c>
      <c r="H746" s="424"/>
      <c r="K746" s="170">
        <v>1</v>
      </c>
      <c r="L746" s="170">
        <f>L745/K745</f>
        <v>135.29999999999998</v>
      </c>
    </row>
    <row r="747" spans="1:12" ht="25.5" customHeight="1">
      <c r="A747" s="1214">
        <v>39419</v>
      </c>
      <c r="B747" s="1211" t="s">
        <v>3164</v>
      </c>
      <c r="C747" s="430" t="s">
        <v>99</v>
      </c>
      <c r="D747" s="1213" t="s">
        <v>1538</v>
      </c>
      <c r="E747" s="1278">
        <v>0.33400000000000002</v>
      </c>
      <c r="F747" s="435">
        <v>4.55</v>
      </c>
      <c r="G747" s="456">
        <f t="shared" ref="G747:G748" si="53">TRUNC(E747*F747,2)</f>
        <v>1.51</v>
      </c>
      <c r="H747" s="424"/>
    </row>
    <row r="748" spans="1:12" ht="36" customHeight="1">
      <c r="A748" s="1214">
        <v>39434</v>
      </c>
      <c r="B748" s="1211" t="s">
        <v>3162</v>
      </c>
      <c r="C748" s="430" t="s">
        <v>99</v>
      </c>
      <c r="D748" s="1213" t="s">
        <v>1401</v>
      </c>
      <c r="E748" s="1278">
        <v>10</v>
      </c>
      <c r="F748" s="435">
        <v>3.83</v>
      </c>
      <c r="G748" s="456">
        <f t="shared" si="53"/>
        <v>38.299999999999997</v>
      </c>
      <c r="H748" s="424"/>
    </row>
    <row r="749" spans="1:12" ht="39" customHeight="1">
      <c r="A749" s="507">
        <v>39438</v>
      </c>
      <c r="B749" s="717" t="s">
        <v>3163</v>
      </c>
      <c r="C749" s="430" t="s">
        <v>99</v>
      </c>
      <c r="D749" s="432" t="s">
        <v>1538</v>
      </c>
      <c r="E749" s="435">
        <v>34</v>
      </c>
      <c r="F749" s="435">
        <v>0.13</v>
      </c>
      <c r="G749" s="456">
        <f t="shared" ref="G749:G750" si="54">TRUNC(E749*F749,2)</f>
        <v>4.42</v>
      </c>
      <c r="H749" s="424"/>
    </row>
    <row r="750" spans="1:12" ht="15" customHeight="1">
      <c r="A750" s="1215">
        <v>20247</v>
      </c>
      <c r="B750" s="1327" t="s">
        <v>3161</v>
      </c>
      <c r="C750" s="430" t="s">
        <v>99</v>
      </c>
      <c r="D750" s="451" t="s">
        <v>1401</v>
      </c>
      <c r="E750" s="524">
        <v>0.33400000000000002</v>
      </c>
      <c r="F750" s="452">
        <v>10.130000000000001</v>
      </c>
      <c r="G750" s="456">
        <f t="shared" si="54"/>
        <v>3.38</v>
      </c>
      <c r="H750" s="424"/>
    </row>
    <row r="751" spans="1:12" ht="15" customHeight="1">
      <c r="E751" s="215"/>
      <c r="F751" s="514" t="s">
        <v>103</v>
      </c>
      <c r="G751" s="466">
        <f>G741+G743</f>
        <v>36.269999999999996</v>
      </c>
    </row>
    <row r="752" spans="1:12" ht="15" customHeight="1">
      <c r="E752" s="215"/>
      <c r="F752" s="438" t="s">
        <v>105</v>
      </c>
      <c r="G752" s="456">
        <f>G742+G744+G745+G746+G747+G748+G749+G750</f>
        <v>197.65999999999994</v>
      </c>
    </row>
    <row r="753" spans="1:9" ht="15" customHeight="1">
      <c r="A753" s="170" t="s">
        <v>107</v>
      </c>
      <c r="E753" s="215"/>
      <c r="F753" s="438" t="s">
        <v>106</v>
      </c>
      <c r="G753" s="457">
        <f>SUM(G751:G752)</f>
        <v>233.92999999999995</v>
      </c>
    </row>
    <row r="754" spans="1:9" ht="15" customHeight="1">
      <c r="A754" s="437" t="s">
        <v>108</v>
      </c>
      <c r="B754" s="548">
        <f>G753</f>
        <v>233.92999999999995</v>
      </c>
    </row>
    <row r="755" spans="1:9" ht="15" customHeight="1">
      <c r="A755" s="542" t="s">
        <v>2654</v>
      </c>
      <c r="B755" s="541"/>
    </row>
    <row r="756" spans="1:9" ht="15" customHeight="1">
      <c r="A756" s="622" t="s">
        <v>2714</v>
      </c>
      <c r="B756" s="541">
        <f>(B754+B755)*0.245</f>
        <v>57.312849999999983</v>
      </c>
    </row>
    <row r="757" spans="1:9" ht="15" customHeight="1">
      <c r="A757" s="437" t="s">
        <v>111</v>
      </c>
      <c r="B757" s="549">
        <f>SUM(B754:B756)</f>
        <v>291.24284999999992</v>
      </c>
      <c r="H757" s="560"/>
      <c r="I757" s="170" t="s">
        <v>2659</v>
      </c>
    </row>
    <row r="758" spans="1:9" ht="11.25" customHeight="1">
      <c r="A758" s="516"/>
      <c r="B758" s="517"/>
      <c r="C758" s="518"/>
      <c r="D758" s="516"/>
      <c r="E758" s="517"/>
      <c r="F758" s="517"/>
      <c r="G758" s="517"/>
      <c r="H758" s="516"/>
    </row>
    <row r="759" spans="1:9" ht="11.25" customHeight="1">
      <c r="A759" s="424"/>
      <c r="B759" s="421"/>
      <c r="C759" s="423"/>
      <c r="D759" s="424"/>
      <c r="E759" s="421"/>
      <c r="F759" s="421"/>
      <c r="G759" s="421"/>
      <c r="H759" s="424"/>
    </row>
    <row r="760" spans="1:9" ht="11.25" customHeight="1">
      <c r="A760" s="170" t="s">
        <v>1258</v>
      </c>
      <c r="H760" s="424"/>
    </row>
    <row r="761" spans="1:9" ht="11.25" customHeight="1">
      <c r="A761" s="220" t="s">
        <v>2919</v>
      </c>
      <c r="H761" s="424"/>
    </row>
    <row r="762" spans="1:9" ht="15" customHeight="1">
      <c r="A762" s="505" t="s">
        <v>1536</v>
      </c>
      <c r="B762" s="505" t="s">
        <v>2917</v>
      </c>
      <c r="C762" s="722" t="s">
        <v>1574</v>
      </c>
      <c r="D762" s="505"/>
      <c r="E762" s="170"/>
      <c r="F762" s="170"/>
      <c r="G762" s="506"/>
      <c r="H762" s="424"/>
    </row>
    <row r="763" spans="1:9" ht="24" customHeight="1">
      <c r="A763" s="1209" t="s">
        <v>30</v>
      </c>
      <c r="B763" s="507" t="s">
        <v>19</v>
      </c>
      <c r="C763" s="430" t="s">
        <v>92</v>
      </c>
      <c r="D763" s="1204" t="s">
        <v>88</v>
      </c>
      <c r="E763" s="1204" t="s">
        <v>93</v>
      </c>
      <c r="F763" s="432" t="s">
        <v>94</v>
      </c>
      <c r="G763" s="508" t="s">
        <v>95</v>
      </c>
      <c r="H763" s="424"/>
    </row>
    <row r="764" spans="1:9" ht="15" customHeight="1">
      <c r="A764" s="1422" t="s">
        <v>1404</v>
      </c>
      <c r="B764" s="1416" t="s">
        <v>123</v>
      </c>
      <c r="C764" s="430" t="s">
        <v>117</v>
      </c>
      <c r="D764" s="1424" t="s">
        <v>410</v>
      </c>
      <c r="E764" s="1471">
        <v>0.3</v>
      </c>
      <c r="F764" s="435">
        <f>'COMP AUX'!G104</f>
        <v>11.1</v>
      </c>
      <c r="G764" s="511">
        <f>TRUNC(E764*F764,2)</f>
        <v>3.33</v>
      </c>
      <c r="H764" s="424"/>
    </row>
    <row r="765" spans="1:9" ht="15" customHeight="1">
      <c r="A765" s="1423"/>
      <c r="B765" s="1417"/>
      <c r="C765" s="430" t="s">
        <v>99</v>
      </c>
      <c r="D765" s="1424"/>
      <c r="E765" s="1472"/>
      <c r="F765" s="435">
        <f>'COMP AUX'!G105</f>
        <v>4.5600000000000005</v>
      </c>
      <c r="G765" s="456">
        <f>TRUNC(E764*F765,2)</f>
        <v>1.36</v>
      </c>
      <c r="H765" s="424"/>
    </row>
    <row r="766" spans="1:9" ht="15" customHeight="1">
      <c r="A766" s="1422">
        <v>88262</v>
      </c>
      <c r="B766" s="1416" t="s">
        <v>1882</v>
      </c>
      <c r="C766" s="430" t="s">
        <v>117</v>
      </c>
      <c r="D766" s="1427" t="s">
        <v>410</v>
      </c>
      <c r="E766" s="1471">
        <v>0.3</v>
      </c>
      <c r="F766" s="435">
        <f>'COMP AUX'!G87</f>
        <v>14.81</v>
      </c>
      <c r="G766" s="456">
        <f>TRUNC(E766:E766*F766,2)</f>
        <v>4.4400000000000004</v>
      </c>
      <c r="H766" s="424"/>
    </row>
    <row r="767" spans="1:9" ht="15" customHeight="1">
      <c r="A767" s="1423"/>
      <c r="B767" s="1417"/>
      <c r="C767" s="430" t="s">
        <v>99</v>
      </c>
      <c r="D767" s="1428"/>
      <c r="E767" s="1472"/>
      <c r="F767" s="435">
        <f>'COMP AUX'!G88</f>
        <v>4.5600000000000005</v>
      </c>
      <c r="G767" s="456">
        <f>TRUNC(E766:E766*F767,2)</f>
        <v>1.36</v>
      </c>
      <c r="H767" s="424"/>
    </row>
    <row r="768" spans="1:9" ht="15" customHeight="1">
      <c r="A768" s="1207" t="s">
        <v>90</v>
      </c>
      <c r="B768" s="1203" t="s">
        <v>2916</v>
      </c>
      <c r="C768" s="430" t="s">
        <v>99</v>
      </c>
      <c r="D768" s="1206" t="s">
        <v>1666</v>
      </c>
      <c r="E768" s="1205">
        <v>0.33400000000000002</v>
      </c>
      <c r="F768" s="435">
        <v>405.9</v>
      </c>
      <c r="G768" s="456">
        <f>TRUNC(E768*F768,2)</f>
        <v>135.57</v>
      </c>
      <c r="H768" s="424"/>
    </row>
    <row r="769" spans="1:8" ht="34.5" customHeight="1">
      <c r="A769" s="1208">
        <v>11950</v>
      </c>
      <c r="B769" s="449" t="s">
        <v>3021</v>
      </c>
      <c r="C769" s="430" t="s">
        <v>99</v>
      </c>
      <c r="D769" s="451" t="s">
        <v>1538</v>
      </c>
      <c r="E769" s="524">
        <v>34</v>
      </c>
      <c r="F769" s="452">
        <v>0.2</v>
      </c>
      <c r="G769" s="456">
        <f t="shared" ref="G769" si="55">TRUNC(E769*F769,2)</f>
        <v>6.8</v>
      </c>
      <c r="H769" s="424"/>
    </row>
    <row r="770" spans="1:8" ht="14.1" customHeight="1">
      <c r="E770" s="215"/>
      <c r="F770" s="514" t="s">
        <v>103</v>
      </c>
      <c r="G770" s="466">
        <f>G764+G766</f>
        <v>7.7700000000000005</v>
      </c>
    </row>
    <row r="771" spans="1:8" ht="14.1" customHeight="1">
      <c r="E771" s="215"/>
      <c r="F771" s="438" t="s">
        <v>105</v>
      </c>
      <c r="G771" s="456">
        <f>G765+G767+G768+G769</f>
        <v>145.09</v>
      </c>
    </row>
    <row r="772" spans="1:8" ht="14.1" customHeight="1">
      <c r="A772" s="170" t="s">
        <v>107</v>
      </c>
      <c r="E772" s="215"/>
      <c r="F772" s="438" t="s">
        <v>106</v>
      </c>
      <c r="G772" s="457">
        <f>SUM(G770:G771)</f>
        <v>152.86000000000001</v>
      </c>
    </row>
    <row r="773" spans="1:8" ht="14.1" customHeight="1">
      <c r="A773" s="437" t="s">
        <v>108</v>
      </c>
      <c r="B773" s="548">
        <f>G772</f>
        <v>152.86000000000001</v>
      </c>
    </row>
    <row r="774" spans="1:8" ht="14.1" customHeight="1">
      <c r="A774" s="542" t="s">
        <v>2654</v>
      </c>
      <c r="B774" s="541"/>
    </row>
    <row r="775" spans="1:8" ht="14.1" customHeight="1">
      <c r="A775" s="622" t="s">
        <v>2714</v>
      </c>
      <c r="B775" s="541">
        <f>(B773+B774)*0.245</f>
        <v>37.450700000000005</v>
      </c>
    </row>
    <row r="776" spans="1:8" ht="14.1" customHeight="1">
      <c r="A776" s="437" t="s">
        <v>111</v>
      </c>
      <c r="B776" s="549">
        <f>SUM(B773:B775)</f>
        <v>190.31070000000003</v>
      </c>
      <c r="H776" s="560"/>
    </row>
    <row r="777" spans="1:8" ht="11.25" customHeight="1">
      <c r="A777" s="516"/>
      <c r="B777" s="517"/>
      <c r="C777" s="518"/>
      <c r="D777" s="516"/>
      <c r="E777" s="517"/>
      <c r="F777" s="517"/>
      <c r="G777" s="517"/>
      <c r="H777" s="516"/>
    </row>
    <row r="778" spans="1:8" ht="11.25" customHeight="1">
      <c r="A778" s="424"/>
      <c r="B778" s="421"/>
      <c r="C778" s="423"/>
      <c r="D778" s="424"/>
      <c r="E778" s="421"/>
      <c r="F778" s="421"/>
      <c r="G778" s="421"/>
      <c r="H778" s="424"/>
    </row>
    <row r="779" spans="1:8" ht="11.25" customHeight="1">
      <c r="A779" s="170" t="s">
        <v>1258</v>
      </c>
      <c r="H779" s="424"/>
    </row>
    <row r="780" spans="1:8" ht="11.25" customHeight="1">
      <c r="A780" s="220" t="s">
        <v>3168</v>
      </c>
      <c r="H780" s="424"/>
    </row>
    <row r="781" spans="1:8" ht="26.25" customHeight="1">
      <c r="A781" s="505" t="s">
        <v>1536</v>
      </c>
      <c r="B781" s="1429" t="s">
        <v>3167</v>
      </c>
      <c r="C781" s="1429"/>
      <c r="D781" s="722" t="s">
        <v>1574</v>
      </c>
      <c r="E781" s="170"/>
      <c r="F781" s="170"/>
      <c r="G781" s="506"/>
      <c r="H781" s="424"/>
    </row>
    <row r="782" spans="1:8" ht="24.75" customHeight="1">
      <c r="A782" s="1362" t="s">
        <v>30</v>
      </c>
      <c r="B782" s="507" t="s">
        <v>19</v>
      </c>
      <c r="C782" s="430" t="s">
        <v>92</v>
      </c>
      <c r="D782" s="1359" t="s">
        <v>88</v>
      </c>
      <c r="E782" s="1359" t="s">
        <v>93</v>
      </c>
      <c r="F782" s="432" t="s">
        <v>94</v>
      </c>
      <c r="G782" s="508" t="s">
        <v>95</v>
      </c>
      <c r="H782" s="424"/>
    </row>
    <row r="783" spans="1:8" ht="14.1" customHeight="1">
      <c r="A783" s="1422" t="s">
        <v>1404</v>
      </c>
      <c r="B783" s="1416" t="s">
        <v>123</v>
      </c>
      <c r="C783" s="430" t="s">
        <v>117</v>
      </c>
      <c r="D783" s="1424" t="s">
        <v>410</v>
      </c>
      <c r="E783" s="1425">
        <v>4</v>
      </c>
      <c r="F783" s="435">
        <f>'COMP AUX'!G104</f>
        <v>11.1</v>
      </c>
      <c r="G783" s="511">
        <f>TRUNC(E783*F783,2)</f>
        <v>44.4</v>
      </c>
      <c r="H783" s="424"/>
    </row>
    <row r="784" spans="1:8" ht="14.1" customHeight="1">
      <c r="A784" s="1423"/>
      <c r="B784" s="1417"/>
      <c r="C784" s="430" t="s">
        <v>99</v>
      </c>
      <c r="D784" s="1424"/>
      <c r="E784" s="1426"/>
      <c r="F784" s="435">
        <f>'COMP AUX'!G105</f>
        <v>4.5600000000000005</v>
      </c>
      <c r="G784" s="456">
        <f>TRUNC(E783*F784,2)</f>
        <v>18.239999999999998</v>
      </c>
      <c r="H784" s="424"/>
    </row>
    <row r="785" spans="1:10" ht="14.1" customHeight="1">
      <c r="A785" s="1422">
        <v>88262</v>
      </c>
      <c r="B785" s="1416" t="s">
        <v>1830</v>
      </c>
      <c r="C785" s="430" t="s">
        <v>117</v>
      </c>
      <c r="D785" s="1427" t="s">
        <v>410</v>
      </c>
      <c r="E785" s="1425">
        <v>4</v>
      </c>
      <c r="F785" s="435">
        <f>'COMP AUX'!G440</f>
        <v>14.81</v>
      </c>
      <c r="G785" s="456">
        <f>TRUNC(E785:E785*F785,2)</f>
        <v>59.24</v>
      </c>
      <c r="H785" s="424"/>
    </row>
    <row r="786" spans="1:10" ht="14.1" customHeight="1">
      <c r="A786" s="1423"/>
      <c r="B786" s="1417"/>
      <c r="C786" s="430" t="s">
        <v>99</v>
      </c>
      <c r="D786" s="1428"/>
      <c r="E786" s="1426"/>
      <c r="F786" s="435">
        <f>'COMP AUX'!G441</f>
        <v>4.5600000000000005</v>
      </c>
      <c r="G786" s="456">
        <f>TRUNC(E785:E785*F786,2)</f>
        <v>18.239999999999998</v>
      </c>
      <c r="H786" s="424"/>
    </row>
    <row r="787" spans="1:10" ht="14.1" customHeight="1">
      <c r="A787" s="1363">
        <v>583</v>
      </c>
      <c r="B787" s="1358" t="s">
        <v>3166</v>
      </c>
      <c r="C787" s="430" t="s">
        <v>99</v>
      </c>
      <c r="D787" s="1361" t="s">
        <v>1401</v>
      </c>
      <c r="E787" s="1360">
        <v>10.5</v>
      </c>
      <c r="F787" s="435">
        <v>21.59</v>
      </c>
      <c r="G787" s="456">
        <f>TRUNC(E787*F787,2)</f>
        <v>226.69</v>
      </c>
      <c r="H787" s="424"/>
    </row>
    <row r="788" spans="1:10" ht="14.1" customHeight="1">
      <c r="E788" s="215"/>
      <c r="F788" s="514" t="s">
        <v>103</v>
      </c>
      <c r="G788" s="466">
        <f>G783+G785</f>
        <v>103.64</v>
      </c>
    </row>
    <row r="789" spans="1:10" ht="14.1" customHeight="1">
      <c r="E789" s="215"/>
      <c r="F789" s="438" t="s">
        <v>105</v>
      </c>
      <c r="G789" s="456">
        <f>G784+G786+G787</f>
        <v>263.17</v>
      </c>
    </row>
    <row r="790" spans="1:10" ht="14.1" customHeight="1">
      <c r="A790" s="170" t="s">
        <v>107</v>
      </c>
      <c r="E790" s="215"/>
      <c r="F790" s="438" t="s">
        <v>106</v>
      </c>
      <c r="G790" s="457">
        <f>SUM(G788:G789)</f>
        <v>366.81</v>
      </c>
    </row>
    <row r="791" spans="1:10" ht="14.1" customHeight="1">
      <c r="A791" s="437" t="s">
        <v>108</v>
      </c>
      <c r="B791" s="548">
        <f>G790</f>
        <v>366.81</v>
      </c>
    </row>
    <row r="792" spans="1:10" ht="14.1" customHeight="1">
      <c r="A792" s="542" t="s">
        <v>2654</v>
      </c>
      <c r="B792" s="541"/>
    </row>
    <row r="793" spans="1:10" ht="14.1" customHeight="1">
      <c r="A793" s="622" t="s">
        <v>2714</v>
      </c>
      <c r="B793" s="541">
        <f>(B791+B792)*0.245</f>
        <v>89.868449999999996</v>
      </c>
    </row>
    <row r="794" spans="1:10" ht="14.1" customHeight="1">
      <c r="A794" s="437" t="s">
        <v>111</v>
      </c>
      <c r="B794" s="549">
        <f>SUM(B791:B793)</f>
        <v>456.67845</v>
      </c>
      <c r="H794" s="560"/>
    </row>
    <row r="795" spans="1:10" ht="11.25" customHeight="1">
      <c r="A795" s="516"/>
      <c r="B795" s="517"/>
      <c r="C795" s="518"/>
      <c r="D795" s="516"/>
      <c r="E795" s="517"/>
      <c r="F795" s="517"/>
      <c r="G795" s="517"/>
      <c r="H795" s="516"/>
    </row>
    <row r="796" spans="1:10" ht="11.25" customHeight="1">
      <c r="A796" s="424"/>
      <c r="B796" s="421"/>
      <c r="C796" s="423"/>
      <c r="D796" s="424"/>
      <c r="E796" s="421"/>
      <c r="F796" s="421"/>
      <c r="G796" s="421"/>
      <c r="H796" s="424"/>
    </row>
    <row r="797" spans="1:10" ht="13.5" customHeight="1">
      <c r="A797" s="170" t="s">
        <v>1258</v>
      </c>
      <c r="H797" s="424"/>
    </row>
    <row r="798" spans="1:10" ht="13.5" customHeight="1">
      <c r="A798" s="220" t="s">
        <v>2937</v>
      </c>
      <c r="H798" s="424"/>
    </row>
    <row r="799" spans="1:10" ht="15.75" customHeight="1">
      <c r="A799" s="505" t="s">
        <v>1536</v>
      </c>
      <c r="B799" s="505" t="s">
        <v>2936</v>
      </c>
      <c r="C799" s="722" t="s">
        <v>1574</v>
      </c>
      <c r="D799" s="505"/>
      <c r="E799" s="170"/>
      <c r="F799" s="170"/>
      <c r="G799" s="506"/>
      <c r="H799" s="424"/>
      <c r="J799" s="170">
        <v>72118</v>
      </c>
    </row>
    <row r="800" spans="1:10" ht="24.75" customHeight="1">
      <c r="A800" s="1223" t="s">
        <v>30</v>
      </c>
      <c r="B800" s="507" t="s">
        <v>19</v>
      </c>
      <c r="C800" s="430" t="s">
        <v>92</v>
      </c>
      <c r="D800" s="1221" t="s">
        <v>88</v>
      </c>
      <c r="E800" s="1221" t="s">
        <v>93</v>
      </c>
      <c r="F800" s="432" t="s">
        <v>94</v>
      </c>
      <c r="G800" s="508" t="s">
        <v>95</v>
      </c>
      <c r="H800" s="424"/>
    </row>
    <row r="801" spans="1:8" ht="15" customHeight="1">
      <c r="A801" s="1422" t="s">
        <v>1404</v>
      </c>
      <c r="B801" s="1416" t="s">
        <v>123</v>
      </c>
      <c r="C801" s="430" t="s">
        <v>117</v>
      </c>
      <c r="D801" s="1424" t="s">
        <v>410</v>
      </c>
      <c r="E801" s="1425">
        <v>0.5</v>
      </c>
      <c r="F801" s="435">
        <f>'COMP AUX'!G104</f>
        <v>11.1</v>
      </c>
      <c r="G801" s="511">
        <f>TRUNC(E801*F801,2)</f>
        <v>5.55</v>
      </c>
      <c r="H801" s="424"/>
    </row>
    <row r="802" spans="1:8" ht="15" customHeight="1">
      <c r="A802" s="1423"/>
      <c r="B802" s="1417"/>
      <c r="C802" s="430" t="s">
        <v>99</v>
      </c>
      <c r="D802" s="1424"/>
      <c r="E802" s="1426"/>
      <c r="F802" s="435">
        <f>'COMP AUX'!G105</f>
        <v>4.5600000000000005</v>
      </c>
      <c r="G802" s="456">
        <f>TRUNC(E801*F802,2)</f>
        <v>2.2799999999999998</v>
      </c>
      <c r="H802" s="424"/>
    </row>
    <row r="803" spans="1:8" ht="15" customHeight="1">
      <c r="A803" s="1422">
        <v>88325</v>
      </c>
      <c r="B803" s="1416" t="s">
        <v>2941</v>
      </c>
      <c r="C803" s="430" t="s">
        <v>117</v>
      </c>
      <c r="D803" s="1427" t="s">
        <v>410</v>
      </c>
      <c r="E803" s="1425">
        <v>0.5</v>
      </c>
      <c r="F803" s="435">
        <f>'COMP AUX'!G423</f>
        <v>14.21</v>
      </c>
      <c r="G803" s="456">
        <f>TRUNC(E803:E803*F803,2)</f>
        <v>7.1</v>
      </c>
      <c r="H803" s="424"/>
    </row>
    <row r="804" spans="1:8" ht="15" customHeight="1">
      <c r="A804" s="1423"/>
      <c r="B804" s="1417"/>
      <c r="C804" s="430" t="s">
        <v>99</v>
      </c>
      <c r="D804" s="1428"/>
      <c r="E804" s="1426"/>
      <c r="F804" s="435">
        <f>'COMP AUX'!G424</f>
        <v>3.16</v>
      </c>
      <c r="G804" s="456">
        <f>TRUNC(E803:E803*F804,2)</f>
        <v>1.58</v>
      </c>
      <c r="H804" s="424"/>
    </row>
    <row r="805" spans="1:8" ht="15" customHeight="1">
      <c r="A805" s="1226" t="s">
        <v>2939</v>
      </c>
      <c r="B805" s="1217" t="s">
        <v>2940</v>
      </c>
      <c r="C805" s="430" t="s">
        <v>99</v>
      </c>
      <c r="D805" s="1218" t="s">
        <v>1401</v>
      </c>
      <c r="E805" s="1219">
        <v>1.5</v>
      </c>
      <c r="F805" s="435">
        <v>6.69</v>
      </c>
      <c r="G805" s="456">
        <f>TRUNC(E805*F805,2)</f>
        <v>10.029999999999999</v>
      </c>
      <c r="H805" s="424"/>
    </row>
    <row r="806" spans="1:8" ht="24" customHeight="1">
      <c r="A806" s="507">
        <v>10496</v>
      </c>
      <c r="B806" s="717" t="s">
        <v>2942</v>
      </c>
      <c r="C806" s="430" t="s">
        <v>99</v>
      </c>
      <c r="D806" s="432" t="s">
        <v>1574</v>
      </c>
      <c r="E806" s="1225">
        <v>1</v>
      </c>
      <c r="F806" s="435">
        <v>438.88</v>
      </c>
      <c r="G806" s="456">
        <f t="shared" ref="G806" si="56">TRUNC(E806*F806,2)</f>
        <v>438.88</v>
      </c>
      <c r="H806" s="424"/>
    </row>
    <row r="807" spans="1:8" ht="15" customHeight="1">
      <c r="E807" s="215"/>
      <c r="F807" s="514" t="s">
        <v>103</v>
      </c>
      <c r="G807" s="466">
        <f>G801+G803</f>
        <v>12.649999999999999</v>
      </c>
    </row>
    <row r="808" spans="1:8" ht="15" customHeight="1">
      <c r="E808" s="215"/>
      <c r="F808" s="438" t="s">
        <v>105</v>
      </c>
      <c r="G808" s="456">
        <f>G802+G804+G805+G806</f>
        <v>452.77</v>
      </c>
    </row>
    <row r="809" spans="1:8" ht="15" customHeight="1">
      <c r="A809" s="170" t="s">
        <v>107</v>
      </c>
      <c r="E809" s="215"/>
      <c r="F809" s="438" t="s">
        <v>106</v>
      </c>
      <c r="G809" s="457">
        <f>SUM(G807:G808)</f>
        <v>465.41999999999996</v>
      </c>
    </row>
    <row r="810" spans="1:8" ht="15" customHeight="1">
      <c r="A810" s="437" t="s">
        <v>108</v>
      </c>
      <c r="B810" s="548">
        <f>G809</f>
        <v>465.41999999999996</v>
      </c>
    </row>
    <row r="811" spans="1:8" ht="15" customHeight="1">
      <c r="A811" s="542" t="s">
        <v>2654</v>
      </c>
      <c r="B811" s="541"/>
    </row>
    <row r="812" spans="1:8" ht="15" customHeight="1">
      <c r="A812" s="622" t="s">
        <v>2714</v>
      </c>
      <c r="B812" s="541">
        <f>(B810+B811)*0.245</f>
        <v>114.02789999999999</v>
      </c>
    </row>
    <row r="813" spans="1:8" ht="15" customHeight="1">
      <c r="A813" s="437" t="s">
        <v>111</v>
      </c>
      <c r="B813" s="549">
        <f>SUM(B810:B812)</f>
        <v>579.44789999999989</v>
      </c>
      <c r="H813" s="560"/>
    </row>
    <row r="814" spans="1:8" ht="11.25" customHeight="1">
      <c r="A814" s="516"/>
      <c r="B814" s="517"/>
      <c r="C814" s="518"/>
      <c r="D814" s="516"/>
      <c r="E814" s="517"/>
      <c r="F814" s="517"/>
      <c r="G814" s="517"/>
      <c r="H814" s="516"/>
    </row>
    <row r="815" spans="1:8" ht="11.25" customHeight="1">
      <c r="A815" s="424"/>
      <c r="B815" s="421"/>
      <c r="C815" s="423"/>
      <c r="D815" s="424"/>
      <c r="E815" s="421"/>
      <c r="F815" s="421"/>
      <c r="G815" s="421"/>
      <c r="H815" s="424"/>
    </row>
    <row r="816" spans="1:8" ht="11.25" customHeight="1">
      <c r="A816" s="170" t="s">
        <v>1258</v>
      </c>
      <c r="H816" s="424"/>
    </row>
    <row r="817" spans="1:8" ht="11.25" customHeight="1">
      <c r="A817" s="220" t="s">
        <v>2950</v>
      </c>
      <c r="H817" s="424"/>
    </row>
    <row r="818" spans="1:8" ht="15" customHeight="1">
      <c r="A818" s="505" t="s">
        <v>1536</v>
      </c>
      <c r="B818" s="505" t="s">
        <v>2953</v>
      </c>
      <c r="C818" s="722" t="s">
        <v>1574</v>
      </c>
      <c r="D818" s="505"/>
      <c r="E818" s="170"/>
      <c r="F818" s="170"/>
      <c r="G818" s="506"/>
      <c r="H818" s="424"/>
    </row>
    <row r="819" spans="1:8" ht="21" customHeight="1">
      <c r="A819" s="1223" t="s">
        <v>30</v>
      </c>
      <c r="B819" s="507" t="s">
        <v>19</v>
      </c>
      <c r="C819" s="430" t="s">
        <v>92</v>
      </c>
      <c r="D819" s="1221" t="s">
        <v>88</v>
      </c>
      <c r="E819" s="1221" t="s">
        <v>93</v>
      </c>
      <c r="F819" s="432" t="s">
        <v>94</v>
      </c>
      <c r="G819" s="508" t="s">
        <v>95</v>
      </c>
      <c r="H819" s="424"/>
    </row>
    <row r="820" spans="1:8" ht="14.1" customHeight="1">
      <c r="A820" s="1422" t="s">
        <v>1404</v>
      </c>
      <c r="B820" s="1416" t="s">
        <v>123</v>
      </c>
      <c r="C820" s="430" t="s">
        <v>117</v>
      </c>
      <c r="D820" s="1424" t="s">
        <v>410</v>
      </c>
      <c r="E820" s="1425">
        <v>0.2</v>
      </c>
      <c r="F820" s="435">
        <f>'COMP AUX'!G104</f>
        <v>11.1</v>
      </c>
      <c r="G820" s="511">
        <f>TRUNC(E820*F820,2)</f>
        <v>2.2200000000000002</v>
      </c>
      <c r="H820" s="424"/>
    </row>
    <row r="821" spans="1:8" ht="14.1" customHeight="1">
      <c r="A821" s="1423"/>
      <c r="B821" s="1417"/>
      <c r="C821" s="430" t="s">
        <v>99</v>
      </c>
      <c r="D821" s="1424"/>
      <c r="E821" s="1426"/>
      <c r="F821" s="435">
        <f>'COMP AUX'!G105</f>
        <v>4.5600000000000005</v>
      </c>
      <c r="G821" s="456">
        <f>TRUNC(E820*F821,2)</f>
        <v>0.91</v>
      </c>
      <c r="H821" s="424"/>
    </row>
    <row r="822" spans="1:8" ht="14.1" customHeight="1">
      <c r="A822" s="1422">
        <v>88325</v>
      </c>
      <c r="B822" s="1416" t="s">
        <v>2941</v>
      </c>
      <c r="C822" s="430" t="s">
        <v>117</v>
      </c>
      <c r="D822" s="1427" t="s">
        <v>410</v>
      </c>
      <c r="E822" s="1425">
        <v>1</v>
      </c>
      <c r="F822" s="435">
        <f>'COMP AUX'!G423</f>
        <v>14.21</v>
      </c>
      <c r="G822" s="456">
        <f>TRUNC(E822:E822*F822,2)</f>
        <v>14.21</v>
      </c>
      <c r="H822" s="424"/>
    </row>
    <row r="823" spans="1:8" ht="14.1" customHeight="1">
      <c r="A823" s="1423"/>
      <c r="B823" s="1417"/>
      <c r="C823" s="430" t="s">
        <v>99</v>
      </c>
      <c r="D823" s="1428"/>
      <c r="E823" s="1426"/>
      <c r="F823" s="435">
        <f>'COMP AUX'!G424</f>
        <v>3.16</v>
      </c>
      <c r="G823" s="456">
        <f>TRUNC(E822:E822*F823,2)</f>
        <v>3.16</v>
      </c>
      <c r="H823" s="424"/>
    </row>
    <row r="824" spans="1:8" ht="14.1" customHeight="1">
      <c r="A824" s="1226" t="s">
        <v>2939</v>
      </c>
      <c r="B824" s="1217" t="s">
        <v>2940</v>
      </c>
      <c r="C824" s="430" t="s">
        <v>99</v>
      </c>
      <c r="D824" s="1218" t="s">
        <v>1401</v>
      </c>
      <c r="E824" s="1219">
        <v>2</v>
      </c>
      <c r="F824" s="435">
        <v>6.69</v>
      </c>
      <c r="G824" s="456">
        <f>TRUNC(E824*F824,2)</f>
        <v>13.38</v>
      </c>
      <c r="H824" s="424"/>
    </row>
    <row r="825" spans="1:8" ht="16.5" customHeight="1">
      <c r="A825" s="507">
        <v>34385</v>
      </c>
      <c r="B825" s="717" t="s">
        <v>2956</v>
      </c>
      <c r="C825" s="430" t="s">
        <v>99</v>
      </c>
      <c r="D825" s="432" t="s">
        <v>1574</v>
      </c>
      <c r="E825" s="1225">
        <v>1</v>
      </c>
      <c r="F825" s="435">
        <v>217.68</v>
      </c>
      <c r="G825" s="456">
        <f t="shared" ref="G825" si="57">TRUNC(E825*F825,2)</f>
        <v>217.68</v>
      </c>
      <c r="H825" s="424"/>
    </row>
    <row r="826" spans="1:8" ht="14.1" customHeight="1">
      <c r="E826" s="215"/>
      <c r="F826" s="514" t="s">
        <v>103</v>
      </c>
      <c r="G826" s="466">
        <f>G820+G822</f>
        <v>16.43</v>
      </c>
    </row>
    <row r="827" spans="1:8" ht="14.1" customHeight="1">
      <c r="E827" s="215"/>
      <c r="F827" s="438" t="s">
        <v>105</v>
      </c>
      <c r="G827" s="456">
        <f>G821+G823+G824+G825</f>
        <v>235.13</v>
      </c>
    </row>
    <row r="828" spans="1:8" ht="14.1" customHeight="1">
      <c r="A828" s="170" t="s">
        <v>107</v>
      </c>
      <c r="E828" s="215"/>
      <c r="F828" s="438" t="s">
        <v>106</v>
      </c>
      <c r="G828" s="457">
        <f>SUM(G826:G827)</f>
        <v>251.56</v>
      </c>
    </row>
    <row r="829" spans="1:8" ht="14.1" customHeight="1">
      <c r="A829" s="437" t="s">
        <v>108</v>
      </c>
      <c r="B829" s="548">
        <f>G828</f>
        <v>251.56</v>
      </c>
    </row>
    <row r="830" spans="1:8" ht="14.1" customHeight="1">
      <c r="A830" s="542" t="s">
        <v>2654</v>
      </c>
      <c r="B830" s="541"/>
    </row>
    <row r="831" spans="1:8" ht="14.1" customHeight="1">
      <c r="A831" s="622" t="s">
        <v>2714</v>
      </c>
      <c r="B831" s="541">
        <f>(B829+B830)*0.245</f>
        <v>61.632199999999997</v>
      </c>
    </row>
    <row r="832" spans="1:8" ht="14.1" customHeight="1">
      <c r="A832" s="437" t="s">
        <v>111</v>
      </c>
      <c r="B832" s="549">
        <f>SUM(B829:B831)</f>
        <v>313.19220000000001</v>
      </c>
      <c r="H832" s="560"/>
    </row>
    <row r="833" spans="1:8" ht="11.25" customHeight="1">
      <c r="A833" s="516"/>
      <c r="B833" s="517"/>
      <c r="C833" s="518"/>
      <c r="D833" s="516"/>
      <c r="E833" s="517"/>
      <c r="F833" s="517"/>
      <c r="G833" s="517"/>
      <c r="H833" s="516"/>
    </row>
    <row r="834" spans="1:8" ht="11.25" customHeight="1">
      <c r="A834" s="424"/>
      <c r="B834" s="421"/>
      <c r="C834" s="423"/>
      <c r="D834" s="424"/>
      <c r="E834" s="421"/>
      <c r="F834" s="421"/>
      <c r="G834" s="421"/>
      <c r="H834" s="424"/>
    </row>
    <row r="835" spans="1:8" ht="11.25" customHeight="1">
      <c r="A835" s="170" t="s">
        <v>1258</v>
      </c>
      <c r="H835" s="424"/>
    </row>
    <row r="836" spans="1:8" ht="12.75" customHeight="1">
      <c r="A836" s="220" t="s">
        <v>2955</v>
      </c>
      <c r="H836" s="424"/>
    </row>
    <row r="837" spans="1:8" ht="15.75" customHeight="1">
      <c r="A837" s="505" t="s">
        <v>1536</v>
      </c>
      <c r="B837" s="505" t="s">
        <v>2951</v>
      </c>
      <c r="C837" s="722" t="s">
        <v>1574</v>
      </c>
      <c r="D837" s="505"/>
      <c r="E837" s="170"/>
      <c r="F837" s="170"/>
      <c r="G837" s="506"/>
      <c r="H837" s="424"/>
    </row>
    <row r="838" spans="1:8" ht="24" customHeight="1">
      <c r="A838" s="1223" t="s">
        <v>30</v>
      </c>
      <c r="B838" s="507" t="s">
        <v>19</v>
      </c>
      <c r="C838" s="430" t="s">
        <v>92</v>
      </c>
      <c r="D838" s="1221" t="s">
        <v>88</v>
      </c>
      <c r="E838" s="1221" t="s">
        <v>93</v>
      </c>
      <c r="F838" s="432" t="s">
        <v>94</v>
      </c>
      <c r="G838" s="508" t="s">
        <v>95</v>
      </c>
      <c r="H838" s="424"/>
    </row>
    <row r="839" spans="1:8" ht="14.1" customHeight="1">
      <c r="A839" s="1422" t="s">
        <v>1404</v>
      </c>
      <c r="B839" s="1416" t="s">
        <v>123</v>
      </c>
      <c r="C839" s="430" t="s">
        <v>117</v>
      </c>
      <c r="D839" s="1424" t="s">
        <v>410</v>
      </c>
      <c r="E839" s="1425">
        <v>0.5</v>
      </c>
      <c r="F839" s="435">
        <f>'COMP AUX'!G104</f>
        <v>11.1</v>
      </c>
      <c r="G839" s="511">
        <f>TRUNC(E839*F839,2)</f>
        <v>5.55</v>
      </c>
      <c r="H839" s="424"/>
    </row>
    <row r="840" spans="1:8" ht="14.1" customHeight="1">
      <c r="A840" s="1423"/>
      <c r="B840" s="1417"/>
      <c r="C840" s="430" t="s">
        <v>99</v>
      </c>
      <c r="D840" s="1424"/>
      <c r="E840" s="1426"/>
      <c r="F840" s="435">
        <f>'COMP AUX'!G105</f>
        <v>4.5600000000000005</v>
      </c>
      <c r="G840" s="456">
        <f>TRUNC(E839*F840,2)</f>
        <v>2.2799999999999998</v>
      </c>
      <c r="H840" s="424"/>
    </row>
    <row r="841" spans="1:8" ht="14.1" customHeight="1">
      <c r="A841" s="1422">
        <v>88325</v>
      </c>
      <c r="B841" s="1416" t="s">
        <v>2941</v>
      </c>
      <c r="C841" s="430" t="s">
        <v>117</v>
      </c>
      <c r="D841" s="1427" t="s">
        <v>410</v>
      </c>
      <c r="E841" s="1425">
        <v>0.5</v>
      </c>
      <c r="F841" s="435">
        <f>'COMP AUX'!G423</f>
        <v>14.21</v>
      </c>
      <c r="G841" s="456">
        <f>TRUNC(E841:E841*F841,2)</f>
        <v>7.1</v>
      </c>
      <c r="H841" s="424"/>
    </row>
    <row r="842" spans="1:8" ht="14.1" customHeight="1">
      <c r="A842" s="1423"/>
      <c r="B842" s="1417"/>
      <c r="C842" s="430" t="s">
        <v>99</v>
      </c>
      <c r="D842" s="1428"/>
      <c r="E842" s="1426"/>
      <c r="F842" s="435">
        <f>'COMP AUX'!G424</f>
        <v>3.16</v>
      </c>
      <c r="G842" s="456">
        <f>TRUNC(E841:E841*F842,2)</f>
        <v>1.58</v>
      </c>
      <c r="H842" s="424"/>
    </row>
    <row r="843" spans="1:8" ht="14.1" customHeight="1">
      <c r="A843" s="1226" t="s">
        <v>2939</v>
      </c>
      <c r="B843" s="1217" t="s">
        <v>2940</v>
      </c>
      <c r="C843" s="430" t="s">
        <v>99</v>
      </c>
      <c r="D843" s="1218" t="s">
        <v>1401</v>
      </c>
      <c r="E843" s="1219">
        <v>1.5</v>
      </c>
      <c r="F843" s="435">
        <v>6.69</v>
      </c>
      <c r="G843" s="456">
        <f>TRUNC(E843*F843,2)</f>
        <v>10.029999999999999</v>
      </c>
      <c r="H843" s="424"/>
    </row>
    <row r="844" spans="1:8" ht="22.5" customHeight="1">
      <c r="A844" s="507">
        <v>34391</v>
      </c>
      <c r="B844" s="717" t="s">
        <v>2952</v>
      </c>
      <c r="C844" s="430" t="s">
        <v>99</v>
      </c>
      <c r="D844" s="432" t="s">
        <v>1574</v>
      </c>
      <c r="E844" s="1225">
        <v>1</v>
      </c>
      <c r="F844" s="435">
        <v>504.18</v>
      </c>
      <c r="G844" s="456">
        <f t="shared" ref="G844" si="58">TRUNC(E844*F844,2)</f>
        <v>504.18</v>
      </c>
      <c r="H844" s="424"/>
    </row>
    <row r="845" spans="1:8" ht="14.1" customHeight="1">
      <c r="E845" s="215"/>
      <c r="F845" s="514" t="s">
        <v>103</v>
      </c>
      <c r="G845" s="466">
        <f>G839+G841</f>
        <v>12.649999999999999</v>
      </c>
    </row>
    <row r="846" spans="1:8" ht="14.1" customHeight="1">
      <c r="E846" s="215"/>
      <c r="F846" s="438" t="s">
        <v>105</v>
      </c>
      <c r="G846" s="456">
        <f>G840+G842+G843+G844</f>
        <v>518.07000000000005</v>
      </c>
    </row>
    <row r="847" spans="1:8" ht="14.1" customHeight="1">
      <c r="A847" s="170" t="s">
        <v>107</v>
      </c>
      <c r="E847" s="215"/>
      <c r="F847" s="438" t="s">
        <v>106</v>
      </c>
      <c r="G847" s="457">
        <f>SUM(G845:G846)</f>
        <v>530.72</v>
      </c>
    </row>
    <row r="848" spans="1:8" ht="14.1" customHeight="1">
      <c r="A848" s="437" t="s">
        <v>108</v>
      </c>
      <c r="B848" s="548">
        <f>G847</f>
        <v>530.72</v>
      </c>
    </row>
    <row r="849" spans="1:8" ht="14.1" customHeight="1">
      <c r="A849" s="542" t="s">
        <v>2654</v>
      </c>
      <c r="B849" s="541"/>
    </row>
    <row r="850" spans="1:8" ht="14.1" customHeight="1">
      <c r="A850" s="622" t="s">
        <v>2714</v>
      </c>
      <c r="B850" s="541">
        <f>(B848+B849)*0.245</f>
        <v>130.0264</v>
      </c>
    </row>
    <row r="851" spans="1:8" ht="14.1" customHeight="1">
      <c r="A851" s="437" t="s">
        <v>111</v>
      </c>
      <c r="B851" s="549">
        <f>SUM(B848:B850)</f>
        <v>660.74639999999999</v>
      </c>
      <c r="H851" s="560"/>
    </row>
    <row r="852" spans="1:8" ht="11.25" customHeight="1">
      <c r="A852" s="516"/>
      <c r="B852" s="517"/>
      <c r="C852" s="518"/>
      <c r="D852" s="516"/>
      <c r="E852" s="517"/>
      <c r="F852" s="517"/>
      <c r="G852" s="517"/>
      <c r="H852" s="516"/>
    </row>
    <row r="853" spans="1:8" ht="11.25" customHeight="1">
      <c r="A853" s="424"/>
      <c r="B853" s="421"/>
      <c r="C853" s="423"/>
      <c r="D853" s="424"/>
      <c r="E853" s="421"/>
      <c r="F853" s="421"/>
      <c r="G853" s="421"/>
      <c r="H853" s="424"/>
    </row>
    <row r="854" spans="1:8" ht="11.25" customHeight="1">
      <c r="A854" s="170" t="s">
        <v>1258</v>
      </c>
    </row>
    <row r="855" spans="1:8" ht="16.5" customHeight="1">
      <c r="A855" s="220" t="s">
        <v>1930</v>
      </c>
    </row>
    <row r="856" spans="1:8" ht="27.75" customHeight="1">
      <c r="A856" s="505" t="s">
        <v>1536</v>
      </c>
      <c r="B856" s="1429" t="s">
        <v>1929</v>
      </c>
      <c r="C856" s="1429"/>
      <c r="D856" s="1429"/>
      <c r="E856" s="812" t="s">
        <v>1398</v>
      </c>
      <c r="F856" s="170"/>
      <c r="G856" s="506"/>
    </row>
    <row r="857" spans="1:8" ht="27" customHeight="1">
      <c r="A857" s="806" t="s">
        <v>30</v>
      </c>
      <c r="B857" s="507" t="s">
        <v>19</v>
      </c>
      <c r="C857" s="430" t="s">
        <v>92</v>
      </c>
      <c r="D857" s="803" t="s">
        <v>88</v>
      </c>
      <c r="E857" s="803" t="s">
        <v>93</v>
      </c>
      <c r="F857" s="432" t="s">
        <v>94</v>
      </c>
      <c r="G857" s="508" t="s">
        <v>95</v>
      </c>
    </row>
    <row r="858" spans="1:8" ht="15" customHeight="1">
      <c r="A858" s="1422" t="s">
        <v>1404</v>
      </c>
      <c r="B858" s="1416" t="s">
        <v>123</v>
      </c>
      <c r="C858" s="430" t="s">
        <v>117</v>
      </c>
      <c r="D858" s="1424" t="s">
        <v>410</v>
      </c>
      <c r="E858" s="1425">
        <v>0.35699999999999998</v>
      </c>
      <c r="F858" s="435">
        <f>'COMP AUX'!G104</f>
        <v>11.1</v>
      </c>
      <c r="G858" s="511">
        <f>TRUNC(E858*F858,2)</f>
        <v>3.96</v>
      </c>
    </row>
    <row r="859" spans="1:8" ht="15" customHeight="1">
      <c r="A859" s="1423"/>
      <c r="B859" s="1417"/>
      <c r="C859" s="430" t="s">
        <v>99</v>
      </c>
      <c r="D859" s="1424"/>
      <c r="E859" s="1426"/>
      <c r="F859" s="435">
        <f>'COMP AUX'!G105</f>
        <v>4.5600000000000005</v>
      </c>
      <c r="G859" s="456">
        <f>TRUNC(E858*F859,2)</f>
        <v>1.62</v>
      </c>
    </row>
    <row r="860" spans="1:8" ht="15" customHeight="1">
      <c r="A860" s="1422">
        <v>88262</v>
      </c>
      <c r="B860" s="1416" t="s">
        <v>1882</v>
      </c>
      <c r="C860" s="430" t="s">
        <v>117</v>
      </c>
      <c r="D860" s="1427" t="s">
        <v>410</v>
      </c>
      <c r="E860" s="1471">
        <v>0.13539999999999999</v>
      </c>
      <c r="F860" s="435">
        <f>'COMP AUX'!G87</f>
        <v>14.81</v>
      </c>
      <c r="G860" s="456">
        <f>TRUNC(E860:E860*F860,2)</f>
        <v>2</v>
      </c>
    </row>
    <row r="861" spans="1:8" ht="15" customHeight="1">
      <c r="A861" s="1423"/>
      <c r="B861" s="1417"/>
      <c r="C861" s="430" t="s">
        <v>99</v>
      </c>
      <c r="D861" s="1428"/>
      <c r="E861" s="1472"/>
      <c r="F861" s="435">
        <f>'COMP AUX'!G88</f>
        <v>4.5600000000000005</v>
      </c>
      <c r="G861" s="456">
        <f>TRUNC(E860:E860*F861,2)</f>
        <v>0.61</v>
      </c>
    </row>
    <row r="862" spans="1:8" ht="15" customHeight="1">
      <c r="A862" s="1470">
        <v>88309</v>
      </c>
      <c r="B862" s="1416" t="s">
        <v>131</v>
      </c>
      <c r="C862" s="430" t="s">
        <v>117</v>
      </c>
      <c r="D862" s="1418" t="s">
        <v>410</v>
      </c>
      <c r="E862" s="1471">
        <v>0.22170000000000001</v>
      </c>
      <c r="F862" s="435">
        <f>'COMP AUX'!G151</f>
        <v>14.93</v>
      </c>
      <c r="G862" s="456">
        <f t="shared" ref="G862" si="59">TRUNC(E862*F862,2)</f>
        <v>3.3</v>
      </c>
    </row>
    <row r="863" spans="1:8" ht="15" customHeight="1">
      <c r="A863" s="1454"/>
      <c r="B863" s="1417"/>
      <c r="C863" s="430" t="s">
        <v>99</v>
      </c>
      <c r="D863" s="1419"/>
      <c r="E863" s="1472"/>
      <c r="F863" s="435">
        <f>'COMP AUX'!G152</f>
        <v>4.5600000000000005</v>
      </c>
      <c r="G863" s="456">
        <f>TRUNC(E862*F863,2)</f>
        <v>1.01</v>
      </c>
    </row>
    <row r="864" spans="1:8" ht="15" customHeight="1">
      <c r="A864" s="858" t="s">
        <v>1931</v>
      </c>
      <c r="B864" s="802" t="s">
        <v>1932</v>
      </c>
      <c r="C864" s="430" t="s">
        <v>99</v>
      </c>
      <c r="D864" s="805" t="s">
        <v>1666</v>
      </c>
      <c r="E864" s="804">
        <v>1.1279999999999999</v>
      </c>
      <c r="F864" s="435">
        <v>0.91</v>
      </c>
      <c r="G864" s="456">
        <f>TRUNC(E864*F864,2)</f>
        <v>1.02</v>
      </c>
    </row>
    <row r="865" spans="1:9" ht="27" customHeight="1">
      <c r="A865" s="858" t="s">
        <v>1689</v>
      </c>
      <c r="B865" s="802" t="s">
        <v>1582</v>
      </c>
      <c r="C865" s="430" t="s">
        <v>99</v>
      </c>
      <c r="D865" s="805" t="s">
        <v>1666</v>
      </c>
      <c r="E865" s="804">
        <v>0.45</v>
      </c>
      <c r="F865" s="435">
        <v>1.17</v>
      </c>
      <c r="G865" s="456">
        <f t="shared" ref="G865:G866" si="60">TRUNC(E865*F865,2)</f>
        <v>0.52</v>
      </c>
    </row>
    <row r="866" spans="1:9" ht="39.75" customHeight="1">
      <c r="A866" s="721" t="s">
        <v>1933</v>
      </c>
      <c r="B866" s="496" t="s">
        <v>1934</v>
      </c>
      <c r="C866" s="430" t="s">
        <v>99</v>
      </c>
      <c r="D866" s="432" t="s">
        <v>1666</v>
      </c>
      <c r="E866" s="519">
        <v>1.1224000000000001</v>
      </c>
      <c r="F866" s="435">
        <v>15.07</v>
      </c>
      <c r="G866" s="456">
        <f t="shared" si="60"/>
        <v>16.91</v>
      </c>
    </row>
    <row r="867" spans="1:9" ht="15" customHeight="1">
      <c r="A867" s="1436">
        <v>94964</v>
      </c>
      <c r="B867" s="1416" t="s">
        <v>1935</v>
      </c>
      <c r="C867" s="430" t="s">
        <v>117</v>
      </c>
      <c r="D867" s="1418" t="s">
        <v>465</v>
      </c>
      <c r="E867" s="1471">
        <v>7.2800000000000004E-2</v>
      </c>
      <c r="F867" s="435">
        <f>'COMP AUX'!G822</f>
        <v>45</v>
      </c>
      <c r="G867" s="456">
        <f>TRUNC(E867*F867,2)</f>
        <v>3.27</v>
      </c>
    </row>
    <row r="868" spans="1:9" ht="15" customHeight="1">
      <c r="A868" s="1437"/>
      <c r="B868" s="1417"/>
      <c r="C868" s="430" t="s">
        <v>99</v>
      </c>
      <c r="D868" s="1419"/>
      <c r="E868" s="1472"/>
      <c r="F868" s="435">
        <f>'COMP AUX'!G823</f>
        <v>258.84999999999997</v>
      </c>
      <c r="G868" s="456">
        <f>TRUNC(E867*F868,2)</f>
        <v>18.84</v>
      </c>
    </row>
    <row r="869" spans="1:9" ht="15" customHeight="1">
      <c r="E869" s="215"/>
      <c r="F869" s="514" t="s">
        <v>103</v>
      </c>
      <c r="G869" s="466">
        <f>G858+G860+G862+G867</f>
        <v>12.53</v>
      </c>
    </row>
    <row r="870" spans="1:9" ht="15" customHeight="1">
      <c r="E870" s="215"/>
      <c r="F870" s="438" t="s">
        <v>105</v>
      </c>
      <c r="G870" s="456">
        <f>G859+G861+G863+G864+G865+G866+G868</f>
        <v>40.53</v>
      </c>
    </row>
    <row r="871" spans="1:9" ht="15" customHeight="1">
      <c r="A871" s="170" t="s">
        <v>107</v>
      </c>
      <c r="E871" s="215"/>
      <c r="F871" s="438" t="s">
        <v>106</v>
      </c>
      <c r="G871" s="457">
        <f>SUM(G869:G870)</f>
        <v>53.06</v>
      </c>
    </row>
    <row r="872" spans="1:9" ht="15" customHeight="1">
      <c r="A872" s="437" t="s">
        <v>108</v>
      </c>
      <c r="B872" s="548">
        <f>G871</f>
        <v>53.06</v>
      </c>
    </row>
    <row r="873" spans="1:9" ht="15" customHeight="1">
      <c r="A873" s="542" t="s">
        <v>2654</v>
      </c>
      <c r="B873" s="541"/>
    </row>
    <row r="874" spans="1:9" ht="15" customHeight="1">
      <c r="A874" s="622" t="s">
        <v>2714</v>
      </c>
      <c r="B874" s="541">
        <f>(B872+B873)*0.245</f>
        <v>12.999700000000001</v>
      </c>
    </row>
    <row r="875" spans="1:9" ht="15" customHeight="1">
      <c r="A875" s="437" t="s">
        <v>111</v>
      </c>
      <c r="B875" s="549">
        <f>SUM(B872:B874)</f>
        <v>66.059700000000007</v>
      </c>
      <c r="H875" s="560"/>
      <c r="I875" s="170" t="s">
        <v>2655</v>
      </c>
    </row>
    <row r="876" spans="1:9" ht="11.25" customHeight="1">
      <c r="A876" s="516"/>
      <c r="B876" s="517"/>
      <c r="C876" s="518"/>
      <c r="D876" s="516"/>
      <c r="E876" s="517"/>
      <c r="F876" s="517"/>
      <c r="G876" s="517"/>
      <c r="H876" s="516"/>
    </row>
    <row r="877" spans="1:9" ht="11.25" customHeight="1">
      <c r="A877" s="424"/>
      <c r="B877" s="421"/>
      <c r="C877" s="423"/>
      <c r="D877" s="424"/>
      <c r="E877" s="421"/>
      <c r="F877" s="421"/>
      <c r="G877" s="421"/>
      <c r="H877" s="424"/>
    </row>
    <row r="878" spans="1:9" ht="11.25" customHeight="1">
      <c r="A878" s="170" t="s">
        <v>1258</v>
      </c>
    </row>
    <row r="879" spans="1:9" ht="11.25" customHeight="1">
      <c r="A879" s="220" t="s">
        <v>1883</v>
      </c>
    </row>
    <row r="880" spans="1:9" ht="33" customHeight="1">
      <c r="A880" s="505" t="s">
        <v>1536</v>
      </c>
      <c r="B880" s="505" t="s">
        <v>1884</v>
      </c>
      <c r="C880" s="559" t="s">
        <v>1574</v>
      </c>
      <c r="E880" s="505"/>
      <c r="F880" s="170"/>
      <c r="G880" s="506"/>
    </row>
    <row r="881" spans="1:9" ht="29.25" customHeight="1">
      <c r="A881" s="751" t="s">
        <v>30</v>
      </c>
      <c r="B881" s="507" t="s">
        <v>19</v>
      </c>
      <c r="C881" s="430" t="s">
        <v>92</v>
      </c>
      <c r="D881" s="739" t="s">
        <v>88</v>
      </c>
      <c r="E881" s="739" t="s">
        <v>93</v>
      </c>
      <c r="F881" s="432" t="s">
        <v>94</v>
      </c>
      <c r="G881" s="508" t="s">
        <v>95</v>
      </c>
    </row>
    <row r="882" spans="1:9" ht="15" customHeight="1">
      <c r="A882" s="1422">
        <v>88241</v>
      </c>
      <c r="B882" s="1416" t="s">
        <v>1552</v>
      </c>
      <c r="C882" s="430" t="s">
        <v>117</v>
      </c>
      <c r="D882" s="1424" t="s">
        <v>118</v>
      </c>
      <c r="E882" s="1425">
        <v>1</v>
      </c>
      <c r="F882" s="435">
        <f>'COMP AUX'!G53</f>
        <v>10.74</v>
      </c>
      <c r="G882" s="511">
        <f>TRUNC(E882*F882,2)</f>
        <v>10.74</v>
      </c>
    </row>
    <row r="883" spans="1:9" ht="15" customHeight="1">
      <c r="A883" s="1423"/>
      <c r="B883" s="1417"/>
      <c r="C883" s="430" t="s">
        <v>99</v>
      </c>
      <c r="D883" s="1424"/>
      <c r="E883" s="1426"/>
      <c r="F883" s="435">
        <f>'COMP AUX'!G54</f>
        <v>4.5600000000000005</v>
      </c>
      <c r="G883" s="456">
        <f>TRUNC(E882*F883,2)</f>
        <v>4.5599999999999996</v>
      </c>
    </row>
    <row r="884" spans="1:9" ht="15" customHeight="1">
      <c r="A884" s="1470">
        <v>88262</v>
      </c>
      <c r="B884" s="1416" t="s">
        <v>1882</v>
      </c>
      <c r="C884" s="430" t="s">
        <v>117</v>
      </c>
      <c r="D884" s="1418" t="s">
        <v>410</v>
      </c>
      <c r="E884" s="1425">
        <v>1</v>
      </c>
      <c r="F884" s="435">
        <f>'COMP AUX'!G87</f>
        <v>14.81</v>
      </c>
      <c r="G884" s="456">
        <f t="shared" ref="G884" si="61">TRUNC(E884*F884,2)</f>
        <v>14.81</v>
      </c>
    </row>
    <row r="885" spans="1:9" ht="15" customHeight="1">
      <c r="A885" s="1454"/>
      <c r="B885" s="1417"/>
      <c r="C885" s="430" t="s">
        <v>99</v>
      </c>
      <c r="D885" s="1419"/>
      <c r="E885" s="1426"/>
      <c r="F885" s="435">
        <f>'COMP AUX'!G88</f>
        <v>4.5600000000000005</v>
      </c>
      <c r="G885" s="456">
        <f>TRUNC(E884*F885,2)</f>
        <v>4.5599999999999996</v>
      </c>
    </row>
    <row r="886" spans="1:9" ht="15" customHeight="1">
      <c r="A886" s="507">
        <v>4509</v>
      </c>
      <c r="B886" s="717" t="s">
        <v>2656</v>
      </c>
      <c r="C886" s="430" t="s">
        <v>99</v>
      </c>
      <c r="D886" s="432" t="s">
        <v>418</v>
      </c>
      <c r="E886" s="753">
        <v>11</v>
      </c>
      <c r="F886" s="452">
        <v>2.2200000000000002</v>
      </c>
      <c r="G886" s="456">
        <f t="shared" ref="G886" si="62">TRUNC(E886*F886,2)</f>
        <v>24.42</v>
      </c>
    </row>
    <row r="887" spans="1:9" ht="24.75" customHeight="1">
      <c r="A887" s="751">
        <v>4358</v>
      </c>
      <c r="B887" s="717" t="s">
        <v>2657</v>
      </c>
      <c r="C887" s="430" t="s">
        <v>99</v>
      </c>
      <c r="D887" s="432" t="s">
        <v>418</v>
      </c>
      <c r="E887" s="524">
        <v>10</v>
      </c>
      <c r="F887" s="452">
        <v>1.07</v>
      </c>
      <c r="G887" s="456">
        <f>TRUNC(E887*F887,2)</f>
        <v>10.7</v>
      </c>
    </row>
    <row r="888" spans="1:9" ht="15" customHeight="1">
      <c r="E888" s="215"/>
      <c r="F888" s="514" t="s">
        <v>103</v>
      </c>
      <c r="G888" s="466">
        <f>G882+G884</f>
        <v>25.55</v>
      </c>
    </row>
    <row r="889" spans="1:9" ht="15" customHeight="1">
      <c r="E889" s="215"/>
      <c r="F889" s="438" t="s">
        <v>105</v>
      </c>
      <c r="G889" s="456">
        <f>G883+G885+G886+G887</f>
        <v>44.239999999999995</v>
      </c>
    </row>
    <row r="890" spans="1:9" ht="15" customHeight="1">
      <c r="A890" s="170" t="s">
        <v>107</v>
      </c>
      <c r="E890" s="215"/>
      <c r="F890" s="438" t="s">
        <v>106</v>
      </c>
      <c r="G890" s="457">
        <f>SUM(G888:G889)</f>
        <v>69.789999999999992</v>
      </c>
    </row>
    <row r="891" spans="1:9" ht="15" customHeight="1">
      <c r="A891" s="437" t="s">
        <v>108</v>
      </c>
      <c r="B891" s="548">
        <f>G890</f>
        <v>69.789999999999992</v>
      </c>
    </row>
    <row r="892" spans="1:9" ht="15" customHeight="1">
      <c r="A892" s="542" t="s">
        <v>2654</v>
      </c>
      <c r="B892" s="541"/>
    </row>
    <row r="893" spans="1:9" ht="15" customHeight="1">
      <c r="A893" s="622" t="s">
        <v>2714</v>
      </c>
      <c r="B893" s="541">
        <f>(B891+B892)*0.245</f>
        <v>17.098549999999999</v>
      </c>
    </row>
    <row r="894" spans="1:9" ht="15" customHeight="1">
      <c r="A894" s="437" t="s">
        <v>111</v>
      </c>
      <c r="B894" s="549">
        <f>SUM(B891:B893)</f>
        <v>86.888549999999995</v>
      </c>
      <c r="H894" s="560"/>
      <c r="I894" s="170" t="s">
        <v>2655</v>
      </c>
    </row>
    <row r="895" spans="1:9" ht="11.25" customHeight="1">
      <c r="A895" s="516"/>
      <c r="B895" s="517"/>
      <c r="C895" s="518"/>
      <c r="D895" s="516"/>
      <c r="E895" s="517"/>
      <c r="F895" s="517"/>
      <c r="G895" s="517"/>
      <c r="H895" s="516"/>
    </row>
    <row r="896" spans="1:9" ht="11.25" customHeight="1">
      <c r="A896" s="424"/>
      <c r="B896" s="421"/>
      <c r="C896" s="423"/>
      <c r="D896" s="424"/>
      <c r="E896" s="421"/>
      <c r="F896" s="421"/>
      <c r="G896" s="421"/>
      <c r="H896" s="424"/>
    </row>
    <row r="897" spans="1:7" ht="11.25" customHeight="1">
      <c r="A897" s="170" t="s">
        <v>1258</v>
      </c>
    </row>
    <row r="898" spans="1:7" ht="11.25" customHeight="1">
      <c r="A898" s="220" t="s">
        <v>2574</v>
      </c>
    </row>
    <row r="899" spans="1:7" ht="24.75" customHeight="1">
      <c r="A899" s="505" t="s">
        <v>1536</v>
      </c>
      <c r="B899" s="505" t="s">
        <v>2575</v>
      </c>
      <c r="C899" s="559" t="s">
        <v>1574</v>
      </c>
      <c r="E899" s="505"/>
      <c r="F899" s="170"/>
      <c r="G899" s="506"/>
    </row>
    <row r="900" spans="1:7" ht="29.25" customHeight="1">
      <c r="A900" s="1003" t="s">
        <v>30</v>
      </c>
      <c r="B900" s="507" t="s">
        <v>19</v>
      </c>
      <c r="C900" s="430" t="s">
        <v>92</v>
      </c>
      <c r="D900" s="1005" t="s">
        <v>88</v>
      </c>
      <c r="E900" s="1005" t="s">
        <v>93</v>
      </c>
      <c r="F900" s="432" t="s">
        <v>94</v>
      </c>
      <c r="G900" s="508" t="s">
        <v>95</v>
      </c>
    </row>
    <row r="901" spans="1:7" ht="14.1" customHeight="1">
      <c r="A901" s="1470">
        <v>88270</v>
      </c>
      <c r="B901" s="1416" t="s">
        <v>1938</v>
      </c>
      <c r="C901" s="430" t="s">
        <v>117</v>
      </c>
      <c r="D901" s="1418" t="s">
        <v>410</v>
      </c>
      <c r="E901" s="1471">
        <v>0.6</v>
      </c>
      <c r="F901" s="435">
        <f>'COMP AUX'!G389</f>
        <v>15.82</v>
      </c>
      <c r="G901" s="474">
        <f t="shared" ref="G901:G903" si="63">TRUNC(E901*F901,2)</f>
        <v>9.49</v>
      </c>
    </row>
    <row r="902" spans="1:7" ht="14.1" customHeight="1">
      <c r="A902" s="1454"/>
      <c r="B902" s="1417"/>
      <c r="C902" s="430" t="s">
        <v>99</v>
      </c>
      <c r="D902" s="1419"/>
      <c r="E902" s="1472"/>
      <c r="F902" s="435">
        <f>'COMP AUX'!G390</f>
        <v>4.5600000000000005</v>
      </c>
      <c r="G902" s="474">
        <f>TRUNC(E901*F902,2)</f>
        <v>2.73</v>
      </c>
    </row>
    <row r="903" spans="1:7" ht="14.1" customHeight="1">
      <c r="A903" s="1470" t="s">
        <v>1404</v>
      </c>
      <c r="B903" s="1416" t="s">
        <v>123</v>
      </c>
      <c r="C903" s="430" t="s">
        <v>117</v>
      </c>
      <c r="D903" s="1418" t="s">
        <v>410</v>
      </c>
      <c r="E903" s="1425">
        <v>0.3</v>
      </c>
      <c r="F903" s="435">
        <f>'COMP AUX'!G104</f>
        <v>11.1</v>
      </c>
      <c r="G903" s="474">
        <f t="shared" si="63"/>
        <v>3.33</v>
      </c>
    </row>
    <row r="904" spans="1:7" ht="14.1" customHeight="1">
      <c r="A904" s="1454"/>
      <c r="B904" s="1466"/>
      <c r="C904" s="430" t="s">
        <v>99</v>
      </c>
      <c r="D904" s="1419"/>
      <c r="E904" s="1426"/>
      <c r="F904" s="435">
        <f>'COMP AUX'!G105</f>
        <v>4.5600000000000005</v>
      </c>
      <c r="G904" s="474">
        <f>TRUNC(E903*F904,2)</f>
        <v>1.36</v>
      </c>
    </row>
    <row r="905" spans="1:7" ht="21.75" customHeight="1">
      <c r="A905" s="1003" t="s">
        <v>2576</v>
      </c>
      <c r="B905" s="1001" t="s">
        <v>2577</v>
      </c>
      <c r="C905" s="430" t="s">
        <v>99</v>
      </c>
      <c r="D905" s="1008" t="s">
        <v>1276</v>
      </c>
      <c r="E905" s="1002">
        <v>0.24</v>
      </c>
      <c r="F905" s="435">
        <v>38.049999999999997</v>
      </c>
      <c r="G905" s="474">
        <f>TRUNC(E905*F905,2)</f>
        <v>9.1300000000000008</v>
      </c>
    </row>
    <row r="906" spans="1:7" ht="14.1" customHeight="1">
      <c r="A906" s="1003" t="s">
        <v>2578</v>
      </c>
      <c r="B906" s="717" t="s">
        <v>2579</v>
      </c>
      <c r="C906" s="470" t="s">
        <v>99</v>
      </c>
      <c r="D906" s="450" t="s">
        <v>1276</v>
      </c>
      <c r="E906" s="1021">
        <v>0.1</v>
      </c>
      <c r="F906" s="452">
        <v>28.24</v>
      </c>
      <c r="G906" s="474">
        <f>TRUNC(E906*F906,2)</f>
        <v>2.82</v>
      </c>
    </row>
    <row r="907" spans="1:7" ht="14.1" customHeight="1">
      <c r="E907" s="215"/>
      <c r="F907" s="514" t="s">
        <v>103</v>
      </c>
      <c r="G907" s="1022">
        <f>G901+G903</f>
        <v>12.82</v>
      </c>
    </row>
    <row r="908" spans="1:7" ht="14.1" customHeight="1">
      <c r="E908" s="215"/>
      <c r="F908" s="438" t="s">
        <v>105</v>
      </c>
      <c r="G908" s="474">
        <f>G902+G904+G905+G906</f>
        <v>16.04</v>
      </c>
    </row>
    <row r="909" spans="1:7" ht="14.1" customHeight="1">
      <c r="A909" s="170" t="s">
        <v>107</v>
      </c>
      <c r="E909" s="215"/>
      <c r="F909" s="438" t="s">
        <v>106</v>
      </c>
      <c r="G909" s="479">
        <f>SUM(G907:G908)</f>
        <v>28.86</v>
      </c>
    </row>
    <row r="910" spans="1:7" ht="14.1" customHeight="1">
      <c r="A910" s="437" t="s">
        <v>108</v>
      </c>
      <c r="B910" s="656">
        <f>G909</f>
        <v>28.86</v>
      </c>
    </row>
    <row r="911" spans="1:7" ht="14.1" customHeight="1">
      <c r="A911" s="542" t="s">
        <v>2654</v>
      </c>
      <c r="B911" s="541"/>
    </row>
    <row r="912" spans="1:7" ht="14.1" customHeight="1">
      <c r="A912" s="622" t="s">
        <v>2714</v>
      </c>
      <c r="B912" s="541">
        <f>(B910+B911)*0.245</f>
        <v>7.0706999999999995</v>
      </c>
    </row>
    <row r="913" spans="1:8" ht="14.1" customHeight="1">
      <c r="A913" s="437" t="s">
        <v>111</v>
      </c>
      <c r="B913" s="657">
        <f>SUM(B910:B912)</f>
        <v>35.930700000000002</v>
      </c>
      <c r="H913" s="560"/>
    </row>
    <row r="914" spans="1:8" ht="11.25" customHeight="1">
      <c r="A914" s="516"/>
      <c r="B914" s="517"/>
      <c r="C914" s="518"/>
      <c r="D914" s="516"/>
      <c r="E914" s="517"/>
      <c r="F914" s="517"/>
      <c r="G914" s="517"/>
      <c r="H914" s="516"/>
    </row>
    <row r="915" spans="1:8" ht="11.25" customHeight="1">
      <c r="A915" s="424"/>
      <c r="B915" s="421"/>
      <c r="C915" s="423"/>
      <c r="D915" s="424"/>
      <c r="E915" s="421"/>
      <c r="F915" s="421"/>
      <c r="G915" s="421"/>
      <c r="H915" s="424"/>
    </row>
    <row r="916" spans="1:8" ht="14.25" customHeight="1">
      <c r="A916" s="170" t="s">
        <v>1258</v>
      </c>
    </row>
    <row r="917" spans="1:8" ht="13.5" customHeight="1">
      <c r="A917" s="220" t="s">
        <v>2522</v>
      </c>
    </row>
    <row r="918" spans="1:8" ht="29.25" customHeight="1">
      <c r="A918" s="505" t="s">
        <v>1536</v>
      </c>
      <c r="B918" s="505" t="s">
        <v>2521</v>
      </c>
      <c r="C918" s="559" t="s">
        <v>1574</v>
      </c>
      <c r="E918" s="505"/>
      <c r="F918" s="170"/>
      <c r="G918" s="506"/>
    </row>
    <row r="919" spans="1:8" ht="27.75" customHeight="1">
      <c r="A919" s="806" t="s">
        <v>30</v>
      </c>
      <c r="B919" s="507" t="s">
        <v>19</v>
      </c>
      <c r="C919" s="430" t="s">
        <v>92</v>
      </c>
      <c r="D919" s="803" t="s">
        <v>88</v>
      </c>
      <c r="E919" s="803" t="s">
        <v>93</v>
      </c>
      <c r="F919" s="432" t="s">
        <v>94</v>
      </c>
      <c r="G919" s="508" t="s">
        <v>95</v>
      </c>
    </row>
    <row r="920" spans="1:8" ht="15" customHeight="1">
      <c r="A920" s="1470">
        <v>88270</v>
      </c>
      <c r="B920" s="1416" t="s">
        <v>1938</v>
      </c>
      <c r="C920" s="430" t="s">
        <v>117</v>
      </c>
      <c r="D920" s="1418" t="s">
        <v>410</v>
      </c>
      <c r="E920" s="1471">
        <f>0.33</f>
        <v>0.33</v>
      </c>
      <c r="F920" s="435">
        <f>'COMP AUX'!G389</f>
        <v>15.82</v>
      </c>
      <c r="G920" s="474">
        <f t="shared" ref="G920" si="64">TRUNC(E920*F920,2)</f>
        <v>5.22</v>
      </c>
    </row>
    <row r="921" spans="1:8" ht="15" customHeight="1">
      <c r="A921" s="1454"/>
      <c r="B921" s="1417"/>
      <c r="C921" s="430" t="s">
        <v>99</v>
      </c>
      <c r="D921" s="1419"/>
      <c r="E921" s="1472"/>
      <c r="F921" s="435">
        <f>'COMP AUX'!G390</f>
        <v>4.5600000000000005</v>
      </c>
      <c r="G921" s="474">
        <f>TRUNC(E920*F921,2)</f>
        <v>1.5</v>
      </c>
    </row>
    <row r="922" spans="1:8" ht="25.5" customHeight="1">
      <c r="A922" s="806" t="s">
        <v>586</v>
      </c>
      <c r="B922" s="717" t="s">
        <v>587</v>
      </c>
      <c r="C922" s="470" t="s">
        <v>99</v>
      </c>
      <c r="D922" s="450" t="s">
        <v>2219</v>
      </c>
      <c r="E922" s="1021">
        <f>3.226</f>
        <v>3.226</v>
      </c>
      <c r="F922" s="452">
        <v>28.24</v>
      </c>
      <c r="G922" s="474">
        <f>TRUNC(E922*F922,2)</f>
        <v>91.1</v>
      </c>
    </row>
    <row r="923" spans="1:8" ht="15" customHeight="1">
      <c r="E923" s="215"/>
      <c r="F923" s="514" t="s">
        <v>103</v>
      </c>
      <c r="G923" s="1022">
        <f>G920</f>
        <v>5.22</v>
      </c>
    </row>
    <row r="924" spans="1:8" ht="15" customHeight="1">
      <c r="E924" s="215"/>
      <c r="F924" s="438" t="s">
        <v>105</v>
      </c>
      <c r="G924" s="474">
        <f>G921+G922</f>
        <v>92.6</v>
      </c>
    </row>
    <row r="925" spans="1:8" ht="15" customHeight="1">
      <c r="A925" s="170" t="s">
        <v>107</v>
      </c>
      <c r="E925" s="215"/>
      <c r="F925" s="438" t="s">
        <v>106</v>
      </c>
      <c r="G925" s="479">
        <f>SUM(G923:G924)</f>
        <v>97.82</v>
      </c>
    </row>
    <row r="926" spans="1:8" ht="15" customHeight="1">
      <c r="A926" s="437" t="s">
        <v>108</v>
      </c>
      <c r="B926" s="656">
        <f>G925</f>
        <v>97.82</v>
      </c>
    </row>
    <row r="927" spans="1:8" ht="15" customHeight="1">
      <c r="A927" s="542" t="s">
        <v>2654</v>
      </c>
      <c r="B927" s="541"/>
    </row>
    <row r="928" spans="1:8" ht="15" customHeight="1">
      <c r="A928" s="622" t="s">
        <v>2714</v>
      </c>
      <c r="B928" s="541">
        <f>(B926+B927)*0.245</f>
        <v>23.965899999999998</v>
      </c>
    </row>
    <row r="929" spans="1:8" ht="15" customHeight="1">
      <c r="A929" s="437" t="s">
        <v>111</v>
      </c>
      <c r="B929" s="657">
        <f>SUM(B926:B928)</f>
        <v>121.7859</v>
      </c>
      <c r="H929" s="560"/>
    </row>
    <row r="930" spans="1:8" ht="11.25" customHeight="1">
      <c r="A930" s="516"/>
      <c r="B930" s="517"/>
      <c r="C930" s="518"/>
      <c r="D930" s="516"/>
      <c r="E930" s="517"/>
      <c r="F930" s="517"/>
      <c r="G930" s="517"/>
      <c r="H930" s="516"/>
    </row>
    <row r="931" spans="1:8" ht="11.25" customHeight="1">
      <c r="A931" s="424"/>
      <c r="B931" s="421"/>
      <c r="C931" s="423"/>
      <c r="D931" s="424"/>
      <c r="E931" s="421"/>
      <c r="F931" s="421"/>
      <c r="G931" s="421"/>
      <c r="H931" s="424"/>
    </row>
    <row r="932" spans="1:8" ht="11.25" customHeight="1">
      <c r="A932" s="170" t="s">
        <v>1258</v>
      </c>
      <c r="H932" s="424"/>
    </row>
    <row r="933" spans="1:8" ht="15" customHeight="1">
      <c r="A933" s="220" t="s">
        <v>2580</v>
      </c>
      <c r="H933" s="424"/>
    </row>
    <row r="934" spans="1:8" ht="42.75" customHeight="1">
      <c r="A934" s="505" t="s">
        <v>1536</v>
      </c>
      <c r="B934" s="1429" t="s">
        <v>2082</v>
      </c>
      <c r="C934" s="1429"/>
      <c r="D934" s="1429"/>
      <c r="E934" s="722" t="s">
        <v>1574</v>
      </c>
      <c r="F934" s="170"/>
      <c r="G934" s="506"/>
      <c r="H934" s="424"/>
    </row>
    <row r="935" spans="1:8" ht="22.5" customHeight="1">
      <c r="A935" s="1003" t="s">
        <v>30</v>
      </c>
      <c r="B935" s="507" t="s">
        <v>19</v>
      </c>
      <c r="C935" s="430" t="s">
        <v>92</v>
      </c>
      <c r="D935" s="1005" t="s">
        <v>88</v>
      </c>
      <c r="E935" s="1005" t="s">
        <v>93</v>
      </c>
      <c r="F935" s="432" t="s">
        <v>94</v>
      </c>
      <c r="G935" s="508" t="s">
        <v>95</v>
      </c>
      <c r="H935" s="424"/>
    </row>
    <row r="936" spans="1:8" ht="14.1" customHeight="1">
      <c r="A936" s="1422" t="s">
        <v>1404</v>
      </c>
      <c r="B936" s="1416" t="s">
        <v>123</v>
      </c>
      <c r="C936" s="430" t="s">
        <v>117</v>
      </c>
      <c r="D936" s="1424" t="s">
        <v>410</v>
      </c>
      <c r="E936" s="1425">
        <v>0.43</v>
      </c>
      <c r="F936" s="435">
        <f>'COMP AUX'!G104</f>
        <v>11.1</v>
      </c>
      <c r="G936" s="511">
        <f>TRUNC(E936*F936,2)</f>
        <v>4.7699999999999996</v>
      </c>
      <c r="H936" s="424"/>
    </row>
    <row r="937" spans="1:8" ht="14.1" customHeight="1">
      <c r="A937" s="1423"/>
      <c r="B937" s="1417"/>
      <c r="C937" s="430" t="s">
        <v>99</v>
      </c>
      <c r="D937" s="1424"/>
      <c r="E937" s="1426"/>
      <c r="F937" s="435">
        <f>'COMP AUX'!G105</f>
        <v>4.5600000000000005</v>
      </c>
      <c r="G937" s="456">
        <f>TRUNC(E936*F937,2)</f>
        <v>1.96</v>
      </c>
      <c r="H937" s="424"/>
    </row>
    <row r="938" spans="1:8" ht="14.1" customHeight="1">
      <c r="A938" s="1470">
        <v>88309</v>
      </c>
      <c r="B938" s="1416" t="s">
        <v>131</v>
      </c>
      <c r="C938" s="430" t="s">
        <v>117</v>
      </c>
      <c r="D938" s="1418" t="s">
        <v>410</v>
      </c>
      <c r="E938" s="1425">
        <v>0.86</v>
      </c>
      <c r="F938" s="435">
        <f>'COMP AUX'!G151</f>
        <v>14.93</v>
      </c>
      <c r="G938" s="456">
        <f t="shared" ref="G938" si="65">TRUNC(E938*F938,2)</f>
        <v>12.83</v>
      </c>
      <c r="H938" s="424"/>
    </row>
    <row r="939" spans="1:8" ht="14.1" customHeight="1">
      <c r="A939" s="1454"/>
      <c r="B939" s="1417"/>
      <c r="C939" s="430" t="s">
        <v>99</v>
      </c>
      <c r="D939" s="1419"/>
      <c r="E939" s="1426"/>
      <c r="F939" s="435">
        <f>'COMP AUX'!G152</f>
        <v>4.5600000000000005</v>
      </c>
      <c r="G939" s="456">
        <f>TRUNC(E938*F939,2)</f>
        <v>3.92</v>
      </c>
      <c r="H939" s="424"/>
    </row>
    <row r="940" spans="1:8" ht="34.5" customHeight="1">
      <c r="A940" s="1007" t="s">
        <v>2581</v>
      </c>
      <c r="B940" s="1001" t="s">
        <v>2582</v>
      </c>
      <c r="C940" s="430" t="s">
        <v>99</v>
      </c>
      <c r="D940" s="1008" t="s">
        <v>418</v>
      </c>
      <c r="E940" s="1000">
        <v>0.78500000000000003</v>
      </c>
      <c r="F940" s="435">
        <v>1.97</v>
      </c>
      <c r="G940" s="456">
        <f>TRUNC(E940*F940,2)</f>
        <v>1.54</v>
      </c>
      <c r="H940" s="424"/>
    </row>
    <row r="941" spans="1:8" ht="14.1" customHeight="1">
      <c r="A941" s="1007" t="s">
        <v>2583</v>
      </c>
      <c r="B941" s="1001" t="s">
        <v>2584</v>
      </c>
      <c r="C941" s="430" t="s">
        <v>99</v>
      </c>
      <c r="D941" s="1008" t="s">
        <v>2587</v>
      </c>
      <c r="E941" s="1000">
        <v>1.89E-2</v>
      </c>
      <c r="F941" s="435">
        <v>43.29</v>
      </c>
      <c r="G941" s="456">
        <f t="shared" ref="G941:G943" si="66">TRUNC(E941*F941,2)</f>
        <v>0.81</v>
      </c>
      <c r="H941" s="424"/>
    </row>
    <row r="942" spans="1:8" ht="24.75" customHeight="1">
      <c r="A942" s="721" t="s">
        <v>2585</v>
      </c>
      <c r="B942" s="496" t="s">
        <v>2586</v>
      </c>
      <c r="C942" s="430" t="s">
        <v>99</v>
      </c>
      <c r="D942" s="432" t="s">
        <v>408</v>
      </c>
      <c r="E942" s="519">
        <v>13.35</v>
      </c>
      <c r="F942" s="435">
        <v>1.73</v>
      </c>
      <c r="G942" s="456">
        <f t="shared" si="66"/>
        <v>23.09</v>
      </c>
      <c r="H942" s="424"/>
    </row>
    <row r="943" spans="1:8" ht="21.95" customHeight="1">
      <c r="A943" s="1470" t="s">
        <v>2588</v>
      </c>
      <c r="B943" s="1416" t="s">
        <v>2589</v>
      </c>
      <c r="C943" s="430" t="s">
        <v>117</v>
      </c>
      <c r="D943" s="1418" t="s">
        <v>1398</v>
      </c>
      <c r="E943" s="1471">
        <v>1.18E-2</v>
      </c>
      <c r="F943" s="435">
        <f>'COMP AUX'!G1554</f>
        <v>50.25</v>
      </c>
      <c r="G943" s="474">
        <f t="shared" si="66"/>
        <v>0.59</v>
      </c>
      <c r="H943" s="424"/>
    </row>
    <row r="944" spans="1:8" ht="21.95" customHeight="1">
      <c r="A944" s="1536"/>
      <c r="B944" s="1417"/>
      <c r="C944" s="430" t="s">
        <v>99</v>
      </c>
      <c r="D944" s="1419"/>
      <c r="E944" s="1472"/>
      <c r="F944" s="435">
        <f>'COMP AUX'!G1555</f>
        <v>292.83999999999997</v>
      </c>
      <c r="G944" s="474">
        <f>TRUNC(E943*F944,2)</f>
        <v>3.45</v>
      </c>
      <c r="H944" s="424"/>
    </row>
    <row r="945" spans="1:8" ht="14.1" customHeight="1">
      <c r="E945" s="215"/>
      <c r="F945" s="514" t="s">
        <v>103</v>
      </c>
      <c r="G945" s="1022">
        <f>G936+G938+G943</f>
        <v>18.190000000000001</v>
      </c>
    </row>
    <row r="946" spans="1:8" ht="14.1" customHeight="1">
      <c r="E946" s="215"/>
      <c r="F946" s="438" t="s">
        <v>105</v>
      </c>
      <c r="G946" s="474">
        <f>G937+G939+G940+G941+G942+G944</f>
        <v>34.770000000000003</v>
      </c>
    </row>
    <row r="947" spans="1:8" ht="14.1" customHeight="1">
      <c r="A947" s="170" t="s">
        <v>107</v>
      </c>
      <c r="E947" s="215"/>
      <c r="F947" s="438" t="s">
        <v>106</v>
      </c>
      <c r="G947" s="479">
        <f>SUM(G945:G946)</f>
        <v>52.960000000000008</v>
      </c>
    </row>
    <row r="948" spans="1:8" ht="14.1" customHeight="1">
      <c r="A948" s="437" t="s">
        <v>108</v>
      </c>
      <c r="B948" s="656">
        <f>G947</f>
        <v>52.960000000000008</v>
      </c>
    </row>
    <row r="949" spans="1:8" ht="14.1" customHeight="1">
      <c r="A949" s="542" t="s">
        <v>2654</v>
      </c>
      <c r="B949" s="541"/>
    </row>
    <row r="950" spans="1:8" ht="14.1" customHeight="1">
      <c r="A950" s="622" t="s">
        <v>2714</v>
      </c>
      <c r="B950" s="541">
        <f>(B948+B949)*0.245</f>
        <v>12.975200000000001</v>
      </c>
    </row>
    <row r="951" spans="1:8" ht="14.1" customHeight="1">
      <c r="A951" s="437" t="s">
        <v>111</v>
      </c>
      <c r="B951" s="657">
        <f>SUM(B948:B950)</f>
        <v>65.935200000000009</v>
      </c>
      <c r="H951" s="560"/>
    </row>
    <row r="952" spans="1:8" ht="11.25" customHeight="1">
      <c r="A952" s="516"/>
      <c r="B952" s="517"/>
      <c r="C952" s="518"/>
      <c r="D952" s="516"/>
      <c r="E952" s="517"/>
      <c r="F952" s="517"/>
      <c r="G952" s="517"/>
      <c r="H952" s="516"/>
    </row>
    <row r="953" spans="1:8" ht="11.25" customHeight="1">
      <c r="A953" s="424"/>
      <c r="B953" s="421"/>
      <c r="C953" s="423"/>
      <c r="D953" s="424"/>
      <c r="E953" s="421"/>
      <c r="F953" s="421"/>
      <c r="G953" s="421"/>
      <c r="H953" s="424"/>
    </row>
    <row r="954" spans="1:8" ht="11.25" customHeight="1">
      <c r="A954" s="170" t="s">
        <v>1258</v>
      </c>
    </row>
    <row r="955" spans="1:8" ht="11.25" customHeight="1">
      <c r="A955" s="220" t="s">
        <v>2595</v>
      </c>
    </row>
    <row r="956" spans="1:8" ht="35.25" customHeight="1">
      <c r="A956" s="505" t="s">
        <v>1536</v>
      </c>
      <c r="B956" s="1429" t="s">
        <v>2084</v>
      </c>
      <c r="C956" s="1429"/>
      <c r="D956" s="722" t="s">
        <v>1574</v>
      </c>
      <c r="E956" s="505"/>
      <c r="F956" s="170"/>
      <c r="G956" s="506"/>
    </row>
    <row r="957" spans="1:8" ht="21.75" customHeight="1">
      <c r="A957" s="1003" t="s">
        <v>30</v>
      </c>
      <c r="B957" s="507" t="s">
        <v>19</v>
      </c>
      <c r="C957" s="430" t="s">
        <v>92</v>
      </c>
      <c r="D957" s="1005" t="s">
        <v>88</v>
      </c>
      <c r="E957" s="1005" t="s">
        <v>93</v>
      </c>
      <c r="F957" s="432" t="s">
        <v>94</v>
      </c>
      <c r="G957" s="508" t="s">
        <v>95</v>
      </c>
    </row>
    <row r="958" spans="1:8" ht="14.1" customHeight="1">
      <c r="A958" s="1422" t="s">
        <v>1404</v>
      </c>
      <c r="B958" s="1416" t="s">
        <v>123</v>
      </c>
      <c r="C958" s="430" t="s">
        <v>117</v>
      </c>
      <c r="D958" s="1424" t="s">
        <v>410</v>
      </c>
      <c r="E958" s="1425">
        <v>7.0000000000000001E-3</v>
      </c>
      <c r="F958" s="435">
        <f>'COMP AUX'!G104</f>
        <v>11.1</v>
      </c>
      <c r="G958" s="511">
        <f>TRUNC(E958*F958,2)</f>
        <v>7.0000000000000007E-2</v>
      </c>
    </row>
    <row r="959" spans="1:8" ht="14.1" customHeight="1">
      <c r="A959" s="1423"/>
      <c r="B959" s="1417"/>
      <c r="C959" s="430" t="s">
        <v>99</v>
      </c>
      <c r="D959" s="1424"/>
      <c r="E959" s="1426"/>
      <c r="F959" s="435">
        <f>'COMP AUX'!G105</f>
        <v>4.5600000000000005</v>
      </c>
      <c r="G959" s="433">
        <f>TRUNC(E958*F959,2)</f>
        <v>0.03</v>
      </c>
    </row>
    <row r="960" spans="1:8" ht="14.1" customHeight="1">
      <c r="A960" s="1470" t="s">
        <v>1609</v>
      </c>
      <c r="B960" s="1416" t="s">
        <v>131</v>
      </c>
      <c r="C960" s="430" t="s">
        <v>117</v>
      </c>
      <c r="D960" s="1418" t="s">
        <v>410</v>
      </c>
      <c r="E960" s="1425">
        <v>7.0000000000000007E-2</v>
      </c>
      <c r="F960" s="452">
        <f>'COMP AUX'!G151</f>
        <v>14.93</v>
      </c>
      <c r="G960" s="456">
        <f t="shared" ref="G960" si="67">TRUNC(E960*F960,2)</f>
        <v>1.04</v>
      </c>
    </row>
    <row r="961" spans="1:8" ht="14.1" customHeight="1">
      <c r="A961" s="1454"/>
      <c r="B961" s="1417"/>
      <c r="C961" s="430" t="s">
        <v>99</v>
      </c>
      <c r="D961" s="1419"/>
      <c r="E961" s="1426"/>
      <c r="F961" s="435">
        <f>'COMP AUX'!G152</f>
        <v>4.5600000000000005</v>
      </c>
      <c r="G961" s="456">
        <f>TRUNC(E960*F961,2)</f>
        <v>0.31</v>
      </c>
    </row>
    <row r="962" spans="1:8" ht="14.1" customHeight="1">
      <c r="A962" s="1470" t="s">
        <v>2596</v>
      </c>
      <c r="B962" s="1416" t="s">
        <v>2597</v>
      </c>
      <c r="C962" s="430" t="s">
        <v>117</v>
      </c>
      <c r="D962" s="1418" t="s">
        <v>1398</v>
      </c>
      <c r="E962" s="1471">
        <v>4.1999999999999997E-3</v>
      </c>
      <c r="F962" s="435">
        <f>'COMP AUX'!G1567</f>
        <v>120.87</v>
      </c>
      <c r="G962" s="456">
        <f>TRUNC(E962*F962,2)</f>
        <v>0.5</v>
      </c>
    </row>
    <row r="963" spans="1:8" ht="14.1" customHeight="1">
      <c r="A963" s="1454"/>
      <c r="B963" s="1417"/>
      <c r="C963" s="430" t="s">
        <v>99</v>
      </c>
      <c r="D963" s="1419"/>
      <c r="E963" s="1472"/>
      <c r="F963" s="435">
        <f>'COMP AUX'!G1568</f>
        <v>305.24</v>
      </c>
      <c r="G963" s="456">
        <f>TRUNC(E962*F963,2)</f>
        <v>1.28</v>
      </c>
    </row>
    <row r="964" spans="1:8" ht="14.1" customHeight="1">
      <c r="E964" s="215"/>
      <c r="F964" s="514" t="s">
        <v>103</v>
      </c>
      <c r="G964" s="466">
        <f>G958+G960+G962</f>
        <v>1.61</v>
      </c>
    </row>
    <row r="965" spans="1:8" ht="14.1" customHeight="1">
      <c r="E965" s="215"/>
      <c r="F965" s="438" t="s">
        <v>105</v>
      </c>
      <c r="G965" s="456">
        <f>G959+G961+G963</f>
        <v>1.62</v>
      </c>
    </row>
    <row r="966" spans="1:8" ht="14.1" customHeight="1">
      <c r="A966" s="170" t="s">
        <v>107</v>
      </c>
      <c r="E966" s="215"/>
      <c r="F966" s="438" t="s">
        <v>106</v>
      </c>
      <c r="G966" s="457">
        <f>SUM(G964:G965)</f>
        <v>3.2300000000000004</v>
      </c>
    </row>
    <row r="967" spans="1:8" ht="14.1" customHeight="1">
      <c r="A967" s="437" t="s">
        <v>108</v>
      </c>
      <c r="B967" s="548">
        <f>G966</f>
        <v>3.2300000000000004</v>
      </c>
    </row>
    <row r="968" spans="1:8" ht="14.1" customHeight="1">
      <c r="A968" s="542" t="s">
        <v>2654</v>
      </c>
      <c r="B968" s="541"/>
    </row>
    <row r="969" spans="1:8" ht="14.1" customHeight="1">
      <c r="A969" s="622" t="s">
        <v>2714</v>
      </c>
      <c r="B969" s="541">
        <f>(B967+B968)*0.245</f>
        <v>0.79135000000000011</v>
      </c>
    </row>
    <row r="970" spans="1:8" ht="14.1" customHeight="1">
      <c r="A970" s="437" t="s">
        <v>111</v>
      </c>
      <c r="B970" s="549">
        <f>SUM(B967:B969)</f>
        <v>4.0213500000000009</v>
      </c>
      <c r="H970" s="560"/>
    </row>
    <row r="971" spans="1:8" ht="11.25" customHeight="1">
      <c r="A971" s="516"/>
      <c r="B971" s="517"/>
      <c r="C971" s="518"/>
      <c r="D971" s="516"/>
      <c r="E971" s="517"/>
      <c r="F971" s="517"/>
      <c r="G971" s="517"/>
      <c r="H971" s="516"/>
    </row>
    <row r="972" spans="1:8" ht="11.25" customHeight="1">
      <c r="A972" s="424"/>
      <c r="B972" s="421"/>
      <c r="C972" s="423"/>
      <c r="D972" s="424"/>
      <c r="E972" s="421"/>
      <c r="F972" s="421"/>
      <c r="G972" s="421"/>
      <c r="H972" s="424"/>
    </row>
    <row r="973" spans="1:8" ht="11.25" customHeight="1">
      <c r="A973" s="170" t="s">
        <v>1258</v>
      </c>
    </row>
    <row r="974" spans="1:8" ht="11.25" customHeight="1">
      <c r="A974" s="220" t="s">
        <v>2601</v>
      </c>
    </row>
    <row r="975" spans="1:8" ht="51" customHeight="1">
      <c r="A975" s="505" t="s">
        <v>1536</v>
      </c>
      <c r="B975" s="1429" t="s">
        <v>2602</v>
      </c>
      <c r="C975" s="1429"/>
      <c r="D975" s="1429"/>
      <c r="E975" s="1040" t="s">
        <v>1574</v>
      </c>
      <c r="F975" s="170"/>
      <c r="G975" s="506"/>
    </row>
    <row r="976" spans="1:8" ht="25.5" customHeight="1">
      <c r="A976" s="1003" t="s">
        <v>30</v>
      </c>
      <c r="B976" s="507" t="s">
        <v>19</v>
      </c>
      <c r="C976" s="430" t="s">
        <v>92</v>
      </c>
      <c r="D976" s="1005" t="s">
        <v>88</v>
      </c>
      <c r="E976" s="1005" t="s">
        <v>93</v>
      </c>
      <c r="F976" s="432" t="s">
        <v>94</v>
      </c>
      <c r="G976" s="508" t="s">
        <v>95</v>
      </c>
    </row>
    <row r="977" spans="1:8" ht="14.1" customHeight="1">
      <c r="A977" s="1422" t="s">
        <v>1404</v>
      </c>
      <c r="B977" s="1416" t="s">
        <v>123</v>
      </c>
      <c r="C977" s="430" t="s">
        <v>117</v>
      </c>
      <c r="D977" s="1424" t="s">
        <v>410</v>
      </c>
      <c r="E977" s="1425">
        <v>0.21099999999999999</v>
      </c>
      <c r="F977" s="435">
        <f>'COMP AUX'!G104</f>
        <v>11.1</v>
      </c>
      <c r="G977" s="511">
        <f>TRUNC(E977*F977,2)</f>
        <v>2.34</v>
      </c>
    </row>
    <row r="978" spans="1:8" ht="14.1" customHeight="1">
      <c r="A978" s="1423"/>
      <c r="B978" s="1417"/>
      <c r="C978" s="430" t="s">
        <v>99</v>
      </c>
      <c r="D978" s="1424"/>
      <c r="E978" s="1426"/>
      <c r="F978" s="435">
        <f>'COMP AUX'!G105</f>
        <v>4.5600000000000005</v>
      </c>
      <c r="G978" s="433">
        <f>TRUNC(E977*F978,2)</f>
        <v>0.96</v>
      </c>
    </row>
    <row r="979" spans="1:8" ht="14.1" customHeight="1">
      <c r="A979" s="1470" t="s">
        <v>1609</v>
      </c>
      <c r="B979" s="1416" t="s">
        <v>131</v>
      </c>
      <c r="C979" s="430" t="s">
        <v>117</v>
      </c>
      <c r="D979" s="1418" t="s">
        <v>410</v>
      </c>
      <c r="E979" s="1425">
        <v>0.57999999999999996</v>
      </c>
      <c r="F979" s="452">
        <f>'COMP AUX'!G151</f>
        <v>14.93</v>
      </c>
      <c r="G979" s="456">
        <f t="shared" ref="G979" si="68">TRUNC(E979*F979,2)</f>
        <v>8.65</v>
      </c>
    </row>
    <row r="980" spans="1:8" ht="14.1" customHeight="1">
      <c r="A980" s="1454"/>
      <c r="B980" s="1417"/>
      <c r="C980" s="430" t="s">
        <v>99</v>
      </c>
      <c r="D980" s="1419"/>
      <c r="E980" s="1426"/>
      <c r="F980" s="435">
        <f>'COMP AUX'!G152</f>
        <v>4.5600000000000005</v>
      </c>
      <c r="G980" s="456">
        <f>TRUNC(E979*F980,2)</f>
        <v>2.64</v>
      </c>
    </row>
    <row r="981" spans="1:8" ht="20.100000000000001" customHeight="1">
      <c r="A981" s="1470">
        <v>87292</v>
      </c>
      <c r="B981" s="1416" t="s">
        <v>2589</v>
      </c>
      <c r="C981" s="430" t="s">
        <v>117</v>
      </c>
      <c r="D981" s="1418" t="s">
        <v>1398</v>
      </c>
      <c r="E981" s="1471">
        <v>3.7600000000000001E-2</v>
      </c>
      <c r="F981" s="435">
        <f>'COMP AUX'!G1554</f>
        <v>50.25</v>
      </c>
      <c r="G981" s="456">
        <f>TRUNC(E981*F981,2)</f>
        <v>1.88</v>
      </c>
    </row>
    <row r="982" spans="1:8" ht="20.100000000000001" customHeight="1">
      <c r="A982" s="1454"/>
      <c r="B982" s="1417"/>
      <c r="C982" s="430" t="s">
        <v>99</v>
      </c>
      <c r="D982" s="1419"/>
      <c r="E982" s="1472"/>
      <c r="F982" s="435">
        <f>'COMP AUX'!G1555</f>
        <v>292.83999999999997</v>
      </c>
      <c r="G982" s="456">
        <f>TRUNC(E981*F982,2)</f>
        <v>11.01</v>
      </c>
    </row>
    <row r="983" spans="1:8" ht="14.1" customHeight="1">
      <c r="E983" s="215"/>
      <c r="F983" s="514" t="s">
        <v>103</v>
      </c>
      <c r="G983" s="466">
        <f>G977+G979+G981</f>
        <v>12.870000000000001</v>
      </c>
    </row>
    <row r="984" spans="1:8" ht="14.1" customHeight="1">
      <c r="E984" s="215"/>
      <c r="F984" s="438" t="s">
        <v>105</v>
      </c>
      <c r="G984" s="456">
        <f>G978+G980+G982</f>
        <v>14.61</v>
      </c>
    </row>
    <row r="985" spans="1:8" ht="14.1" customHeight="1">
      <c r="A985" s="170" t="s">
        <v>107</v>
      </c>
      <c r="E985" s="215"/>
      <c r="F985" s="438" t="s">
        <v>106</v>
      </c>
      <c r="G985" s="457">
        <f>SUM(G983:G984)</f>
        <v>27.48</v>
      </c>
    </row>
    <row r="986" spans="1:8" ht="14.1" customHeight="1">
      <c r="A986" s="437" t="s">
        <v>108</v>
      </c>
      <c r="B986" s="548">
        <f>G985</f>
        <v>27.48</v>
      </c>
    </row>
    <row r="987" spans="1:8" ht="14.1" customHeight="1">
      <c r="A987" s="542" t="s">
        <v>2654</v>
      </c>
      <c r="B987" s="541"/>
    </row>
    <row r="988" spans="1:8" ht="14.1" customHeight="1">
      <c r="A988" s="622" t="s">
        <v>2714</v>
      </c>
      <c r="B988" s="541">
        <f>(B986+B987)*0.245</f>
        <v>6.7325999999999997</v>
      </c>
    </row>
    <row r="989" spans="1:8" ht="14.1" customHeight="1">
      <c r="A989" s="437" t="s">
        <v>111</v>
      </c>
      <c r="B989" s="549">
        <f>SUM(B986:B988)</f>
        <v>34.212600000000002</v>
      </c>
      <c r="H989" s="560"/>
    </row>
    <row r="990" spans="1:8" ht="11.25" customHeight="1">
      <c r="A990" s="516"/>
      <c r="B990" s="517"/>
      <c r="C990" s="518"/>
      <c r="D990" s="516"/>
      <c r="E990" s="517"/>
      <c r="F990" s="517"/>
      <c r="G990" s="517"/>
      <c r="H990" s="516"/>
    </row>
    <row r="991" spans="1:8" ht="11.25" customHeight="1">
      <c r="A991" s="424"/>
      <c r="B991" s="421"/>
      <c r="C991" s="423"/>
      <c r="D991" s="424"/>
      <c r="E991" s="421"/>
      <c r="F991" s="421"/>
      <c r="G991" s="421"/>
      <c r="H991" s="424"/>
    </row>
    <row r="992" spans="1:8" ht="11.25" customHeight="1">
      <c r="A992" s="170" t="s">
        <v>1258</v>
      </c>
    </row>
    <row r="993" spans="1:8" ht="11.25" customHeight="1">
      <c r="A993" s="220" t="s">
        <v>2599</v>
      </c>
    </row>
    <row r="994" spans="1:8" ht="39" customHeight="1">
      <c r="A994" s="505" t="s">
        <v>1536</v>
      </c>
      <c r="B994" s="1429" t="s">
        <v>2600</v>
      </c>
      <c r="C994" s="1429"/>
      <c r="D994" s="1429"/>
      <c r="E994" s="722" t="s">
        <v>1574</v>
      </c>
      <c r="F994" s="170"/>
      <c r="G994" s="506"/>
    </row>
    <row r="995" spans="1:8" ht="21" customHeight="1">
      <c r="A995" s="1003" t="s">
        <v>30</v>
      </c>
      <c r="B995" s="507" t="s">
        <v>19</v>
      </c>
      <c r="C995" s="430" t="s">
        <v>92</v>
      </c>
      <c r="D995" s="1005" t="s">
        <v>88</v>
      </c>
      <c r="E995" s="1005" t="s">
        <v>93</v>
      </c>
      <c r="F995" s="432" t="s">
        <v>94</v>
      </c>
      <c r="G995" s="508" t="s">
        <v>95</v>
      </c>
    </row>
    <row r="996" spans="1:8" ht="15" customHeight="1">
      <c r="A996" s="1422" t="s">
        <v>1404</v>
      </c>
      <c r="B996" s="1416" t="s">
        <v>123</v>
      </c>
      <c r="C996" s="430" t="s">
        <v>117</v>
      </c>
      <c r="D996" s="1424" t="s">
        <v>410</v>
      </c>
      <c r="E996" s="1425">
        <v>0.17100000000000001</v>
      </c>
      <c r="F996" s="435">
        <f>'COMP AUX'!G104</f>
        <v>11.1</v>
      </c>
      <c r="G996" s="511">
        <f>TRUNC(E996*F996,2)</f>
        <v>1.89</v>
      </c>
    </row>
    <row r="997" spans="1:8" ht="15" customHeight="1">
      <c r="A997" s="1423"/>
      <c r="B997" s="1417"/>
      <c r="C997" s="430" t="s">
        <v>99</v>
      </c>
      <c r="D997" s="1424"/>
      <c r="E997" s="1426"/>
      <c r="F997" s="435">
        <f>'COMP AUX'!G105</f>
        <v>4.5600000000000005</v>
      </c>
      <c r="G997" s="433">
        <f>TRUNC(E996*F997,2)</f>
        <v>0.77</v>
      </c>
    </row>
    <row r="998" spans="1:8" ht="15" customHeight="1">
      <c r="A998" s="1470" t="s">
        <v>1609</v>
      </c>
      <c r="B998" s="1416" t="s">
        <v>131</v>
      </c>
      <c r="C998" s="430" t="s">
        <v>117</v>
      </c>
      <c r="D998" s="1418" t="s">
        <v>410</v>
      </c>
      <c r="E998" s="1425">
        <v>0.47</v>
      </c>
      <c r="F998" s="452">
        <f>'COMP AUX'!G151</f>
        <v>14.93</v>
      </c>
      <c r="G998" s="456">
        <f t="shared" ref="G998" si="69">TRUNC(E998*F998,2)</f>
        <v>7.01</v>
      </c>
    </row>
    <row r="999" spans="1:8" ht="15" customHeight="1">
      <c r="A999" s="1454"/>
      <c r="B999" s="1417"/>
      <c r="C999" s="430" t="s">
        <v>99</v>
      </c>
      <c r="D999" s="1419"/>
      <c r="E999" s="1426"/>
      <c r="F999" s="435">
        <f>'COMP AUX'!G152</f>
        <v>4.5600000000000005</v>
      </c>
      <c r="G999" s="456">
        <f>TRUNC(E998*F999,2)</f>
        <v>2.14</v>
      </c>
    </row>
    <row r="1000" spans="1:8" ht="20.100000000000001" customHeight="1">
      <c r="A1000" s="1470">
        <v>87292</v>
      </c>
      <c r="B1000" s="1416" t="s">
        <v>2589</v>
      </c>
      <c r="C1000" s="430" t="s">
        <v>117</v>
      </c>
      <c r="D1000" s="1418" t="s">
        <v>1398</v>
      </c>
      <c r="E1000" s="1471">
        <v>3.7600000000000001E-2</v>
      </c>
      <c r="F1000" s="435">
        <f>'COMP AUX'!G1554</f>
        <v>50.25</v>
      </c>
      <c r="G1000" s="456">
        <f>TRUNC(E1000*F1000,2)</f>
        <v>1.88</v>
      </c>
    </row>
    <row r="1001" spans="1:8" ht="20.100000000000001" customHeight="1">
      <c r="A1001" s="1454"/>
      <c r="B1001" s="1417"/>
      <c r="C1001" s="430" t="s">
        <v>99</v>
      </c>
      <c r="D1001" s="1419"/>
      <c r="E1001" s="1472"/>
      <c r="F1001" s="435">
        <f>'COMP AUX'!G1555</f>
        <v>292.83999999999997</v>
      </c>
      <c r="G1001" s="456">
        <f>TRUNC(E1000*F1001,2)</f>
        <v>11.01</v>
      </c>
    </row>
    <row r="1002" spans="1:8" ht="15" customHeight="1">
      <c r="E1002" s="215"/>
      <c r="F1002" s="514" t="s">
        <v>103</v>
      </c>
      <c r="G1002" s="466">
        <f>G996+G998+G1000</f>
        <v>10.780000000000001</v>
      </c>
    </row>
    <row r="1003" spans="1:8" ht="15" customHeight="1">
      <c r="E1003" s="215"/>
      <c r="F1003" s="438" t="s">
        <v>105</v>
      </c>
      <c r="G1003" s="456">
        <f>G997+G999+G1001</f>
        <v>13.92</v>
      </c>
    </row>
    <row r="1004" spans="1:8" ht="15" customHeight="1">
      <c r="A1004" s="170" t="s">
        <v>107</v>
      </c>
      <c r="E1004" s="215"/>
      <c r="F1004" s="438" t="s">
        <v>106</v>
      </c>
      <c r="G1004" s="457">
        <f>SUM(G1002:G1003)</f>
        <v>24.700000000000003</v>
      </c>
    </row>
    <row r="1005" spans="1:8" ht="15" customHeight="1">
      <c r="A1005" s="437" t="s">
        <v>108</v>
      </c>
      <c r="B1005" s="548">
        <f>G1004</f>
        <v>24.700000000000003</v>
      </c>
    </row>
    <row r="1006" spans="1:8" ht="15" customHeight="1">
      <c r="A1006" s="542" t="s">
        <v>2654</v>
      </c>
      <c r="B1006" s="541"/>
    </row>
    <row r="1007" spans="1:8" ht="15" customHeight="1">
      <c r="A1007" s="622" t="s">
        <v>2714</v>
      </c>
      <c r="B1007" s="541">
        <f>(B1005+B1006)*0.245</f>
        <v>6.0515000000000008</v>
      </c>
    </row>
    <row r="1008" spans="1:8" ht="15" customHeight="1">
      <c r="A1008" s="437" t="s">
        <v>111</v>
      </c>
      <c r="B1008" s="549">
        <f>SUM(B1005:B1007)</f>
        <v>30.751500000000004</v>
      </c>
      <c r="H1008" s="560"/>
    </row>
    <row r="1009" spans="1:8" ht="11.25" customHeight="1">
      <c r="A1009" s="516"/>
      <c r="B1009" s="517"/>
      <c r="C1009" s="518"/>
      <c r="D1009" s="516"/>
      <c r="E1009" s="517"/>
      <c r="F1009" s="517"/>
      <c r="G1009" s="517"/>
      <c r="H1009" s="516"/>
    </row>
    <row r="1010" spans="1:8" ht="11.25" customHeight="1">
      <c r="A1010" s="424"/>
      <c r="B1010" s="421"/>
      <c r="C1010" s="423"/>
      <c r="D1010" s="424"/>
      <c r="E1010" s="421"/>
      <c r="F1010" s="421"/>
      <c r="G1010" s="421"/>
      <c r="H1010" s="424"/>
    </row>
    <row r="1011" spans="1:8" ht="11.25" customHeight="1">
      <c r="A1011" s="170" t="s">
        <v>1258</v>
      </c>
    </row>
    <row r="1012" spans="1:8" ht="11.25" customHeight="1">
      <c r="A1012" s="220" t="s">
        <v>2603</v>
      </c>
    </row>
    <row r="1013" spans="1:8" ht="24" customHeight="1">
      <c r="A1013" s="505" t="s">
        <v>1536</v>
      </c>
      <c r="B1013" s="1429" t="s">
        <v>2604</v>
      </c>
      <c r="C1013" s="1429"/>
      <c r="D1013" s="1429"/>
      <c r="E1013" s="722" t="s">
        <v>1574</v>
      </c>
      <c r="F1013" s="170"/>
      <c r="G1013" s="506"/>
    </row>
    <row r="1014" spans="1:8" ht="22.5" customHeight="1">
      <c r="A1014" s="1003" t="s">
        <v>30</v>
      </c>
      <c r="B1014" s="507" t="s">
        <v>19</v>
      </c>
      <c r="C1014" s="430" t="s">
        <v>92</v>
      </c>
      <c r="D1014" s="1005" t="s">
        <v>88</v>
      </c>
      <c r="E1014" s="1005" t="s">
        <v>93</v>
      </c>
      <c r="F1014" s="432" t="s">
        <v>94</v>
      </c>
      <c r="G1014" s="508" t="s">
        <v>95</v>
      </c>
    </row>
    <row r="1015" spans="1:8" ht="14.1" customHeight="1">
      <c r="A1015" s="1422" t="s">
        <v>1404</v>
      </c>
      <c r="B1015" s="1416" t="s">
        <v>123</v>
      </c>
      <c r="C1015" s="430" t="s">
        <v>117</v>
      </c>
      <c r="D1015" s="1424" t="s">
        <v>410</v>
      </c>
      <c r="E1015" s="1425">
        <v>1.4E-2</v>
      </c>
      <c r="F1015" s="435">
        <f>'COMP AUX'!G104</f>
        <v>11.1</v>
      </c>
      <c r="G1015" s="511">
        <f>TRUNC(E1015*F1015,2)</f>
        <v>0.15</v>
      </c>
    </row>
    <row r="1016" spans="1:8" ht="14.1" customHeight="1">
      <c r="A1016" s="1423"/>
      <c r="B1016" s="1417"/>
      <c r="C1016" s="430" t="s">
        <v>99</v>
      </c>
      <c r="D1016" s="1424"/>
      <c r="E1016" s="1426"/>
      <c r="F1016" s="435">
        <f>'COMP AUX'!G105</f>
        <v>4.5600000000000005</v>
      </c>
      <c r="G1016" s="433">
        <f>TRUNC(E1015*F1016,2)</f>
        <v>0.06</v>
      </c>
    </row>
    <row r="1017" spans="1:8" ht="14.1" customHeight="1">
      <c r="A1017" s="1470">
        <v>88310</v>
      </c>
      <c r="B1017" s="1416" t="s">
        <v>1024</v>
      </c>
      <c r="C1017" s="430" t="s">
        <v>117</v>
      </c>
      <c r="D1017" s="1418" t="s">
        <v>410</v>
      </c>
      <c r="E1017" s="1425">
        <v>0.47</v>
      </c>
      <c r="F1017" s="452">
        <f>'COMP AUX'!G236</f>
        <v>14.85</v>
      </c>
      <c r="G1017" s="456">
        <f t="shared" ref="G1017" si="70">TRUNC(E1017*F1017,2)</f>
        <v>6.97</v>
      </c>
    </row>
    <row r="1018" spans="1:8" ht="14.1" customHeight="1">
      <c r="A1018" s="1454"/>
      <c r="B1018" s="1417"/>
      <c r="C1018" s="430" t="s">
        <v>99</v>
      </c>
      <c r="D1018" s="1419"/>
      <c r="E1018" s="1426"/>
      <c r="F1018" s="452">
        <f>'COMP AUX'!G237</f>
        <v>4.5600000000000005</v>
      </c>
      <c r="G1018" s="456">
        <f>TRUNC(E1017*F1018,2)</f>
        <v>2.14</v>
      </c>
    </row>
    <row r="1019" spans="1:8" ht="14.1" customHeight="1">
      <c r="A1019" s="1007">
        <v>6085</v>
      </c>
      <c r="B1019" s="972" t="s">
        <v>2605</v>
      </c>
      <c r="C1019" s="430" t="s">
        <v>99</v>
      </c>
      <c r="D1019" s="1008" t="s">
        <v>1276</v>
      </c>
      <c r="E1019" s="1002">
        <v>0.16</v>
      </c>
      <c r="F1019" s="435">
        <v>4.3499999999999996</v>
      </c>
      <c r="G1019" s="456">
        <f>TRUNC(E1019*F1019,2)</f>
        <v>0.69</v>
      </c>
    </row>
    <row r="1020" spans="1:8" ht="14.1" customHeight="1">
      <c r="E1020" s="215"/>
      <c r="F1020" s="514" t="s">
        <v>103</v>
      </c>
      <c r="G1020" s="466">
        <f>G1015+G1017</f>
        <v>7.12</v>
      </c>
    </row>
    <row r="1021" spans="1:8" ht="14.1" customHeight="1">
      <c r="E1021" s="215"/>
      <c r="F1021" s="438" t="s">
        <v>105</v>
      </c>
      <c r="G1021" s="456">
        <f>G1016+G1018+G1019</f>
        <v>2.89</v>
      </c>
    </row>
    <row r="1022" spans="1:8" ht="14.1" customHeight="1">
      <c r="A1022" s="170" t="s">
        <v>107</v>
      </c>
      <c r="E1022" s="215"/>
      <c r="F1022" s="438" t="s">
        <v>106</v>
      </c>
      <c r="G1022" s="457">
        <f>SUM(G1020:G1021)</f>
        <v>10.01</v>
      </c>
    </row>
    <row r="1023" spans="1:8" ht="14.1" customHeight="1">
      <c r="A1023" s="437" t="s">
        <v>108</v>
      </c>
      <c r="B1023" s="548">
        <f>G1022</f>
        <v>10.01</v>
      </c>
    </row>
    <row r="1024" spans="1:8" ht="14.1" customHeight="1">
      <c r="A1024" s="542" t="s">
        <v>2654</v>
      </c>
      <c r="B1024" s="541"/>
    </row>
    <row r="1025" spans="1:8" ht="14.1" customHeight="1">
      <c r="A1025" s="622" t="s">
        <v>2714</v>
      </c>
      <c r="B1025" s="541">
        <f>(B1023+B1024)*0.245</f>
        <v>2.4524499999999998</v>
      </c>
    </row>
    <row r="1026" spans="1:8" ht="14.1" customHeight="1">
      <c r="A1026" s="437" t="s">
        <v>111</v>
      </c>
      <c r="B1026" s="549">
        <f>SUM(B1023:B1025)</f>
        <v>12.46245</v>
      </c>
      <c r="H1026" s="560"/>
    </row>
    <row r="1027" spans="1:8" ht="11.25" customHeight="1">
      <c r="A1027" s="516"/>
      <c r="B1027" s="517"/>
      <c r="C1027" s="518"/>
      <c r="D1027" s="516"/>
      <c r="E1027" s="517"/>
      <c r="F1027" s="517"/>
      <c r="G1027" s="517"/>
      <c r="H1027" s="516"/>
    </row>
    <row r="1028" spans="1:8" ht="11.25" customHeight="1">
      <c r="A1028" s="424"/>
      <c r="B1028" s="421"/>
      <c r="C1028" s="423"/>
      <c r="D1028" s="424"/>
      <c r="E1028" s="421"/>
      <c r="F1028" s="421"/>
      <c r="G1028" s="421"/>
      <c r="H1028" s="424"/>
    </row>
    <row r="1029" spans="1:8" ht="11.25" customHeight="1">
      <c r="A1029" s="170" t="s">
        <v>1258</v>
      </c>
    </row>
    <row r="1030" spans="1:8" ht="11.25" customHeight="1">
      <c r="A1030" s="220" t="s">
        <v>2606</v>
      </c>
    </row>
    <row r="1031" spans="1:8" ht="16.5" customHeight="1">
      <c r="A1031" s="505" t="s">
        <v>1536</v>
      </c>
      <c r="B1031" s="1429" t="s">
        <v>2102</v>
      </c>
      <c r="C1031" s="1429"/>
      <c r="D1031" s="722" t="s">
        <v>1574</v>
      </c>
      <c r="F1031" s="170"/>
      <c r="G1031" s="506"/>
    </row>
    <row r="1032" spans="1:8" ht="23.25" customHeight="1">
      <c r="A1032" s="1003" t="s">
        <v>30</v>
      </c>
      <c r="B1032" s="507" t="s">
        <v>19</v>
      </c>
      <c r="C1032" s="430" t="s">
        <v>92</v>
      </c>
      <c r="D1032" s="1005" t="s">
        <v>88</v>
      </c>
      <c r="E1032" s="1005" t="s">
        <v>93</v>
      </c>
      <c r="F1032" s="432" t="s">
        <v>94</v>
      </c>
      <c r="G1032" s="508" t="s">
        <v>95</v>
      </c>
    </row>
    <row r="1033" spans="1:8" ht="14.1" customHeight="1">
      <c r="A1033" s="1422" t="s">
        <v>1404</v>
      </c>
      <c r="B1033" s="1416" t="s">
        <v>123</v>
      </c>
      <c r="C1033" s="430" t="s">
        <v>117</v>
      </c>
      <c r="D1033" s="1424" t="s">
        <v>410</v>
      </c>
      <c r="E1033" s="1425">
        <v>6.9000000000000006E-2</v>
      </c>
      <c r="F1033" s="435">
        <f>'COMP AUX'!G104</f>
        <v>11.1</v>
      </c>
      <c r="G1033" s="511">
        <f>TRUNC(E1033*F1033,2)</f>
        <v>0.76</v>
      </c>
    </row>
    <row r="1034" spans="1:8" ht="14.1" customHeight="1">
      <c r="A1034" s="1423"/>
      <c r="B1034" s="1417"/>
      <c r="C1034" s="430" t="s">
        <v>99</v>
      </c>
      <c r="D1034" s="1424"/>
      <c r="E1034" s="1426"/>
      <c r="F1034" s="435">
        <f>'COMP AUX'!G105</f>
        <v>4.5600000000000005</v>
      </c>
      <c r="G1034" s="433">
        <f>TRUNC(E1033*F1034,2)</f>
        <v>0.31</v>
      </c>
    </row>
    <row r="1035" spans="1:8" ht="14.1" customHeight="1">
      <c r="A1035" s="1470">
        <v>88310</v>
      </c>
      <c r="B1035" s="1416" t="s">
        <v>1024</v>
      </c>
      <c r="C1035" s="430" t="s">
        <v>117</v>
      </c>
      <c r="D1035" s="1418" t="s">
        <v>410</v>
      </c>
      <c r="E1035" s="1425">
        <v>0.18</v>
      </c>
      <c r="F1035" s="452">
        <f>'COMP AUX'!G236</f>
        <v>14.85</v>
      </c>
      <c r="G1035" s="456">
        <f t="shared" ref="G1035" si="71">TRUNC(E1035*F1035,2)</f>
        <v>2.67</v>
      </c>
    </row>
    <row r="1036" spans="1:8" ht="14.1" customHeight="1">
      <c r="A1036" s="1454"/>
      <c r="B1036" s="1417"/>
      <c r="C1036" s="430" t="s">
        <v>99</v>
      </c>
      <c r="D1036" s="1419"/>
      <c r="E1036" s="1426"/>
      <c r="F1036" s="452">
        <f>'COMP AUX'!G237</f>
        <v>4.5600000000000005</v>
      </c>
      <c r="G1036" s="456">
        <f>TRUNC(E1035*F1036,2)</f>
        <v>0.82</v>
      </c>
    </row>
    <row r="1037" spans="1:8" ht="24" customHeight="1">
      <c r="A1037" s="1007" t="s">
        <v>1019</v>
      </c>
      <c r="B1037" s="972" t="s">
        <v>1020</v>
      </c>
      <c r="C1037" s="430" t="s">
        <v>99</v>
      </c>
      <c r="D1037" s="1008" t="s">
        <v>1276</v>
      </c>
      <c r="E1037" s="1002">
        <v>1.1399999999999999</v>
      </c>
      <c r="F1037" s="435">
        <v>4.9400000000000004</v>
      </c>
      <c r="G1037" s="456">
        <f>TRUNC(E1037*F1037,2)</f>
        <v>5.63</v>
      </c>
    </row>
    <row r="1038" spans="1:8" ht="14.1" customHeight="1">
      <c r="E1038" s="215"/>
      <c r="F1038" s="514" t="s">
        <v>103</v>
      </c>
      <c r="G1038" s="466">
        <f>G1033+G1035</f>
        <v>3.4299999999999997</v>
      </c>
    </row>
    <row r="1039" spans="1:8" ht="14.1" customHeight="1">
      <c r="E1039" s="215"/>
      <c r="F1039" s="438" t="s">
        <v>105</v>
      </c>
      <c r="G1039" s="456">
        <f>G1034+G1036+G1037</f>
        <v>6.76</v>
      </c>
    </row>
    <row r="1040" spans="1:8" ht="14.1" customHeight="1">
      <c r="A1040" s="170" t="s">
        <v>107</v>
      </c>
      <c r="E1040" s="215"/>
      <c r="F1040" s="438" t="s">
        <v>106</v>
      </c>
      <c r="G1040" s="457">
        <f>SUM(G1038:G1039)</f>
        <v>10.19</v>
      </c>
    </row>
    <row r="1041" spans="1:8" ht="14.1" customHeight="1">
      <c r="A1041" s="437" t="s">
        <v>108</v>
      </c>
      <c r="B1041" s="548">
        <f>G1040</f>
        <v>10.19</v>
      </c>
    </row>
    <row r="1042" spans="1:8" ht="14.1" customHeight="1">
      <c r="A1042" s="542" t="s">
        <v>2654</v>
      </c>
      <c r="B1042" s="541"/>
    </row>
    <row r="1043" spans="1:8" ht="14.1" customHeight="1">
      <c r="A1043" s="622" t="s">
        <v>2714</v>
      </c>
      <c r="B1043" s="541">
        <f>(B1041+B1042)*0.245</f>
        <v>2.49655</v>
      </c>
    </row>
    <row r="1044" spans="1:8" ht="14.1" customHeight="1">
      <c r="A1044" s="437" t="s">
        <v>111</v>
      </c>
      <c r="B1044" s="549">
        <f>SUM(B1041:B1043)</f>
        <v>12.68655</v>
      </c>
      <c r="H1044" s="560"/>
    </row>
    <row r="1045" spans="1:8" ht="11.25" customHeight="1">
      <c r="A1045" s="516"/>
      <c r="B1045" s="517"/>
      <c r="C1045" s="518"/>
      <c r="D1045" s="516"/>
      <c r="E1045" s="517"/>
      <c r="F1045" s="517"/>
      <c r="G1045" s="517"/>
      <c r="H1045" s="516"/>
    </row>
    <row r="1046" spans="1:8" ht="11.25" customHeight="1">
      <c r="A1046" s="424"/>
      <c r="B1046" s="421"/>
      <c r="C1046" s="423"/>
      <c r="D1046" s="424"/>
      <c r="E1046" s="421"/>
      <c r="F1046" s="421"/>
      <c r="G1046" s="421"/>
      <c r="H1046" s="424"/>
    </row>
    <row r="1047" spans="1:8" ht="11.25" customHeight="1">
      <c r="A1047" s="170" t="s">
        <v>1258</v>
      </c>
    </row>
    <row r="1048" spans="1:8" ht="11.25" customHeight="1">
      <c r="A1048" s="220" t="s">
        <v>2607</v>
      </c>
    </row>
    <row r="1049" spans="1:8" ht="26.25" customHeight="1">
      <c r="A1049" s="505" t="s">
        <v>1536</v>
      </c>
      <c r="B1049" s="505" t="s">
        <v>2155</v>
      </c>
      <c r="C1049" s="1040" t="s">
        <v>1574</v>
      </c>
      <c r="F1049" s="170"/>
      <c r="G1049" s="506"/>
    </row>
    <row r="1050" spans="1:8" ht="23.25" customHeight="1">
      <c r="A1050" s="1003" t="s">
        <v>30</v>
      </c>
      <c r="B1050" s="507" t="s">
        <v>19</v>
      </c>
      <c r="C1050" s="430" t="s">
        <v>92</v>
      </c>
      <c r="D1050" s="1005" t="s">
        <v>88</v>
      </c>
      <c r="E1050" s="1005" t="s">
        <v>93</v>
      </c>
      <c r="F1050" s="432" t="s">
        <v>94</v>
      </c>
      <c r="G1050" s="508" t="s">
        <v>95</v>
      </c>
    </row>
    <row r="1051" spans="1:8" ht="14.1" customHeight="1">
      <c r="A1051" s="1422" t="s">
        <v>1404</v>
      </c>
      <c r="B1051" s="1416" t="s">
        <v>123</v>
      </c>
      <c r="C1051" s="430" t="s">
        <v>117</v>
      </c>
      <c r="D1051" s="1424" t="s">
        <v>410</v>
      </c>
      <c r="E1051" s="1425">
        <v>0.3</v>
      </c>
      <c r="F1051" s="435">
        <f>'COMP AUX'!G104</f>
        <v>11.1</v>
      </c>
      <c r="G1051" s="511">
        <f>TRUNC(E1051*F1051,2)</f>
        <v>3.33</v>
      </c>
    </row>
    <row r="1052" spans="1:8" ht="14.1" customHeight="1">
      <c r="A1052" s="1423"/>
      <c r="B1052" s="1417"/>
      <c r="C1052" s="430" t="s">
        <v>99</v>
      </c>
      <c r="D1052" s="1424"/>
      <c r="E1052" s="1426"/>
      <c r="F1052" s="435">
        <f>'COMP AUX'!G105</f>
        <v>4.5600000000000005</v>
      </c>
      <c r="G1052" s="433">
        <f>TRUNC(E1051*F1052,2)</f>
        <v>1.36</v>
      </c>
    </row>
    <row r="1053" spans="1:8" ht="14.1" customHeight="1">
      <c r="A1053" s="1470">
        <v>88310</v>
      </c>
      <c r="B1053" s="1416" t="s">
        <v>1024</v>
      </c>
      <c r="C1053" s="430" t="s">
        <v>117</v>
      </c>
      <c r="D1053" s="1418" t="s">
        <v>410</v>
      </c>
      <c r="E1053" s="1425">
        <v>0.4</v>
      </c>
      <c r="F1053" s="452">
        <f>'COMP AUX'!G236</f>
        <v>14.85</v>
      </c>
      <c r="G1053" s="456">
        <f t="shared" ref="G1053" si="72">TRUNC(E1053*F1053,2)</f>
        <v>5.94</v>
      </c>
    </row>
    <row r="1054" spans="1:8" ht="14.1" customHeight="1">
      <c r="A1054" s="1454"/>
      <c r="B1054" s="1417"/>
      <c r="C1054" s="430" t="s">
        <v>99</v>
      </c>
      <c r="D1054" s="1419"/>
      <c r="E1054" s="1426"/>
      <c r="F1054" s="452">
        <f>'COMP AUX'!G237</f>
        <v>4.5600000000000005</v>
      </c>
      <c r="G1054" s="456">
        <f>TRUNC(E1053*F1054,2)</f>
        <v>1.82</v>
      </c>
    </row>
    <row r="1055" spans="1:8" ht="24" customHeight="1">
      <c r="A1055" s="1007" t="s">
        <v>2608</v>
      </c>
      <c r="B1055" s="972" t="s">
        <v>2609</v>
      </c>
      <c r="C1055" s="430" t="s">
        <v>99</v>
      </c>
      <c r="D1055" s="1008" t="s">
        <v>1276</v>
      </c>
      <c r="E1055" s="1002">
        <v>0.24</v>
      </c>
      <c r="F1055" s="435">
        <v>20.55</v>
      </c>
      <c r="G1055" s="456">
        <f>TRUNC(E1055*F1055,2)</f>
        <v>4.93</v>
      </c>
    </row>
    <row r="1056" spans="1:8" ht="14.1" customHeight="1">
      <c r="E1056" s="215"/>
      <c r="F1056" s="514" t="s">
        <v>103</v>
      </c>
      <c r="G1056" s="466">
        <f>G1051+G1053</f>
        <v>9.27</v>
      </c>
    </row>
    <row r="1057" spans="1:8" ht="14.1" customHeight="1">
      <c r="E1057" s="215"/>
      <c r="F1057" s="438" t="s">
        <v>105</v>
      </c>
      <c r="G1057" s="456">
        <f>G1052+G1054+G1055</f>
        <v>8.11</v>
      </c>
    </row>
    <row r="1058" spans="1:8" ht="14.1" customHeight="1">
      <c r="A1058" s="170" t="s">
        <v>107</v>
      </c>
      <c r="E1058" s="215"/>
      <c r="F1058" s="438" t="s">
        <v>106</v>
      </c>
      <c r="G1058" s="457">
        <f>SUM(G1056:G1057)</f>
        <v>17.38</v>
      </c>
    </row>
    <row r="1059" spans="1:8" ht="14.1" customHeight="1">
      <c r="A1059" s="437" t="s">
        <v>108</v>
      </c>
      <c r="B1059" s="548">
        <f>G1058</f>
        <v>17.38</v>
      </c>
    </row>
    <row r="1060" spans="1:8" ht="14.1" customHeight="1">
      <c r="A1060" s="542" t="s">
        <v>2654</v>
      </c>
      <c r="B1060" s="541"/>
    </row>
    <row r="1061" spans="1:8" ht="14.1" customHeight="1">
      <c r="A1061" s="622" t="s">
        <v>2714</v>
      </c>
      <c r="B1061" s="541">
        <f>(B1059+B1060)*0.245</f>
        <v>4.2580999999999998</v>
      </c>
    </row>
    <row r="1062" spans="1:8" ht="14.1" customHeight="1">
      <c r="A1062" s="437" t="s">
        <v>111</v>
      </c>
      <c r="B1062" s="549">
        <f>SUM(B1059:B1061)</f>
        <v>21.638099999999998</v>
      </c>
      <c r="H1062" s="560"/>
    </row>
    <row r="1063" spans="1:8" ht="11.25" customHeight="1">
      <c r="A1063" s="516"/>
      <c r="B1063" s="517"/>
      <c r="C1063" s="518"/>
      <c r="D1063" s="516"/>
      <c r="E1063" s="517"/>
      <c r="F1063" s="517"/>
      <c r="G1063" s="517"/>
      <c r="H1063" s="516"/>
    </row>
    <row r="1064" spans="1:8" ht="11.25" customHeight="1">
      <c r="A1064" s="424"/>
      <c r="B1064" s="421"/>
      <c r="C1064" s="423"/>
      <c r="D1064" s="424"/>
      <c r="E1064" s="421"/>
      <c r="F1064" s="421"/>
      <c r="G1064" s="421"/>
      <c r="H1064" s="424"/>
    </row>
    <row r="1065" spans="1:8" ht="11.25" customHeight="1">
      <c r="A1065" s="170" t="s">
        <v>1258</v>
      </c>
    </row>
    <row r="1066" spans="1:8" ht="11.25" customHeight="1">
      <c r="A1066" s="220" t="s">
        <v>2610</v>
      </c>
    </row>
    <row r="1067" spans="1:8" ht="25.5" customHeight="1">
      <c r="A1067" s="505" t="s">
        <v>1536</v>
      </c>
      <c r="B1067" s="505" t="s">
        <v>2104</v>
      </c>
      <c r="C1067" s="1040" t="s">
        <v>1574</v>
      </c>
      <c r="F1067" s="170"/>
      <c r="G1067" s="506"/>
    </row>
    <row r="1068" spans="1:8" ht="24" customHeight="1">
      <c r="A1068" s="1003" t="s">
        <v>30</v>
      </c>
      <c r="B1068" s="507" t="s">
        <v>19</v>
      </c>
      <c r="C1068" s="430" t="s">
        <v>92</v>
      </c>
      <c r="D1068" s="1005" t="s">
        <v>88</v>
      </c>
      <c r="E1068" s="1005" t="s">
        <v>93</v>
      </c>
      <c r="F1068" s="432" t="s">
        <v>94</v>
      </c>
      <c r="G1068" s="508" t="s">
        <v>95</v>
      </c>
    </row>
    <row r="1069" spans="1:8" ht="14.1" customHeight="1">
      <c r="A1069" s="1422" t="s">
        <v>1404</v>
      </c>
      <c r="B1069" s="1416" t="s">
        <v>123</v>
      </c>
      <c r="C1069" s="430" t="s">
        <v>117</v>
      </c>
      <c r="D1069" s="1424" t="s">
        <v>410</v>
      </c>
      <c r="E1069" s="1425">
        <v>0.5</v>
      </c>
      <c r="F1069" s="435">
        <f>'COMP AUX'!G104</f>
        <v>11.1</v>
      </c>
      <c r="G1069" s="511">
        <f>TRUNC(E1069*F1069,2)</f>
        <v>5.55</v>
      </c>
    </row>
    <row r="1070" spans="1:8" ht="14.1" customHeight="1">
      <c r="A1070" s="1423"/>
      <c r="B1070" s="1417"/>
      <c r="C1070" s="430" t="s">
        <v>99</v>
      </c>
      <c r="D1070" s="1424"/>
      <c r="E1070" s="1426"/>
      <c r="F1070" s="435">
        <f>'COMP AUX'!G105</f>
        <v>4.5600000000000005</v>
      </c>
      <c r="G1070" s="433">
        <f>TRUNC(E1069*F1070,2)</f>
        <v>2.2799999999999998</v>
      </c>
    </row>
    <row r="1071" spans="1:8" ht="14.1" customHeight="1">
      <c r="A1071" s="1470">
        <v>88310</v>
      </c>
      <c r="B1071" s="1416" t="s">
        <v>1024</v>
      </c>
      <c r="C1071" s="430" t="s">
        <v>117</v>
      </c>
      <c r="D1071" s="1418" t="s">
        <v>410</v>
      </c>
      <c r="E1071" s="1425">
        <v>0.5</v>
      </c>
      <c r="F1071" s="452">
        <f>'COMP AUX'!G236</f>
        <v>14.85</v>
      </c>
      <c r="G1071" s="456">
        <f t="shared" ref="G1071" si="73">TRUNC(E1071*F1071,2)</f>
        <v>7.42</v>
      </c>
    </row>
    <row r="1072" spans="1:8" ht="14.1" customHeight="1">
      <c r="A1072" s="1454"/>
      <c r="B1072" s="1417"/>
      <c r="C1072" s="430" t="s">
        <v>99</v>
      </c>
      <c r="D1072" s="1419"/>
      <c r="E1072" s="1426"/>
      <c r="F1072" s="452">
        <f>'COMP AUX'!G237</f>
        <v>4.5600000000000005</v>
      </c>
      <c r="G1072" s="456">
        <f>TRUNC(E1071*F1072,2)</f>
        <v>2.2799999999999998</v>
      </c>
    </row>
    <row r="1073" spans="1:8" ht="14.1" customHeight="1">
      <c r="A1073" s="1007" t="s">
        <v>2611</v>
      </c>
      <c r="B1073" s="1001" t="s">
        <v>2612</v>
      </c>
      <c r="C1073" s="430" t="s">
        <v>99</v>
      </c>
      <c r="D1073" s="1008" t="s">
        <v>408</v>
      </c>
      <c r="E1073" s="1000">
        <v>0.6</v>
      </c>
      <c r="F1073" s="452">
        <v>2.16</v>
      </c>
      <c r="G1073" s="456">
        <f>TRUNC(E1073*F1073,2)</f>
        <v>1.29</v>
      </c>
    </row>
    <row r="1074" spans="1:8" ht="14.1" customHeight="1">
      <c r="A1074" s="1007" t="s">
        <v>2578</v>
      </c>
      <c r="B1074" s="1001" t="s">
        <v>2579</v>
      </c>
      <c r="C1074" s="430" t="s">
        <v>99</v>
      </c>
      <c r="D1074" s="1008" t="s">
        <v>1276</v>
      </c>
      <c r="E1074" s="1000">
        <v>7.0000000000000007E-2</v>
      </c>
      <c r="F1074" s="452">
        <v>11</v>
      </c>
      <c r="G1074" s="456">
        <f t="shared" ref="G1074:G1075" si="74">TRUNC(E1074*F1074,2)</f>
        <v>0.77</v>
      </c>
    </row>
    <row r="1075" spans="1:8" ht="14.1" customHeight="1">
      <c r="A1075" s="1007" t="s">
        <v>2613</v>
      </c>
      <c r="B1075" s="972" t="s">
        <v>2614</v>
      </c>
      <c r="C1075" s="430" t="s">
        <v>99</v>
      </c>
      <c r="D1075" s="1008" t="s">
        <v>1276</v>
      </c>
      <c r="E1075" s="1002">
        <v>0.16</v>
      </c>
      <c r="F1075" s="435">
        <v>22.43</v>
      </c>
      <c r="G1075" s="456">
        <f t="shared" si="74"/>
        <v>3.58</v>
      </c>
    </row>
    <row r="1076" spans="1:8" ht="14.1" customHeight="1">
      <c r="E1076" s="215"/>
      <c r="F1076" s="514" t="s">
        <v>103</v>
      </c>
      <c r="G1076" s="466">
        <f>G1069+G1071</f>
        <v>12.969999999999999</v>
      </c>
    </row>
    <row r="1077" spans="1:8" ht="14.1" customHeight="1">
      <c r="E1077" s="215"/>
      <c r="F1077" s="438" t="s">
        <v>105</v>
      </c>
      <c r="G1077" s="456">
        <f>G1070+G1072+G1073+G1074+G1075</f>
        <v>10.199999999999999</v>
      </c>
    </row>
    <row r="1078" spans="1:8" ht="14.1" customHeight="1">
      <c r="A1078" s="170" t="s">
        <v>107</v>
      </c>
      <c r="E1078" s="215"/>
      <c r="F1078" s="438" t="s">
        <v>106</v>
      </c>
      <c r="G1078" s="457">
        <f>SUM(G1076:G1077)</f>
        <v>23.169999999999998</v>
      </c>
    </row>
    <row r="1079" spans="1:8" ht="14.1" customHeight="1">
      <c r="A1079" s="437" t="s">
        <v>108</v>
      </c>
      <c r="B1079" s="548">
        <f>G1078</f>
        <v>23.169999999999998</v>
      </c>
    </row>
    <row r="1080" spans="1:8" ht="14.1" customHeight="1">
      <c r="A1080" s="542" t="s">
        <v>2654</v>
      </c>
      <c r="B1080" s="541"/>
    </row>
    <row r="1081" spans="1:8" ht="14.1" customHeight="1">
      <c r="A1081" s="622" t="s">
        <v>2714</v>
      </c>
      <c r="B1081" s="541">
        <f>(B1079+B1080)*0.245</f>
        <v>5.6766499999999995</v>
      </c>
    </row>
    <row r="1082" spans="1:8" ht="14.1" customHeight="1">
      <c r="A1082" s="437" t="s">
        <v>111</v>
      </c>
      <c r="B1082" s="549">
        <f>SUM(B1079:B1081)</f>
        <v>28.846649999999997</v>
      </c>
      <c r="H1082" s="560"/>
    </row>
    <row r="1083" spans="1:8" ht="11.25" customHeight="1">
      <c r="A1083" s="516"/>
      <c r="B1083" s="517"/>
      <c r="C1083" s="518"/>
      <c r="D1083" s="516"/>
      <c r="E1083" s="517"/>
      <c r="F1083" s="517"/>
      <c r="G1083" s="517"/>
      <c r="H1083" s="516"/>
    </row>
    <row r="1084" spans="1:8" ht="11.25" customHeight="1">
      <c r="A1084" s="424"/>
      <c r="B1084" s="421"/>
      <c r="C1084" s="423"/>
      <c r="D1084" s="424"/>
      <c r="E1084" s="421"/>
      <c r="F1084" s="421"/>
      <c r="G1084" s="421"/>
      <c r="H1084" s="424"/>
    </row>
    <row r="1085" spans="1:8" ht="11.25" customHeight="1">
      <c r="A1085" s="170" t="s">
        <v>1258</v>
      </c>
    </row>
    <row r="1086" spans="1:8" ht="11.25" customHeight="1">
      <c r="A1086" s="220" t="s">
        <v>2649</v>
      </c>
    </row>
    <row r="1087" spans="1:8" ht="23.25" customHeight="1">
      <c r="A1087" s="505" t="s">
        <v>1536</v>
      </c>
      <c r="B1087" s="505" t="s">
        <v>2515</v>
      </c>
      <c r="C1087" s="1040" t="s">
        <v>1574</v>
      </c>
      <c r="F1087" s="170"/>
      <c r="G1087" s="506"/>
    </row>
    <row r="1088" spans="1:8" ht="26.25" customHeight="1">
      <c r="A1088" s="1003" t="s">
        <v>30</v>
      </c>
      <c r="B1088" s="507" t="s">
        <v>19</v>
      </c>
      <c r="C1088" s="430" t="s">
        <v>92</v>
      </c>
      <c r="D1088" s="1005" t="s">
        <v>88</v>
      </c>
      <c r="E1088" s="1005" t="s">
        <v>93</v>
      </c>
      <c r="F1088" s="432" t="s">
        <v>94</v>
      </c>
      <c r="G1088" s="508" t="s">
        <v>95</v>
      </c>
    </row>
    <row r="1089" spans="1:8" ht="14.1" customHeight="1">
      <c r="A1089" s="1422" t="s">
        <v>1404</v>
      </c>
      <c r="B1089" s="1416" t="s">
        <v>123</v>
      </c>
      <c r="C1089" s="430" t="s">
        <v>117</v>
      </c>
      <c r="D1089" s="1424" t="s">
        <v>410</v>
      </c>
      <c r="E1089" s="1425">
        <v>0.33</v>
      </c>
      <c r="F1089" s="435">
        <f>'COMP AUX'!G104</f>
        <v>11.1</v>
      </c>
      <c r="G1089" s="511">
        <f>TRUNC(E1089*F1089,2)</f>
        <v>3.66</v>
      </c>
    </row>
    <row r="1090" spans="1:8" ht="14.1" customHeight="1">
      <c r="A1090" s="1423"/>
      <c r="B1090" s="1417"/>
      <c r="C1090" s="430" t="s">
        <v>99</v>
      </c>
      <c r="D1090" s="1424"/>
      <c r="E1090" s="1426"/>
      <c r="F1090" s="435">
        <f>'COMP AUX'!G105</f>
        <v>4.5600000000000005</v>
      </c>
      <c r="G1090" s="433">
        <f>TRUNC(E1089*F1090,2)</f>
        <v>1.5</v>
      </c>
    </row>
    <row r="1091" spans="1:8" ht="14.1" customHeight="1">
      <c r="A1091" s="1470">
        <v>88310</v>
      </c>
      <c r="B1091" s="1416" t="s">
        <v>1024</v>
      </c>
      <c r="C1091" s="430" t="s">
        <v>117</v>
      </c>
      <c r="D1091" s="1418" t="s">
        <v>410</v>
      </c>
      <c r="E1091" s="1425">
        <v>0.5</v>
      </c>
      <c r="F1091" s="452">
        <f>'COMP AUX'!G236</f>
        <v>14.85</v>
      </c>
      <c r="G1091" s="456">
        <f t="shared" ref="G1091" si="75">TRUNC(E1091*F1091,2)</f>
        <v>7.42</v>
      </c>
    </row>
    <row r="1092" spans="1:8" ht="14.1" customHeight="1">
      <c r="A1092" s="1454"/>
      <c r="B1092" s="1417"/>
      <c r="C1092" s="430" t="s">
        <v>99</v>
      </c>
      <c r="D1092" s="1419"/>
      <c r="E1092" s="1426"/>
      <c r="F1092" s="452">
        <f>'COMP AUX'!G237</f>
        <v>4.5600000000000005</v>
      </c>
      <c r="G1092" s="456">
        <f>TRUNC(E1091*F1092,2)</f>
        <v>2.2799999999999998</v>
      </c>
    </row>
    <row r="1093" spans="1:8" ht="26.25" customHeight="1">
      <c r="A1093" s="1007" t="s">
        <v>2650</v>
      </c>
      <c r="B1093" s="972" t="s">
        <v>2651</v>
      </c>
      <c r="C1093" s="430" t="s">
        <v>99</v>
      </c>
      <c r="D1093" s="1008" t="s">
        <v>1276</v>
      </c>
      <c r="E1093" s="1002">
        <v>0.35</v>
      </c>
      <c r="F1093" s="435">
        <v>7.95</v>
      </c>
      <c r="G1093" s="456">
        <f t="shared" ref="G1093" si="76">TRUNC(E1093*F1093,2)</f>
        <v>2.78</v>
      </c>
    </row>
    <row r="1094" spans="1:8" ht="14.1" customHeight="1">
      <c r="E1094" s="215"/>
      <c r="F1094" s="514" t="s">
        <v>103</v>
      </c>
      <c r="G1094" s="466">
        <f>G1089+G1091</f>
        <v>11.08</v>
      </c>
    </row>
    <row r="1095" spans="1:8" ht="14.1" customHeight="1">
      <c r="E1095" s="215"/>
      <c r="F1095" s="438" t="s">
        <v>105</v>
      </c>
      <c r="G1095" s="456">
        <f>G1090+G1092+G1093</f>
        <v>6.56</v>
      </c>
    </row>
    <row r="1096" spans="1:8" ht="14.1" customHeight="1">
      <c r="A1096" s="170" t="s">
        <v>107</v>
      </c>
      <c r="E1096" s="215"/>
      <c r="F1096" s="438" t="s">
        <v>106</v>
      </c>
      <c r="G1096" s="457">
        <f>SUM(G1094:G1095)</f>
        <v>17.64</v>
      </c>
    </row>
    <row r="1097" spans="1:8" ht="14.1" customHeight="1">
      <c r="A1097" s="437" t="s">
        <v>108</v>
      </c>
      <c r="B1097" s="548">
        <f>G1096</f>
        <v>17.64</v>
      </c>
    </row>
    <row r="1098" spans="1:8" ht="14.1" customHeight="1">
      <c r="A1098" s="542" t="s">
        <v>2654</v>
      </c>
      <c r="B1098" s="541"/>
    </row>
    <row r="1099" spans="1:8" ht="14.1" customHeight="1">
      <c r="A1099" s="622" t="s">
        <v>2714</v>
      </c>
      <c r="B1099" s="541">
        <f>(B1097+B1098)*0.245</f>
        <v>4.3217999999999996</v>
      </c>
    </row>
    <row r="1100" spans="1:8" ht="14.1" customHeight="1">
      <c r="A1100" s="437" t="s">
        <v>111</v>
      </c>
      <c r="B1100" s="549">
        <f>SUM(B1097:B1099)</f>
        <v>21.9618</v>
      </c>
      <c r="H1100" s="560"/>
    </row>
    <row r="1101" spans="1:8" ht="11.25" customHeight="1">
      <c r="A1101" s="516"/>
      <c r="B1101" s="517"/>
      <c r="C1101" s="518"/>
      <c r="D1101" s="516"/>
      <c r="E1101" s="517"/>
      <c r="F1101" s="517"/>
      <c r="G1101" s="517"/>
      <c r="H1101" s="516"/>
    </row>
    <row r="1102" spans="1:8" ht="11.25" customHeight="1">
      <c r="A1102" s="424"/>
      <c r="B1102" s="421"/>
      <c r="C1102" s="423"/>
      <c r="D1102" s="424"/>
      <c r="E1102" s="421"/>
      <c r="F1102" s="421"/>
      <c r="G1102" s="421"/>
      <c r="H1102" s="424"/>
    </row>
    <row r="1103" spans="1:8" ht="11.25" customHeight="1">
      <c r="A1103" s="170" t="s">
        <v>1258</v>
      </c>
    </row>
    <row r="1104" spans="1:8" ht="11.25" customHeight="1">
      <c r="A1104" s="220" t="s">
        <v>3100</v>
      </c>
    </row>
    <row r="1105" spans="1:7" ht="26.25" customHeight="1">
      <c r="A1105" s="505" t="s">
        <v>1536</v>
      </c>
      <c r="B1105" s="505" t="s">
        <v>3099</v>
      </c>
      <c r="C1105" s="1297" t="s">
        <v>1574</v>
      </c>
      <c r="F1105" s="170"/>
      <c r="G1105" s="506"/>
    </row>
    <row r="1106" spans="1:7" ht="26.25" customHeight="1">
      <c r="A1106" s="1296" t="s">
        <v>30</v>
      </c>
      <c r="B1106" s="507" t="s">
        <v>19</v>
      </c>
      <c r="C1106" s="430" t="s">
        <v>92</v>
      </c>
      <c r="D1106" s="1291" t="s">
        <v>88</v>
      </c>
      <c r="E1106" s="1291" t="s">
        <v>93</v>
      </c>
      <c r="F1106" s="432" t="s">
        <v>94</v>
      </c>
      <c r="G1106" s="508" t="s">
        <v>95</v>
      </c>
    </row>
    <row r="1107" spans="1:7" ht="14.1" customHeight="1">
      <c r="A1107" s="1422">
        <v>88241</v>
      </c>
      <c r="B1107" s="1416" t="s">
        <v>1552</v>
      </c>
      <c r="C1107" s="430" t="s">
        <v>117</v>
      </c>
      <c r="D1107" s="1424" t="s">
        <v>410</v>
      </c>
      <c r="E1107" s="1425">
        <v>0.3</v>
      </c>
      <c r="F1107" s="435">
        <f>'COMP AUX'!G53</f>
        <v>10.74</v>
      </c>
      <c r="G1107" s="511">
        <f>TRUNC(E1107*F1107,2)</f>
        <v>3.22</v>
      </c>
    </row>
    <row r="1108" spans="1:7" ht="14.1" customHeight="1">
      <c r="A1108" s="1423"/>
      <c r="B1108" s="1417"/>
      <c r="C1108" s="430" t="s">
        <v>99</v>
      </c>
      <c r="D1108" s="1424"/>
      <c r="E1108" s="1426"/>
      <c r="F1108" s="435">
        <f>'COMP AUX'!G54</f>
        <v>4.5600000000000005</v>
      </c>
      <c r="G1108" s="433">
        <f>TRUNC(E1107*F1108,2)</f>
        <v>1.36</v>
      </c>
    </row>
    <row r="1109" spans="1:7" ht="14.1" customHeight="1">
      <c r="A1109" s="1470">
        <v>88310</v>
      </c>
      <c r="B1109" s="1416" t="s">
        <v>1024</v>
      </c>
      <c r="C1109" s="430" t="s">
        <v>117</v>
      </c>
      <c r="D1109" s="1418" t="s">
        <v>410</v>
      </c>
      <c r="E1109" s="1425">
        <v>0.5</v>
      </c>
      <c r="F1109" s="452">
        <f>'COMP AUX'!G236</f>
        <v>14.85</v>
      </c>
      <c r="G1109" s="456">
        <f t="shared" ref="G1109" si="77">TRUNC(E1109*F1109,2)</f>
        <v>7.42</v>
      </c>
    </row>
    <row r="1110" spans="1:7" ht="14.1" customHeight="1">
      <c r="A1110" s="1454"/>
      <c r="B1110" s="1417"/>
      <c r="C1110" s="430" t="s">
        <v>99</v>
      </c>
      <c r="D1110" s="1419"/>
      <c r="E1110" s="1426"/>
      <c r="F1110" s="452">
        <f>'COMP AUX'!G237</f>
        <v>4.5600000000000005</v>
      </c>
      <c r="G1110" s="456">
        <f>TRUNC(E1109*F1110,2)</f>
        <v>2.2799999999999998</v>
      </c>
    </row>
    <row r="1111" spans="1:7" ht="14.1" customHeight="1">
      <c r="A1111" s="1294">
        <v>5318</v>
      </c>
      <c r="B1111" s="1290" t="s">
        <v>2579</v>
      </c>
      <c r="C1111" s="430" t="s">
        <v>99</v>
      </c>
      <c r="D1111" s="1293" t="s">
        <v>1276</v>
      </c>
      <c r="E1111" s="1292">
        <v>0.03</v>
      </c>
      <c r="F1111" s="452">
        <v>11</v>
      </c>
      <c r="G1111" s="456">
        <f t="shared" ref="G1111:G1113" si="78">TRUNC(E1111*F1111,2)</f>
        <v>0.33</v>
      </c>
    </row>
    <row r="1112" spans="1:7" ht="14.1" customHeight="1">
      <c r="A1112" s="1294">
        <v>3768</v>
      </c>
      <c r="B1112" s="1290" t="s">
        <v>2612</v>
      </c>
      <c r="C1112" s="430" t="s">
        <v>99</v>
      </c>
      <c r="D1112" s="1293" t="s">
        <v>88</v>
      </c>
      <c r="E1112" s="1292">
        <v>0.25</v>
      </c>
      <c r="F1112" s="452">
        <v>2.16</v>
      </c>
      <c r="G1112" s="456">
        <f t="shared" si="78"/>
        <v>0.54</v>
      </c>
    </row>
    <row r="1113" spans="1:7" ht="14.1" customHeight="1">
      <c r="A1113" s="1294">
        <v>7288</v>
      </c>
      <c r="B1113" s="1290" t="s">
        <v>2614</v>
      </c>
      <c r="C1113" s="430" t="s">
        <v>99</v>
      </c>
      <c r="D1113" s="1293" t="s">
        <v>1276</v>
      </c>
      <c r="E1113" s="1292">
        <v>0.15</v>
      </c>
      <c r="F1113" s="452">
        <v>22.43</v>
      </c>
      <c r="G1113" s="456">
        <f t="shared" si="78"/>
        <v>3.36</v>
      </c>
    </row>
    <row r="1114" spans="1:7" ht="14.1" customHeight="1">
      <c r="A1114" s="1294">
        <v>11174</v>
      </c>
      <c r="B1114" s="972" t="s">
        <v>3101</v>
      </c>
      <c r="C1114" s="430" t="s">
        <v>99</v>
      </c>
      <c r="D1114" s="1293" t="s">
        <v>1276</v>
      </c>
      <c r="E1114" s="1292">
        <v>0.1</v>
      </c>
      <c r="F1114" s="435">
        <f>441.83/18</f>
        <v>24.546111111111109</v>
      </c>
      <c r="G1114" s="456">
        <f t="shared" ref="G1114" si="79">TRUNC(E1114*F1114,2)</f>
        <v>2.4500000000000002</v>
      </c>
    </row>
    <row r="1115" spans="1:7" ht="14.1" customHeight="1">
      <c r="E1115" s="215"/>
      <c r="F1115" s="514" t="s">
        <v>103</v>
      </c>
      <c r="G1115" s="466">
        <f>G1107+G1109</f>
        <v>10.64</v>
      </c>
    </row>
    <row r="1116" spans="1:7" ht="14.1" customHeight="1">
      <c r="E1116" s="215"/>
      <c r="F1116" s="438" t="s">
        <v>105</v>
      </c>
      <c r="G1116" s="456">
        <f>G1108+G1110+G1111+G1112+G1113+G1114</f>
        <v>10.32</v>
      </c>
    </row>
    <row r="1117" spans="1:7" ht="14.1" customHeight="1">
      <c r="A1117" s="170" t="s">
        <v>107</v>
      </c>
      <c r="E1117" s="215"/>
      <c r="F1117" s="438" t="s">
        <v>106</v>
      </c>
      <c r="G1117" s="457">
        <f>SUM(G1115:G1116)</f>
        <v>20.96</v>
      </c>
    </row>
    <row r="1118" spans="1:7" ht="14.1" customHeight="1">
      <c r="A1118" s="437" t="s">
        <v>108</v>
      </c>
      <c r="B1118" s="548">
        <f>G1117</f>
        <v>20.96</v>
      </c>
    </row>
    <row r="1119" spans="1:7" ht="14.1" customHeight="1">
      <c r="A1119" s="542" t="s">
        <v>2654</v>
      </c>
      <c r="B1119" s="541"/>
    </row>
    <row r="1120" spans="1:7" ht="14.1" customHeight="1">
      <c r="A1120" s="622" t="s">
        <v>2714</v>
      </c>
      <c r="B1120" s="541">
        <f>(B1118+B1119)*0.245</f>
        <v>5.1352000000000002</v>
      </c>
    </row>
    <row r="1121" spans="1:9" ht="14.1" customHeight="1">
      <c r="A1121" s="437" t="s">
        <v>111</v>
      </c>
      <c r="B1121" s="549">
        <f>SUM(B1118:B1120)</f>
        <v>26.095200000000002</v>
      </c>
      <c r="H1121" s="560"/>
      <c r="I1121" s="170" t="s">
        <v>2659</v>
      </c>
    </row>
    <row r="1122" spans="1:9" ht="11.25" customHeight="1">
      <c r="A1122" s="516"/>
      <c r="B1122" s="517"/>
      <c r="C1122" s="518"/>
      <c r="D1122" s="516"/>
      <c r="E1122" s="517"/>
      <c r="F1122" s="517"/>
      <c r="G1122" s="517"/>
      <c r="H1122" s="516"/>
    </row>
    <row r="1123" spans="1:9" ht="11.25" customHeight="1">
      <c r="A1123" s="424"/>
      <c r="B1123" s="421"/>
      <c r="C1123" s="423"/>
      <c r="D1123" s="424"/>
      <c r="E1123" s="421"/>
      <c r="F1123" s="421"/>
      <c r="G1123" s="421"/>
      <c r="H1123" s="424"/>
    </row>
    <row r="1124" spans="1:9" ht="11.25" customHeight="1">
      <c r="A1124" s="170" t="s">
        <v>1258</v>
      </c>
    </row>
    <row r="1125" spans="1:9" ht="11.25" customHeight="1">
      <c r="A1125" s="220" t="s">
        <v>3090</v>
      </c>
    </row>
    <row r="1126" spans="1:9" ht="18.75" customHeight="1">
      <c r="A1126" s="505" t="s">
        <v>1536</v>
      </c>
      <c r="B1126" s="1429" t="s">
        <v>3091</v>
      </c>
      <c r="C1126" s="1429"/>
      <c r="D1126" s="1297" t="s">
        <v>1574</v>
      </c>
      <c r="F1126" s="170"/>
      <c r="G1126" s="506"/>
    </row>
    <row r="1127" spans="1:9" ht="24.75" customHeight="1">
      <c r="A1127" s="1003" t="s">
        <v>30</v>
      </c>
      <c r="B1127" s="507" t="s">
        <v>19</v>
      </c>
      <c r="C1127" s="430" t="s">
        <v>92</v>
      </c>
      <c r="D1127" s="1005" t="s">
        <v>88</v>
      </c>
      <c r="E1127" s="1005" t="s">
        <v>93</v>
      </c>
      <c r="F1127" s="432" t="s">
        <v>94</v>
      </c>
      <c r="G1127" s="508" t="s">
        <v>95</v>
      </c>
    </row>
    <row r="1128" spans="1:9" ht="14.1" customHeight="1">
      <c r="A1128" s="1422" t="s">
        <v>1404</v>
      </c>
      <c r="B1128" s="1416" t="s">
        <v>123</v>
      </c>
      <c r="C1128" s="430" t="s">
        <v>117</v>
      </c>
      <c r="D1128" s="1424" t="s">
        <v>410</v>
      </c>
      <c r="E1128" s="1425">
        <v>0.12</v>
      </c>
      <c r="F1128" s="435">
        <f>'COMP AUX'!G104</f>
        <v>11.1</v>
      </c>
      <c r="G1128" s="511">
        <f>TRUNC(E1128*F1128,2)</f>
        <v>1.33</v>
      </c>
    </row>
    <row r="1129" spans="1:9" ht="14.1" customHeight="1">
      <c r="A1129" s="1423"/>
      <c r="B1129" s="1417"/>
      <c r="C1129" s="430" t="s">
        <v>99</v>
      </c>
      <c r="D1129" s="1424"/>
      <c r="E1129" s="1426"/>
      <c r="F1129" s="435">
        <f>'COMP AUX'!G105</f>
        <v>4.5600000000000005</v>
      </c>
      <c r="G1129" s="433">
        <f>TRUNC(E1128*F1129,2)</f>
        <v>0.54</v>
      </c>
    </row>
    <row r="1130" spans="1:9" ht="14.1" customHeight="1">
      <c r="A1130" s="1470">
        <v>88310</v>
      </c>
      <c r="B1130" s="1416" t="s">
        <v>2615</v>
      </c>
      <c r="C1130" s="430" t="s">
        <v>117</v>
      </c>
      <c r="D1130" s="1418" t="s">
        <v>410</v>
      </c>
      <c r="E1130" s="1425">
        <v>0.35</v>
      </c>
      <c r="F1130" s="452">
        <f>'COMP AUX'!G355</f>
        <v>14.85</v>
      </c>
      <c r="G1130" s="456">
        <f t="shared" ref="G1130" si="80">TRUNC(E1130*F1130,2)</f>
        <v>5.19</v>
      </c>
    </row>
    <row r="1131" spans="1:9" ht="14.1" customHeight="1">
      <c r="A1131" s="1454"/>
      <c r="B1131" s="1417"/>
      <c r="C1131" s="430" t="s">
        <v>99</v>
      </c>
      <c r="D1131" s="1419"/>
      <c r="E1131" s="1426"/>
      <c r="F1131" s="452">
        <f>'COMP AUX'!G356</f>
        <v>4.5600000000000005</v>
      </c>
      <c r="G1131" s="456">
        <f>TRUNC(E1130*F1131,2)</f>
        <v>1.59</v>
      </c>
    </row>
    <row r="1132" spans="1:9" ht="27.75" customHeight="1">
      <c r="A1132" s="1007">
        <v>10515</v>
      </c>
      <c r="B1132" s="1001" t="s">
        <v>3094</v>
      </c>
      <c r="C1132" s="430" t="s">
        <v>99</v>
      </c>
      <c r="D1132" s="1008" t="s">
        <v>1574</v>
      </c>
      <c r="E1132" s="1000">
        <v>1.1000000000000001</v>
      </c>
      <c r="F1132" s="452">
        <v>43.37</v>
      </c>
      <c r="G1132" s="456">
        <f>TRUNC(E1132*F1132,2)</f>
        <v>47.7</v>
      </c>
    </row>
    <row r="1133" spans="1:9" ht="14.1" customHeight="1">
      <c r="A1133" s="1007">
        <v>11849</v>
      </c>
      <c r="B1133" s="1001" t="s">
        <v>3092</v>
      </c>
      <c r="C1133" s="430" t="s">
        <v>99</v>
      </c>
      <c r="D1133" s="1008" t="s">
        <v>1276</v>
      </c>
      <c r="E1133" s="1000">
        <v>0.9</v>
      </c>
      <c r="F1133" s="452">
        <v>9.6199999999999992</v>
      </c>
      <c r="G1133" s="456">
        <f t="shared" ref="G1133" si="81">TRUNC(E1133*F1133,2)</f>
        <v>8.65</v>
      </c>
    </row>
    <row r="1134" spans="1:9" ht="14.1" customHeight="1">
      <c r="E1134" s="215"/>
      <c r="F1134" s="514" t="s">
        <v>103</v>
      </c>
      <c r="G1134" s="466">
        <f>G1128+G1130</f>
        <v>6.5200000000000005</v>
      </c>
    </row>
    <row r="1135" spans="1:9" ht="14.1" customHeight="1">
      <c r="E1135" s="215"/>
      <c r="F1135" s="438" t="s">
        <v>105</v>
      </c>
      <c r="G1135" s="456">
        <f>G1129+G1131+G1132+G1133</f>
        <v>58.480000000000004</v>
      </c>
    </row>
    <row r="1136" spans="1:9" ht="14.1" customHeight="1">
      <c r="A1136" s="170" t="s">
        <v>107</v>
      </c>
      <c r="E1136" s="215"/>
      <c r="F1136" s="438" t="s">
        <v>106</v>
      </c>
      <c r="G1136" s="457">
        <f>SUM(G1134:G1135)</f>
        <v>65</v>
      </c>
    </row>
    <row r="1137" spans="1:9" ht="14.1" customHeight="1">
      <c r="A1137" s="437" t="s">
        <v>108</v>
      </c>
      <c r="B1137" s="548">
        <f>G1136</f>
        <v>65</v>
      </c>
    </row>
    <row r="1138" spans="1:9" ht="14.1" customHeight="1">
      <c r="A1138" s="542" t="s">
        <v>2654</v>
      </c>
      <c r="B1138" s="541"/>
    </row>
    <row r="1139" spans="1:9" ht="14.1" customHeight="1">
      <c r="A1139" s="622" t="s">
        <v>2714</v>
      </c>
      <c r="B1139" s="541">
        <f>(B1137+B1138)*0.245</f>
        <v>15.924999999999999</v>
      </c>
    </row>
    <row r="1140" spans="1:9" ht="14.1" customHeight="1">
      <c r="A1140" s="437" t="s">
        <v>111</v>
      </c>
      <c r="B1140" s="549">
        <f>SUM(B1137:B1139)</f>
        <v>80.924999999999997</v>
      </c>
      <c r="H1140" s="560"/>
      <c r="I1140" s="170" t="s">
        <v>2659</v>
      </c>
    </row>
    <row r="1141" spans="1:9" ht="11.25" customHeight="1">
      <c r="A1141" s="516"/>
      <c r="B1141" s="517"/>
      <c r="C1141" s="518"/>
      <c r="D1141" s="516"/>
      <c r="E1141" s="517"/>
      <c r="F1141" s="517"/>
      <c r="G1141" s="517"/>
      <c r="H1141" s="516"/>
    </row>
    <row r="1142" spans="1:9" ht="11.25" customHeight="1">
      <c r="A1142" s="424"/>
      <c r="B1142" s="421"/>
      <c r="C1142" s="423"/>
      <c r="D1142" s="424"/>
      <c r="E1142" s="421"/>
      <c r="F1142" s="421"/>
      <c r="G1142" s="421"/>
      <c r="H1142" s="424"/>
    </row>
    <row r="1143" spans="1:9" ht="11.25" customHeight="1">
      <c r="A1143" s="170" t="s">
        <v>1258</v>
      </c>
    </row>
    <row r="1144" spans="1:9" ht="11.25" customHeight="1">
      <c r="A1144" s="220" t="s">
        <v>3105</v>
      </c>
    </row>
    <row r="1145" spans="1:9" ht="15" customHeight="1">
      <c r="A1145" s="505" t="s">
        <v>1536</v>
      </c>
      <c r="B1145" s="505" t="s">
        <v>3104</v>
      </c>
      <c r="C1145" s="1297" t="s">
        <v>1574</v>
      </c>
      <c r="F1145" s="170"/>
      <c r="G1145" s="506"/>
    </row>
    <row r="1146" spans="1:9" ht="24" customHeight="1">
      <c r="A1146" s="1296" t="s">
        <v>30</v>
      </c>
      <c r="B1146" s="507" t="s">
        <v>19</v>
      </c>
      <c r="C1146" s="430" t="s">
        <v>92</v>
      </c>
      <c r="D1146" s="1291" t="s">
        <v>88</v>
      </c>
      <c r="E1146" s="1291" t="s">
        <v>93</v>
      </c>
      <c r="F1146" s="432" t="s">
        <v>94</v>
      </c>
      <c r="G1146" s="508" t="s">
        <v>95</v>
      </c>
    </row>
    <row r="1147" spans="1:9" ht="14.1" customHeight="1">
      <c r="A1147" s="1422" t="s">
        <v>1404</v>
      </c>
      <c r="B1147" s="1416" t="s">
        <v>123</v>
      </c>
      <c r="C1147" s="430" t="s">
        <v>117</v>
      </c>
      <c r="D1147" s="1424" t="s">
        <v>410</v>
      </c>
      <c r="E1147" s="1425">
        <v>0.23</v>
      </c>
      <c r="F1147" s="435">
        <f>'COMP AUX'!G104</f>
        <v>11.1</v>
      </c>
      <c r="G1147" s="511">
        <f>TRUNC(E1147*F1147,2)</f>
        <v>2.5499999999999998</v>
      </c>
    </row>
    <row r="1148" spans="1:9" ht="14.1" customHeight="1">
      <c r="A1148" s="1423"/>
      <c r="B1148" s="1417"/>
      <c r="C1148" s="430" t="s">
        <v>99</v>
      </c>
      <c r="D1148" s="1424"/>
      <c r="E1148" s="1426"/>
      <c r="F1148" s="435">
        <f>'COMP AUX'!G105</f>
        <v>4.5600000000000005</v>
      </c>
      <c r="G1148" s="433">
        <f>TRUNC(E1147*F1148,2)</f>
        <v>1.04</v>
      </c>
    </row>
    <row r="1149" spans="1:9" ht="14.1" customHeight="1">
      <c r="A1149" s="1470">
        <v>88310</v>
      </c>
      <c r="B1149" s="1416" t="s">
        <v>2615</v>
      </c>
      <c r="C1149" s="430" t="s">
        <v>117</v>
      </c>
      <c r="D1149" s="1418" t="s">
        <v>410</v>
      </c>
      <c r="E1149" s="1425">
        <v>0.23</v>
      </c>
      <c r="F1149" s="452">
        <f>'COMP AUX'!G355</f>
        <v>14.85</v>
      </c>
      <c r="G1149" s="456">
        <f t="shared" ref="G1149" si="82">TRUNC(E1149*F1149,2)</f>
        <v>3.41</v>
      </c>
    </row>
    <row r="1150" spans="1:9" ht="14.1" customHeight="1">
      <c r="A1150" s="1454"/>
      <c r="B1150" s="1417"/>
      <c r="C1150" s="430" t="s">
        <v>99</v>
      </c>
      <c r="D1150" s="1419"/>
      <c r="E1150" s="1426"/>
      <c r="F1150" s="452">
        <f>'COMP AUX'!G356</f>
        <v>4.5600000000000005</v>
      </c>
      <c r="G1150" s="456">
        <f>TRUNC(E1149*F1150,2)</f>
        <v>1.04</v>
      </c>
    </row>
    <row r="1151" spans="1:9" ht="14.1" customHeight="1">
      <c r="A1151" s="1294">
        <v>37329</v>
      </c>
      <c r="B1151" s="1290" t="s">
        <v>260</v>
      </c>
      <c r="C1151" s="430" t="s">
        <v>99</v>
      </c>
      <c r="D1151" s="1293" t="s">
        <v>1401</v>
      </c>
      <c r="E1151" s="1292">
        <v>0.65</v>
      </c>
      <c r="F1151" s="452">
        <v>44.3</v>
      </c>
      <c r="G1151" s="456">
        <f>TRUNC(E1151*F1151,2)</f>
        <v>28.79</v>
      </c>
    </row>
    <row r="1152" spans="1:9" ht="14.1" customHeight="1">
      <c r="E1152" s="215"/>
      <c r="F1152" s="514" t="s">
        <v>103</v>
      </c>
      <c r="G1152" s="466">
        <f>G1147+G1149</f>
        <v>5.96</v>
      </c>
    </row>
    <row r="1153" spans="1:9" ht="14.1" customHeight="1">
      <c r="E1153" s="215"/>
      <c r="F1153" s="438" t="s">
        <v>105</v>
      </c>
      <c r="G1153" s="456">
        <f>G1148+G1150+G1151</f>
        <v>30.869999999999997</v>
      </c>
    </row>
    <row r="1154" spans="1:9" ht="14.1" customHeight="1">
      <c r="A1154" s="170" t="s">
        <v>107</v>
      </c>
      <c r="E1154" s="215"/>
      <c r="F1154" s="438" t="s">
        <v>106</v>
      </c>
      <c r="G1154" s="457">
        <f>SUM(G1152:G1153)</f>
        <v>36.83</v>
      </c>
    </row>
    <row r="1155" spans="1:9" ht="14.1" customHeight="1">
      <c r="A1155" s="437" t="s">
        <v>108</v>
      </c>
      <c r="B1155" s="548">
        <f>G1154</f>
        <v>36.83</v>
      </c>
    </row>
    <row r="1156" spans="1:9" ht="14.1" customHeight="1">
      <c r="A1156" s="542" t="s">
        <v>2654</v>
      </c>
      <c r="B1156" s="541"/>
    </row>
    <row r="1157" spans="1:9" ht="14.1" customHeight="1">
      <c r="A1157" s="622" t="s">
        <v>2714</v>
      </c>
      <c r="B1157" s="541">
        <f>(B1155+B1156)*0.245</f>
        <v>9.0233499999999989</v>
      </c>
    </row>
    <row r="1158" spans="1:9" ht="14.1" customHeight="1">
      <c r="A1158" s="437" t="s">
        <v>111</v>
      </c>
      <c r="B1158" s="549">
        <f>SUM(B1155:B1157)</f>
        <v>45.853349999999999</v>
      </c>
      <c r="H1158" s="560"/>
      <c r="I1158" s="170" t="s">
        <v>2659</v>
      </c>
    </row>
    <row r="1159" spans="1:9" ht="11.25" customHeight="1">
      <c r="A1159" s="516"/>
      <c r="B1159" s="517"/>
      <c r="C1159" s="518"/>
      <c r="D1159" s="516"/>
      <c r="E1159" s="517"/>
      <c r="F1159" s="517"/>
      <c r="G1159" s="517"/>
      <c r="H1159" s="516"/>
    </row>
    <row r="1160" spans="1:9" ht="11.25" customHeight="1">
      <c r="A1160" s="424"/>
      <c r="B1160" s="421"/>
      <c r="C1160" s="423"/>
      <c r="D1160" s="424"/>
      <c r="E1160" s="421"/>
      <c r="F1160" s="421"/>
      <c r="G1160" s="421"/>
      <c r="H1160" s="424"/>
    </row>
    <row r="1161" spans="1:9" ht="11.25" customHeight="1">
      <c r="A1161" s="170" t="s">
        <v>1258</v>
      </c>
    </row>
    <row r="1162" spans="1:9" ht="11.25" customHeight="1">
      <c r="A1162" s="220" t="s">
        <v>2616</v>
      </c>
    </row>
    <row r="1163" spans="1:9" ht="28.5" customHeight="1">
      <c r="A1163" s="505" t="s">
        <v>1536</v>
      </c>
      <c r="B1163" s="1429" t="s">
        <v>2617</v>
      </c>
      <c r="C1163" s="1429"/>
      <c r="D1163" s="1040" t="s">
        <v>1574</v>
      </c>
      <c r="F1163" s="170"/>
      <c r="G1163" s="506"/>
    </row>
    <row r="1164" spans="1:9" ht="21.75" customHeight="1">
      <c r="A1164" s="1003" t="s">
        <v>30</v>
      </c>
      <c r="B1164" s="507" t="s">
        <v>19</v>
      </c>
      <c r="C1164" s="430" t="s">
        <v>92</v>
      </c>
      <c r="D1164" s="1005" t="s">
        <v>88</v>
      </c>
      <c r="E1164" s="1005" t="s">
        <v>93</v>
      </c>
      <c r="F1164" s="432" t="s">
        <v>94</v>
      </c>
      <c r="G1164" s="508" t="s">
        <v>95</v>
      </c>
    </row>
    <row r="1165" spans="1:9" ht="15" customHeight="1">
      <c r="A1165" s="1422" t="s">
        <v>1404</v>
      </c>
      <c r="B1165" s="1416" t="s">
        <v>123</v>
      </c>
      <c r="C1165" s="430" t="s">
        <v>117</v>
      </c>
      <c r="D1165" s="1424" t="s">
        <v>410</v>
      </c>
      <c r="E1165" s="1425">
        <v>11.5</v>
      </c>
      <c r="F1165" s="435">
        <f>'COMP AUX'!G104</f>
        <v>11.1</v>
      </c>
      <c r="G1165" s="511">
        <f>TRUNC(E1165*F1165,2)</f>
        <v>127.65</v>
      </c>
    </row>
    <row r="1166" spans="1:9" ht="15" customHeight="1">
      <c r="A1166" s="1423"/>
      <c r="B1166" s="1417"/>
      <c r="C1166" s="430" t="s">
        <v>99</v>
      </c>
      <c r="D1166" s="1424"/>
      <c r="E1166" s="1426"/>
      <c r="F1166" s="435">
        <f>'COMP AUX'!G105</f>
        <v>4.5600000000000005</v>
      </c>
      <c r="G1166" s="433">
        <f>TRUNC(E1165*F1166,2)</f>
        <v>52.44</v>
      </c>
    </row>
    <row r="1167" spans="1:9" ht="15" customHeight="1">
      <c r="A1167" s="1422">
        <v>88315</v>
      </c>
      <c r="B1167" s="1416" t="s">
        <v>1830</v>
      </c>
      <c r="C1167" s="430" t="s">
        <v>117</v>
      </c>
      <c r="D1167" s="1427" t="s">
        <v>410</v>
      </c>
      <c r="E1167" s="1425">
        <v>7</v>
      </c>
      <c r="F1167" s="435">
        <f>'COMP AUX'!G440</f>
        <v>14.81</v>
      </c>
      <c r="G1167" s="433">
        <f>TRUNC(E1167*F1167,2)</f>
        <v>103.67</v>
      </c>
    </row>
    <row r="1168" spans="1:9" ht="15" customHeight="1">
      <c r="A1168" s="1423"/>
      <c r="B1168" s="1417"/>
      <c r="C1168" s="430" t="s">
        <v>99</v>
      </c>
      <c r="D1168" s="1428"/>
      <c r="E1168" s="1426"/>
      <c r="F1168" s="435">
        <f>'COMP AUX'!G441</f>
        <v>4.5600000000000005</v>
      </c>
      <c r="G1168" s="433">
        <f>TRUNC(E1167*F1168,2)</f>
        <v>31.92</v>
      </c>
    </row>
    <row r="1169" spans="1:7" ht="15" customHeight="1">
      <c r="A1169" s="1470">
        <v>88317</v>
      </c>
      <c r="B1169" s="1416" t="s">
        <v>1842</v>
      </c>
      <c r="C1169" s="430" t="s">
        <v>117</v>
      </c>
      <c r="D1169" s="1418" t="s">
        <v>410</v>
      </c>
      <c r="E1169" s="1425">
        <v>4.5</v>
      </c>
      <c r="F1169" s="452">
        <f>'COMP AUX'!G878</f>
        <v>14.81</v>
      </c>
      <c r="G1169" s="456">
        <f t="shared" ref="G1169" si="83">TRUNC(E1169*F1169,2)</f>
        <v>66.64</v>
      </c>
    </row>
    <row r="1170" spans="1:7" ht="15" customHeight="1">
      <c r="A1170" s="1454"/>
      <c r="B1170" s="1417"/>
      <c r="C1170" s="430" t="s">
        <v>99</v>
      </c>
      <c r="D1170" s="1419"/>
      <c r="E1170" s="1426"/>
      <c r="F1170" s="452">
        <f>'COMP AUX'!G879</f>
        <v>4.5600000000000005</v>
      </c>
      <c r="G1170" s="456">
        <f>TRUNC(E1169*F1170,2)</f>
        <v>20.52</v>
      </c>
    </row>
    <row r="1171" spans="1:7" ht="20.100000000000001" customHeight="1">
      <c r="A1171" s="1537" t="s">
        <v>1839</v>
      </c>
      <c r="B1171" s="1416" t="s">
        <v>1843</v>
      </c>
      <c r="C1171" s="430" t="s">
        <v>117</v>
      </c>
      <c r="D1171" s="1418" t="s">
        <v>1359</v>
      </c>
      <c r="E1171" s="1425">
        <v>3.82</v>
      </c>
      <c r="F1171" s="452">
        <f>'COMP AUX'!G1254</f>
        <v>14.81</v>
      </c>
      <c r="G1171" s="456">
        <f>TRUNC(E1171*F1171,2)</f>
        <v>56.57</v>
      </c>
    </row>
    <row r="1172" spans="1:7" ht="20.100000000000001" customHeight="1">
      <c r="A1172" s="1538"/>
      <c r="B1172" s="1417"/>
      <c r="C1172" s="430" t="s">
        <v>99</v>
      </c>
      <c r="D1172" s="1419"/>
      <c r="E1172" s="1426"/>
      <c r="F1172" s="452">
        <f>'COMP AUX'!G1255</f>
        <v>51.930000000000007</v>
      </c>
      <c r="G1172" s="456">
        <f>TRUNC(E1171*F1172,2)</f>
        <v>198.37</v>
      </c>
    </row>
    <row r="1173" spans="1:7" ht="20.100000000000001" customHeight="1">
      <c r="A1173" s="1537" t="s">
        <v>1840</v>
      </c>
      <c r="B1173" s="1416" t="s">
        <v>1844</v>
      </c>
      <c r="C1173" s="430" t="s">
        <v>117</v>
      </c>
      <c r="D1173" s="1418" t="s">
        <v>1338</v>
      </c>
      <c r="E1173" s="1425">
        <v>0.67</v>
      </c>
      <c r="F1173" s="452">
        <f>'COMP AUX'!G1267</f>
        <v>14.81</v>
      </c>
      <c r="G1173" s="456">
        <f>TRUNC(E1173*F1173,2)</f>
        <v>9.92</v>
      </c>
    </row>
    <row r="1174" spans="1:7" ht="20.100000000000001" customHeight="1">
      <c r="A1174" s="1538"/>
      <c r="B1174" s="1466"/>
      <c r="C1174" s="430" t="s">
        <v>99</v>
      </c>
      <c r="D1174" s="1419"/>
      <c r="E1174" s="1426"/>
      <c r="F1174" s="452">
        <f>'COMP AUX'!G1268</f>
        <v>12.700000000000001</v>
      </c>
      <c r="G1174" s="456">
        <f>TRUNC(E1173*F1174,2)</f>
        <v>8.5</v>
      </c>
    </row>
    <row r="1175" spans="1:7" ht="25.5" customHeight="1">
      <c r="A1175" s="1007" t="s">
        <v>2618</v>
      </c>
      <c r="B1175" s="1001" t="s">
        <v>2619</v>
      </c>
      <c r="C1175" s="430" t="s">
        <v>99</v>
      </c>
      <c r="D1175" s="1008" t="s">
        <v>1574</v>
      </c>
      <c r="E1175" s="1000">
        <v>1.1000000000000001</v>
      </c>
      <c r="F1175" s="452">
        <v>17.09</v>
      </c>
      <c r="G1175" s="456">
        <f>TRUNC(E1175*F1175,2)</f>
        <v>18.79</v>
      </c>
    </row>
    <row r="1176" spans="1:7" ht="26.25" customHeight="1">
      <c r="A1176" s="1007" t="s">
        <v>2620</v>
      </c>
      <c r="B1176" s="1001" t="s">
        <v>2621</v>
      </c>
      <c r="C1176" s="430" t="s">
        <v>99</v>
      </c>
      <c r="D1176" s="1008" t="s">
        <v>418</v>
      </c>
      <c r="E1176" s="1000">
        <v>1.4318</v>
      </c>
      <c r="F1176" s="452">
        <v>26.78</v>
      </c>
      <c r="G1176" s="456">
        <f t="shared" ref="G1176:G1178" si="84">TRUNC(E1176*F1176,2)</f>
        <v>38.340000000000003</v>
      </c>
    </row>
    <row r="1177" spans="1:7" ht="15" customHeight="1">
      <c r="A1177" s="1007" t="s">
        <v>2622</v>
      </c>
      <c r="B1177" s="1001" t="s">
        <v>2623</v>
      </c>
      <c r="C1177" s="430" t="s">
        <v>99</v>
      </c>
      <c r="D1177" s="1008" t="s">
        <v>1401</v>
      </c>
      <c r="E1177" s="1000">
        <v>3.37</v>
      </c>
      <c r="F1177" s="452">
        <v>12</v>
      </c>
      <c r="G1177" s="456">
        <f t="shared" si="84"/>
        <v>40.44</v>
      </c>
    </row>
    <row r="1178" spans="1:7" ht="27" customHeight="1">
      <c r="A1178" s="1007" t="s">
        <v>2624</v>
      </c>
      <c r="B1178" s="972" t="s">
        <v>2625</v>
      </c>
      <c r="C1178" s="430" t="s">
        <v>99</v>
      </c>
      <c r="D1178" s="1008" t="s">
        <v>418</v>
      </c>
      <c r="E1178" s="1000">
        <v>6.7407000000000004</v>
      </c>
      <c r="F1178" s="435">
        <v>16.61</v>
      </c>
      <c r="G1178" s="456">
        <f t="shared" si="84"/>
        <v>111.96</v>
      </c>
    </row>
    <row r="1179" spans="1:7" ht="14.1" customHeight="1">
      <c r="E1179" s="215"/>
      <c r="F1179" s="514" t="s">
        <v>103</v>
      </c>
      <c r="G1179" s="466">
        <f>G1165+G1167+G1169+G1171+G1173</f>
        <v>364.45</v>
      </c>
    </row>
    <row r="1180" spans="1:7" ht="14.1" customHeight="1">
      <c r="E1180" s="215"/>
      <c r="F1180" s="438" t="s">
        <v>105</v>
      </c>
      <c r="G1180" s="456">
        <f>G1166+G1168+G1170+G1172+G1174+G1175+G1176+G1177+G1178</f>
        <v>521.28</v>
      </c>
    </row>
    <row r="1181" spans="1:7" ht="14.1" customHeight="1">
      <c r="A1181" s="170" t="s">
        <v>107</v>
      </c>
      <c r="E1181" s="215"/>
      <c r="F1181" s="438" t="s">
        <v>106</v>
      </c>
      <c r="G1181" s="457">
        <f>SUM(G1179:G1180)</f>
        <v>885.73</v>
      </c>
    </row>
    <row r="1182" spans="1:7" ht="14.1" customHeight="1">
      <c r="A1182" s="437" t="s">
        <v>108</v>
      </c>
      <c r="B1182" s="548">
        <f>G1181</f>
        <v>885.73</v>
      </c>
    </row>
    <row r="1183" spans="1:7" ht="14.1" customHeight="1">
      <c r="A1183" s="542" t="s">
        <v>2654</v>
      </c>
      <c r="B1183" s="541"/>
    </row>
    <row r="1184" spans="1:7" ht="14.1" customHeight="1">
      <c r="A1184" s="622" t="s">
        <v>2714</v>
      </c>
      <c r="B1184" s="541">
        <f>(B1182+B1183)*0.245</f>
        <v>217.00385</v>
      </c>
    </row>
    <row r="1185" spans="1:8" ht="14.1" customHeight="1">
      <c r="A1185" s="437" t="s">
        <v>111</v>
      </c>
      <c r="B1185" s="657">
        <f>SUM(B1182:B1184)</f>
        <v>1102.7338500000001</v>
      </c>
      <c r="H1185" s="560"/>
    </row>
    <row r="1186" spans="1:8" ht="11.25" customHeight="1">
      <c r="A1186" s="516"/>
      <c r="B1186" s="517"/>
      <c r="C1186" s="518"/>
      <c r="D1186" s="516"/>
      <c r="E1186" s="517"/>
      <c r="F1186" s="517"/>
      <c r="G1186" s="517"/>
      <c r="H1186" s="516"/>
    </row>
    <row r="1187" spans="1:8" ht="11.25" customHeight="1">
      <c r="A1187" s="424"/>
      <c r="B1187" s="421"/>
      <c r="C1187" s="423"/>
      <c r="D1187" s="424"/>
      <c r="E1187" s="421"/>
      <c r="F1187" s="421"/>
      <c r="G1187" s="421"/>
      <c r="H1187" s="424"/>
    </row>
    <row r="1188" spans="1:8" ht="11.25" customHeight="1">
      <c r="A1188" s="170" t="s">
        <v>1258</v>
      </c>
      <c r="H1188" s="424"/>
    </row>
    <row r="1189" spans="1:8" ht="11.25" customHeight="1">
      <c r="A1189" s="220" t="s">
        <v>2639</v>
      </c>
      <c r="H1189" s="424"/>
    </row>
    <row r="1190" spans="1:8" ht="39" customHeight="1">
      <c r="A1190" s="505" t="s">
        <v>1536</v>
      </c>
      <c r="B1190" s="1429" t="s">
        <v>2638</v>
      </c>
      <c r="C1190" s="1429"/>
      <c r="D1190" s="1429"/>
      <c r="E1190" s="722" t="s">
        <v>1574</v>
      </c>
      <c r="F1190" s="170"/>
      <c r="G1190" s="506"/>
      <c r="H1190" s="424"/>
    </row>
    <row r="1191" spans="1:8" ht="22.5" customHeight="1">
      <c r="A1191" s="1003" t="s">
        <v>30</v>
      </c>
      <c r="B1191" s="507" t="s">
        <v>19</v>
      </c>
      <c r="C1191" s="430" t="s">
        <v>92</v>
      </c>
      <c r="D1191" s="1005" t="s">
        <v>88</v>
      </c>
      <c r="E1191" s="1005" t="s">
        <v>93</v>
      </c>
      <c r="F1191" s="432" t="s">
        <v>94</v>
      </c>
      <c r="G1191" s="508" t="s">
        <v>95</v>
      </c>
      <c r="H1191" s="424"/>
    </row>
    <row r="1192" spans="1:8" ht="14.1" customHeight="1">
      <c r="A1192" s="1422" t="s">
        <v>1404</v>
      </c>
      <c r="B1192" s="1416" t="s">
        <v>123</v>
      </c>
      <c r="C1192" s="430" t="s">
        <v>117</v>
      </c>
      <c r="D1192" s="1424" t="s">
        <v>410</v>
      </c>
      <c r="E1192" s="1425">
        <v>1</v>
      </c>
      <c r="F1192" s="435">
        <f>'COMP AUX'!G104</f>
        <v>11.1</v>
      </c>
      <c r="G1192" s="511">
        <f>TRUNC(E1192*F1192,2)</f>
        <v>11.1</v>
      </c>
      <c r="H1192" s="424"/>
    </row>
    <row r="1193" spans="1:8" ht="14.1" customHeight="1">
      <c r="A1193" s="1423"/>
      <c r="B1193" s="1417"/>
      <c r="C1193" s="430" t="s">
        <v>99</v>
      </c>
      <c r="D1193" s="1424"/>
      <c r="E1193" s="1426"/>
      <c r="F1193" s="435">
        <f>'COMP AUX'!G105</f>
        <v>4.5600000000000005</v>
      </c>
      <c r="G1193" s="433">
        <f>TRUNC(E1192*F1193,2)</f>
        <v>4.5599999999999996</v>
      </c>
      <c r="H1193" s="424"/>
    </row>
    <row r="1194" spans="1:8" ht="14.1" customHeight="1">
      <c r="A1194" s="1422">
        <v>88315</v>
      </c>
      <c r="B1194" s="1416" t="s">
        <v>1830</v>
      </c>
      <c r="C1194" s="430" t="s">
        <v>117</v>
      </c>
      <c r="D1194" s="1427" t="s">
        <v>410</v>
      </c>
      <c r="E1194" s="1425">
        <v>0.5</v>
      </c>
      <c r="F1194" s="435">
        <f>'COMP AUX'!G440</f>
        <v>14.81</v>
      </c>
      <c r="G1194" s="433">
        <f>TRUNC(E1194*F1194,2)</f>
        <v>7.4</v>
      </c>
      <c r="H1194" s="424"/>
    </row>
    <row r="1195" spans="1:8" ht="14.1" customHeight="1">
      <c r="A1195" s="1423"/>
      <c r="B1195" s="1417"/>
      <c r="C1195" s="430" t="s">
        <v>99</v>
      </c>
      <c r="D1195" s="1428"/>
      <c r="E1195" s="1426"/>
      <c r="F1195" s="435">
        <f>'COMP AUX'!G441</f>
        <v>4.5600000000000005</v>
      </c>
      <c r="G1195" s="433">
        <f>TRUNC(E1194*F1195,2)</f>
        <v>2.2799999999999998</v>
      </c>
      <c r="H1195" s="424"/>
    </row>
    <row r="1196" spans="1:8" ht="24.75" customHeight="1">
      <c r="A1196" s="1007" t="s">
        <v>2618</v>
      </c>
      <c r="B1196" s="1001" t="s">
        <v>2619</v>
      </c>
      <c r="C1196" s="430" t="s">
        <v>99</v>
      </c>
      <c r="D1196" s="1008" t="s">
        <v>1574</v>
      </c>
      <c r="E1196" s="1000">
        <v>1.05</v>
      </c>
      <c r="F1196" s="452">
        <v>17.09</v>
      </c>
      <c r="G1196" s="456">
        <f>TRUNC(E1196*F1196,2)</f>
        <v>17.940000000000001</v>
      </c>
    </row>
    <row r="1197" spans="1:8" ht="27.75" customHeight="1">
      <c r="A1197" s="1007" t="s">
        <v>2640</v>
      </c>
      <c r="B1197" s="1001" t="s">
        <v>2641</v>
      </c>
      <c r="C1197" s="430" t="s">
        <v>99</v>
      </c>
      <c r="D1197" s="1008" t="s">
        <v>418</v>
      </c>
      <c r="E1197" s="1000">
        <v>1.68</v>
      </c>
      <c r="F1197" s="452">
        <v>38.61</v>
      </c>
      <c r="G1197" s="456">
        <f t="shared" ref="G1197:G1199" si="85">TRUNC(E1197*F1197,2)</f>
        <v>64.86</v>
      </c>
    </row>
    <row r="1198" spans="1:8" ht="14.1" customHeight="1">
      <c r="A1198" s="1007" t="s">
        <v>2642</v>
      </c>
      <c r="B1198" s="1001" t="s">
        <v>2643</v>
      </c>
      <c r="C1198" s="430" t="s">
        <v>99</v>
      </c>
      <c r="D1198" s="1008" t="s">
        <v>1401</v>
      </c>
      <c r="E1198" s="1000">
        <v>7.0000000000000007E-2</v>
      </c>
      <c r="F1198" s="452">
        <v>14</v>
      </c>
      <c r="G1198" s="456">
        <f t="shared" si="85"/>
        <v>0.98</v>
      </c>
    </row>
    <row r="1199" spans="1:8" ht="14.1" customHeight="1">
      <c r="A1199" s="1007" t="s">
        <v>2644</v>
      </c>
      <c r="B1199" s="972" t="s">
        <v>2645</v>
      </c>
      <c r="C1199" s="430" t="s">
        <v>99</v>
      </c>
      <c r="D1199" s="1008" t="s">
        <v>418</v>
      </c>
      <c r="E1199" s="1000">
        <v>0.15</v>
      </c>
      <c r="F1199" s="435">
        <v>12.1</v>
      </c>
      <c r="G1199" s="456">
        <f t="shared" si="85"/>
        <v>1.81</v>
      </c>
    </row>
    <row r="1200" spans="1:8" ht="14.1" customHeight="1">
      <c r="E1200" s="215"/>
      <c r="F1200" s="514" t="s">
        <v>103</v>
      </c>
      <c r="G1200" s="466">
        <f>G1192+G1194</f>
        <v>18.5</v>
      </c>
    </row>
    <row r="1201" spans="1:8" ht="14.1" customHeight="1">
      <c r="E1201" s="215"/>
      <c r="F1201" s="438" t="s">
        <v>105</v>
      </c>
      <c r="G1201" s="456">
        <f>G1193+G1195+G1196+G1197+G1198+G1199</f>
        <v>92.43</v>
      </c>
    </row>
    <row r="1202" spans="1:8" ht="14.1" customHeight="1">
      <c r="A1202" s="170" t="s">
        <v>107</v>
      </c>
      <c r="E1202" s="215"/>
      <c r="F1202" s="438" t="s">
        <v>106</v>
      </c>
      <c r="G1202" s="457">
        <f>SUM(G1200:G1201)</f>
        <v>110.93</v>
      </c>
    </row>
    <row r="1203" spans="1:8" ht="14.1" customHeight="1">
      <c r="A1203" s="437" t="s">
        <v>108</v>
      </c>
      <c r="B1203" s="548">
        <f>G1202</f>
        <v>110.93</v>
      </c>
    </row>
    <row r="1204" spans="1:8" ht="14.1" customHeight="1">
      <c r="A1204" s="542" t="s">
        <v>2654</v>
      </c>
      <c r="B1204" s="541"/>
    </row>
    <row r="1205" spans="1:8" ht="14.1" customHeight="1">
      <c r="A1205" s="622" t="s">
        <v>2714</v>
      </c>
      <c r="B1205" s="541">
        <f>(B1203+B1204)*0.245</f>
        <v>27.177850000000003</v>
      </c>
    </row>
    <row r="1206" spans="1:8" ht="14.1" customHeight="1">
      <c r="A1206" s="437" t="s">
        <v>111</v>
      </c>
      <c r="B1206" s="657">
        <f>SUM(B1203:B1205)</f>
        <v>138.10785000000001</v>
      </c>
      <c r="H1206" s="560"/>
    </row>
    <row r="1207" spans="1:8" ht="11.25" customHeight="1">
      <c r="A1207" s="516"/>
      <c r="B1207" s="517"/>
      <c r="C1207" s="518"/>
      <c r="D1207" s="516"/>
      <c r="E1207" s="517"/>
      <c r="F1207" s="517"/>
      <c r="G1207" s="517"/>
      <c r="H1207" s="516"/>
    </row>
    <row r="1208" spans="1:8" ht="11.25" customHeight="1">
      <c r="A1208" s="424"/>
      <c r="B1208" s="421"/>
      <c r="C1208" s="423"/>
      <c r="D1208" s="424"/>
      <c r="E1208" s="421"/>
      <c r="F1208" s="421"/>
      <c r="G1208" s="421"/>
      <c r="H1208" s="424"/>
    </row>
    <row r="1209" spans="1:8" ht="11.25" customHeight="1">
      <c r="A1209" s="170" t="s">
        <v>1258</v>
      </c>
      <c r="H1209" s="424"/>
    </row>
    <row r="1210" spans="1:8" ht="11.25" customHeight="1">
      <c r="A1210" s="220" t="s">
        <v>2646</v>
      </c>
      <c r="H1210" s="424"/>
    </row>
    <row r="1211" spans="1:8" ht="15" customHeight="1">
      <c r="A1211" s="505" t="s">
        <v>1536</v>
      </c>
      <c r="B1211" s="505" t="s">
        <v>1254</v>
      </c>
      <c r="C1211" s="722" t="s">
        <v>1574</v>
      </c>
      <c r="D1211" s="505"/>
      <c r="F1211" s="170"/>
      <c r="G1211" s="506"/>
      <c r="H1211" s="424"/>
    </row>
    <row r="1212" spans="1:8" ht="21.75" customHeight="1">
      <c r="A1212" s="1003" t="s">
        <v>30</v>
      </c>
      <c r="B1212" s="507" t="s">
        <v>19</v>
      </c>
      <c r="C1212" s="430" t="s">
        <v>92</v>
      </c>
      <c r="D1212" s="1005" t="s">
        <v>88</v>
      </c>
      <c r="E1212" s="1005" t="s">
        <v>93</v>
      </c>
      <c r="F1212" s="432" t="s">
        <v>94</v>
      </c>
      <c r="G1212" s="508" t="s">
        <v>95</v>
      </c>
      <c r="H1212" s="424"/>
    </row>
    <row r="1213" spans="1:8" ht="14.1" customHeight="1">
      <c r="A1213" s="1422" t="s">
        <v>1404</v>
      </c>
      <c r="B1213" s="1416" t="s">
        <v>123</v>
      </c>
      <c r="C1213" s="430" t="s">
        <v>117</v>
      </c>
      <c r="D1213" s="1424" t="s">
        <v>410</v>
      </c>
      <c r="E1213" s="1425">
        <v>0.14000000000000001</v>
      </c>
      <c r="F1213" s="435">
        <f>'COMP AUX'!G104</f>
        <v>11.1</v>
      </c>
      <c r="G1213" s="511">
        <f>TRUNC(E1213*F1213,2)</f>
        <v>1.55</v>
      </c>
      <c r="H1213" s="424"/>
    </row>
    <row r="1214" spans="1:8" ht="14.1" customHeight="1">
      <c r="A1214" s="1423"/>
      <c r="B1214" s="1417"/>
      <c r="C1214" s="430" t="s">
        <v>99</v>
      </c>
      <c r="D1214" s="1424"/>
      <c r="E1214" s="1426"/>
      <c r="F1214" s="435">
        <f>'COMP AUX'!G105</f>
        <v>4.5600000000000005</v>
      </c>
      <c r="G1214" s="433">
        <f>TRUNC(E1213*F1214,2)</f>
        <v>0.63</v>
      </c>
      <c r="H1214" s="424"/>
    </row>
    <row r="1215" spans="1:8" ht="14.1" customHeight="1">
      <c r="A1215" s="1007" t="s">
        <v>312</v>
      </c>
      <c r="B1215" s="972" t="s">
        <v>2647</v>
      </c>
      <c r="C1215" s="430" t="s">
        <v>99</v>
      </c>
      <c r="D1215" s="1008" t="s">
        <v>1276</v>
      </c>
      <c r="E1215" s="1000">
        <v>0.05</v>
      </c>
      <c r="F1215" s="435">
        <v>3.26</v>
      </c>
      <c r="G1215" s="456">
        <f t="shared" ref="G1215" si="86">TRUNC(E1215*F1215,2)</f>
        <v>0.16</v>
      </c>
    </row>
    <row r="1216" spans="1:8" ht="14.1" customHeight="1">
      <c r="E1216" s="215"/>
      <c r="F1216" s="514" t="s">
        <v>103</v>
      </c>
      <c r="G1216" s="466">
        <f>G1213</f>
        <v>1.55</v>
      </c>
    </row>
    <row r="1217" spans="1:8" ht="14.1" customHeight="1">
      <c r="E1217" s="215"/>
      <c r="F1217" s="438" t="s">
        <v>105</v>
      </c>
      <c r="G1217" s="456">
        <f>G1214+G1215</f>
        <v>0.79</v>
      </c>
    </row>
    <row r="1218" spans="1:8" ht="14.1" customHeight="1">
      <c r="A1218" s="170" t="s">
        <v>107</v>
      </c>
      <c r="E1218" s="215"/>
      <c r="F1218" s="438" t="s">
        <v>106</v>
      </c>
      <c r="G1218" s="457">
        <f>SUM(G1216:G1217)</f>
        <v>2.34</v>
      </c>
    </row>
    <row r="1219" spans="1:8" ht="14.1" customHeight="1">
      <c r="A1219" s="437" t="s">
        <v>108</v>
      </c>
      <c r="B1219" s="548">
        <f>G1218</f>
        <v>2.34</v>
      </c>
    </row>
    <row r="1220" spans="1:8" ht="14.1" customHeight="1">
      <c r="A1220" s="542" t="s">
        <v>2654</v>
      </c>
      <c r="B1220" s="541"/>
    </row>
    <row r="1221" spans="1:8" ht="14.1" customHeight="1">
      <c r="A1221" s="622" t="s">
        <v>2714</v>
      </c>
      <c r="B1221" s="541">
        <f>(B1219+B1220)*0.245</f>
        <v>0.57329999999999992</v>
      </c>
    </row>
    <row r="1222" spans="1:8" ht="14.1" customHeight="1">
      <c r="A1222" s="437" t="s">
        <v>111</v>
      </c>
      <c r="B1222" s="657">
        <f>SUM(B1219:B1221)</f>
        <v>2.9132999999999996</v>
      </c>
      <c r="H1222" s="560"/>
    </row>
    <row r="1223" spans="1:8" ht="11.25" customHeight="1">
      <c r="A1223" s="516"/>
      <c r="B1223" s="517"/>
      <c r="C1223" s="518"/>
      <c r="D1223" s="516"/>
      <c r="E1223" s="517"/>
      <c r="F1223" s="517"/>
      <c r="G1223" s="517"/>
      <c r="H1223" s="516"/>
    </row>
    <row r="1224" spans="1:8" ht="11.25" customHeight="1">
      <c r="A1224" s="424"/>
      <c r="B1224" s="421"/>
      <c r="C1224" s="423"/>
      <c r="D1224" s="424"/>
      <c r="E1224" s="421"/>
      <c r="F1224" s="421"/>
      <c r="G1224" s="421"/>
      <c r="H1224" s="424"/>
    </row>
    <row r="1225" spans="1:8" ht="11.25" customHeight="1">
      <c r="A1225" s="170" t="s">
        <v>1258</v>
      </c>
      <c r="H1225" s="424"/>
    </row>
    <row r="1226" spans="1:8" ht="11.25" customHeight="1">
      <c r="A1226" s="220" t="s">
        <v>3076</v>
      </c>
      <c r="H1226" s="424"/>
    </row>
    <row r="1227" spans="1:8" ht="18.75" customHeight="1">
      <c r="A1227" s="505" t="s">
        <v>1536</v>
      </c>
      <c r="B1227" s="1429" t="s">
        <v>3077</v>
      </c>
      <c r="C1227" s="1429"/>
      <c r="D1227" s="1429"/>
      <c r="E1227" s="1297" t="s">
        <v>418</v>
      </c>
      <c r="F1227" s="170"/>
      <c r="G1227" s="506"/>
      <c r="H1227" s="424"/>
    </row>
    <row r="1228" spans="1:8" ht="24.75" customHeight="1">
      <c r="A1228" s="1296" t="s">
        <v>30</v>
      </c>
      <c r="B1228" s="507" t="s">
        <v>19</v>
      </c>
      <c r="C1228" s="430" t="s">
        <v>92</v>
      </c>
      <c r="D1228" s="1291" t="s">
        <v>88</v>
      </c>
      <c r="E1228" s="1291" t="s">
        <v>93</v>
      </c>
      <c r="F1228" s="432" t="s">
        <v>94</v>
      </c>
      <c r="G1228" s="508" t="s">
        <v>95</v>
      </c>
      <c r="H1228" s="424"/>
    </row>
    <row r="1229" spans="1:8" ht="15" customHeight="1">
      <c r="A1229" s="1509">
        <v>88247</v>
      </c>
      <c r="B1229" s="1507" t="s">
        <v>1068</v>
      </c>
      <c r="C1229" s="430" t="s">
        <v>117</v>
      </c>
      <c r="D1229" s="1424" t="s">
        <v>410</v>
      </c>
      <c r="E1229" s="1471">
        <v>0.10440000000000001</v>
      </c>
      <c r="F1229" s="435">
        <f>'COMP AUX'!G287</f>
        <v>10.98</v>
      </c>
      <c r="G1229" s="433">
        <f t="shared" ref="G1229:G1233" si="87">TRUNC(E1229*F1229,2)</f>
        <v>1.1399999999999999</v>
      </c>
      <c r="H1229" s="424"/>
    </row>
    <row r="1230" spans="1:8" ht="15" customHeight="1">
      <c r="A1230" s="1467"/>
      <c r="B1230" s="1466"/>
      <c r="C1230" s="430" t="s">
        <v>99</v>
      </c>
      <c r="D1230" s="1424"/>
      <c r="E1230" s="1472"/>
      <c r="F1230" s="435">
        <f>'COMP AUX'!G288</f>
        <v>4.5600000000000005</v>
      </c>
      <c r="G1230" s="433">
        <f>TRUNC(E1229*F1230,2)</f>
        <v>0.47</v>
      </c>
      <c r="H1230" s="424"/>
    </row>
    <row r="1231" spans="1:8" ht="15" customHeight="1">
      <c r="A1231" s="1509">
        <v>88264</v>
      </c>
      <c r="B1231" s="1507" t="s">
        <v>306</v>
      </c>
      <c r="C1231" s="430" t="s">
        <v>117</v>
      </c>
      <c r="D1231" s="1424" t="s">
        <v>410</v>
      </c>
      <c r="E1231" s="1471">
        <v>0.10440000000000001</v>
      </c>
      <c r="F1231" s="435">
        <f>'COMP AUX'!G253</f>
        <v>15.639999999999999</v>
      </c>
      <c r="G1231" s="433">
        <f t="shared" si="87"/>
        <v>1.63</v>
      </c>
      <c r="H1231" s="424"/>
    </row>
    <row r="1232" spans="1:8" ht="15" customHeight="1">
      <c r="A1232" s="1510"/>
      <c r="B1232" s="1508"/>
      <c r="C1232" s="430" t="s">
        <v>99</v>
      </c>
      <c r="D1232" s="1424"/>
      <c r="E1232" s="1472"/>
      <c r="F1232" s="435">
        <f>'COMP AUX'!G254</f>
        <v>4.5600000000000005</v>
      </c>
      <c r="G1232" s="433">
        <f>TRUNC(E1231*F1232,2)</f>
        <v>0.47</v>
      </c>
      <c r="H1232" s="424"/>
    </row>
    <row r="1233" spans="1:8" ht="15" customHeight="1">
      <c r="A1233" s="1568" t="s">
        <v>3082</v>
      </c>
      <c r="B1233" s="1569" t="s">
        <v>3083</v>
      </c>
      <c r="C1233" s="430" t="s">
        <v>117</v>
      </c>
      <c r="D1233" s="1427" t="s">
        <v>1538</v>
      </c>
      <c r="E1233" s="1471">
        <v>0.33329999999999999</v>
      </c>
      <c r="F1233" s="435">
        <f>G1254</f>
        <v>3.59</v>
      </c>
      <c r="G1233" s="433">
        <f t="shared" si="87"/>
        <v>1.19</v>
      </c>
      <c r="H1233" s="424"/>
    </row>
    <row r="1234" spans="1:8" ht="15" customHeight="1">
      <c r="A1234" s="1568"/>
      <c r="B1234" s="1569"/>
      <c r="C1234" s="430" t="s">
        <v>99</v>
      </c>
      <c r="D1234" s="1428"/>
      <c r="E1234" s="1472"/>
      <c r="F1234" s="435">
        <f>G1255</f>
        <v>3.59</v>
      </c>
      <c r="G1234" s="433">
        <f>TRUNC(E1233*F1234,2)</f>
        <v>1.19</v>
      </c>
      <c r="H1234" s="424"/>
    </row>
    <row r="1235" spans="1:8" ht="27" customHeight="1">
      <c r="A1235" s="1354">
        <v>21136</v>
      </c>
      <c r="B1235" s="496" t="s">
        <v>3088</v>
      </c>
      <c r="C1235" s="430" t="s">
        <v>99</v>
      </c>
      <c r="D1235" s="432" t="s">
        <v>418</v>
      </c>
      <c r="E1235" s="1295">
        <v>1.1000000000000001</v>
      </c>
      <c r="F1235" s="435">
        <v>14.29</v>
      </c>
      <c r="G1235" s="456">
        <f t="shared" ref="G1235" si="88">TRUNC(E1235*F1235,2)</f>
        <v>15.71</v>
      </c>
    </row>
    <row r="1236" spans="1:8" ht="14.1" customHeight="1">
      <c r="E1236" s="215"/>
      <c r="F1236" s="514" t="s">
        <v>103</v>
      </c>
      <c r="G1236" s="466">
        <f>G1229+G1231+G1233</f>
        <v>3.9599999999999995</v>
      </c>
    </row>
    <row r="1237" spans="1:8" ht="14.1" customHeight="1">
      <c r="E1237" s="215"/>
      <c r="F1237" s="438" t="s">
        <v>105</v>
      </c>
      <c r="G1237" s="456">
        <f>G1230+G1232+G1234+G1235</f>
        <v>17.84</v>
      </c>
    </row>
    <row r="1238" spans="1:8" ht="14.1" customHeight="1">
      <c r="A1238" s="170" t="s">
        <v>107</v>
      </c>
      <c r="E1238" s="215"/>
      <c r="F1238" s="438" t="s">
        <v>106</v>
      </c>
      <c r="G1238" s="457">
        <f>SUM(G1236:G1237)</f>
        <v>21.8</v>
      </c>
    </row>
    <row r="1239" spans="1:8" ht="14.1" customHeight="1">
      <c r="A1239" s="437" t="s">
        <v>108</v>
      </c>
      <c r="B1239" s="548">
        <f>G1238</f>
        <v>21.8</v>
      </c>
    </row>
    <row r="1240" spans="1:8" ht="14.1" customHeight="1">
      <c r="A1240" s="542" t="s">
        <v>2654</v>
      </c>
      <c r="B1240" s="541"/>
    </row>
    <row r="1241" spans="1:8" ht="14.1" customHeight="1">
      <c r="A1241" s="622" t="s">
        <v>2714</v>
      </c>
      <c r="B1241" s="541">
        <f>(B1239+B1240)*0.245</f>
        <v>5.3410000000000002</v>
      </c>
    </row>
    <row r="1242" spans="1:8" ht="14.1" customHeight="1">
      <c r="A1242" s="437" t="s">
        <v>111</v>
      </c>
      <c r="B1242" s="657">
        <f>SUM(B1239:B1241)</f>
        <v>27.141000000000002</v>
      </c>
      <c r="H1242" s="560"/>
    </row>
    <row r="1243" spans="1:8" ht="11.25" customHeight="1">
      <c r="A1243" s="516"/>
      <c r="B1243" s="517"/>
      <c r="C1243" s="518"/>
      <c r="D1243" s="516"/>
      <c r="E1243" s="517"/>
      <c r="F1243" s="517"/>
      <c r="G1243" s="517"/>
      <c r="H1243" s="516"/>
    </row>
    <row r="1244" spans="1:8" ht="11.25" customHeight="1">
      <c r="A1244" s="424"/>
      <c r="B1244" s="421"/>
      <c r="C1244" s="423"/>
      <c r="D1244" s="424"/>
      <c r="E1244" s="421"/>
      <c r="F1244" s="421"/>
      <c r="G1244" s="421"/>
      <c r="H1244" s="424"/>
    </row>
    <row r="1245" spans="1:8" ht="11.25" customHeight="1">
      <c r="A1245" s="170" t="s">
        <v>1258</v>
      </c>
      <c r="H1245" s="424"/>
    </row>
    <row r="1246" spans="1:8" ht="11.25" customHeight="1">
      <c r="A1246" s="220" t="s">
        <v>3084</v>
      </c>
      <c r="H1246" s="424"/>
    </row>
    <row r="1247" spans="1:8" ht="24" customHeight="1">
      <c r="A1247" s="505" t="s">
        <v>1536</v>
      </c>
      <c r="B1247" s="1429" t="s">
        <v>3083</v>
      </c>
      <c r="C1247" s="1429"/>
      <c r="D1247" s="1429"/>
      <c r="E1247" s="1297" t="s">
        <v>1538</v>
      </c>
      <c r="F1247" s="170"/>
      <c r="G1247" s="506"/>
      <c r="H1247" s="424"/>
    </row>
    <row r="1248" spans="1:8" ht="23.25" customHeight="1">
      <c r="A1248" s="1296" t="s">
        <v>30</v>
      </c>
      <c r="B1248" s="507" t="s">
        <v>19</v>
      </c>
      <c r="C1248" s="430" t="s">
        <v>92</v>
      </c>
      <c r="D1248" s="1291" t="s">
        <v>88</v>
      </c>
      <c r="E1248" s="1291" t="s">
        <v>93</v>
      </c>
      <c r="F1248" s="432" t="s">
        <v>94</v>
      </c>
      <c r="G1248" s="508" t="s">
        <v>95</v>
      </c>
      <c r="H1248" s="424"/>
    </row>
    <row r="1249" spans="1:8" ht="14.1" customHeight="1">
      <c r="A1249" s="1509">
        <v>88247</v>
      </c>
      <c r="B1249" s="1507" t="s">
        <v>1068</v>
      </c>
      <c r="C1249" s="430" t="s">
        <v>117</v>
      </c>
      <c r="D1249" s="1424" t="s">
        <v>410</v>
      </c>
      <c r="E1249" s="1471">
        <v>0.13539999999999999</v>
      </c>
      <c r="F1249" s="435">
        <f>'COMP AUX'!G287</f>
        <v>10.98</v>
      </c>
      <c r="G1249" s="433">
        <f t="shared" ref="G1249" si="89">TRUNC(E1249*F1249,2)</f>
        <v>1.48</v>
      </c>
      <c r="H1249" s="424"/>
    </row>
    <row r="1250" spans="1:8" ht="14.1" customHeight="1">
      <c r="A1250" s="1467"/>
      <c r="B1250" s="1466"/>
      <c r="C1250" s="430" t="s">
        <v>99</v>
      </c>
      <c r="D1250" s="1424"/>
      <c r="E1250" s="1472"/>
      <c r="F1250" s="435">
        <f>'COMP AUX'!G288</f>
        <v>4.5600000000000005</v>
      </c>
      <c r="G1250" s="433">
        <f>TRUNC(E1249*F1250,2)</f>
        <v>0.61</v>
      </c>
      <c r="H1250" s="424"/>
    </row>
    <row r="1251" spans="1:8" ht="14.1" customHeight="1">
      <c r="A1251" s="1509">
        <v>88264</v>
      </c>
      <c r="B1251" s="1507" t="s">
        <v>306</v>
      </c>
      <c r="C1251" s="430" t="s">
        <v>117</v>
      </c>
      <c r="D1251" s="1424" t="s">
        <v>410</v>
      </c>
      <c r="E1251" s="1471">
        <v>0.13539999999999999</v>
      </c>
      <c r="F1251" s="435">
        <f>'COMP AUX'!G253</f>
        <v>15.639999999999999</v>
      </c>
      <c r="G1251" s="433">
        <f t="shared" ref="G1251" si="90">TRUNC(E1251*F1251,2)</f>
        <v>2.11</v>
      </c>
      <c r="H1251" s="424"/>
    </row>
    <row r="1252" spans="1:8" ht="14.1" customHeight="1">
      <c r="A1252" s="1510"/>
      <c r="B1252" s="1508"/>
      <c r="C1252" s="430" t="s">
        <v>99</v>
      </c>
      <c r="D1252" s="1424"/>
      <c r="E1252" s="1472"/>
      <c r="F1252" s="435">
        <f>'COMP AUX'!G254</f>
        <v>4.5600000000000005</v>
      </c>
      <c r="G1252" s="433">
        <f>TRUNC(E1251*F1252,2)</f>
        <v>0.61</v>
      </c>
      <c r="H1252" s="424"/>
    </row>
    <row r="1253" spans="1:8" ht="26.25" customHeight="1">
      <c r="A1253" s="1354" t="s">
        <v>3085</v>
      </c>
      <c r="B1253" s="496" t="s">
        <v>3086</v>
      </c>
      <c r="C1253" s="430" t="s">
        <v>99</v>
      </c>
      <c r="D1253" s="432" t="s">
        <v>1538</v>
      </c>
      <c r="E1253" s="1295">
        <v>1</v>
      </c>
      <c r="F1253" s="435">
        <v>2.37</v>
      </c>
      <c r="G1253" s="456">
        <f t="shared" ref="G1253" si="91">TRUNC(E1253*F1253,2)</f>
        <v>2.37</v>
      </c>
    </row>
    <row r="1254" spans="1:8" ht="14.1" customHeight="1">
      <c r="E1254" s="215"/>
      <c r="F1254" s="514" t="s">
        <v>103</v>
      </c>
      <c r="G1254" s="466">
        <f>G1249+G1251</f>
        <v>3.59</v>
      </c>
    </row>
    <row r="1255" spans="1:8" ht="14.1" customHeight="1">
      <c r="E1255" s="215"/>
      <c r="F1255" s="438" t="s">
        <v>105</v>
      </c>
      <c r="G1255" s="456">
        <f>G1250+G1252+G1253</f>
        <v>3.59</v>
      </c>
    </row>
    <row r="1256" spans="1:8" ht="14.1" customHeight="1">
      <c r="A1256" s="170" t="s">
        <v>107</v>
      </c>
      <c r="E1256" s="215"/>
      <c r="F1256" s="438" t="s">
        <v>106</v>
      </c>
      <c r="G1256" s="457">
        <f>SUM(G1254:G1255)</f>
        <v>7.18</v>
      </c>
    </row>
    <row r="1257" spans="1:8" ht="14.1" customHeight="1">
      <c r="A1257" s="437" t="s">
        <v>108</v>
      </c>
      <c r="B1257" s="548">
        <f>G1256</f>
        <v>7.18</v>
      </c>
    </row>
    <row r="1258" spans="1:8" ht="14.1" customHeight="1">
      <c r="A1258" s="542" t="s">
        <v>2654</v>
      </c>
      <c r="B1258" s="541"/>
    </row>
    <row r="1259" spans="1:8" ht="14.1" customHeight="1">
      <c r="A1259" s="622" t="s">
        <v>2714</v>
      </c>
      <c r="B1259" s="541">
        <f>(B1257+B1258)*0.245</f>
        <v>1.7590999999999999</v>
      </c>
    </row>
    <row r="1260" spans="1:8" ht="14.1" customHeight="1">
      <c r="A1260" s="437" t="s">
        <v>111</v>
      </c>
      <c r="B1260" s="657">
        <f>SUM(B1257:B1259)</f>
        <v>8.9390999999999998</v>
      </c>
      <c r="H1260" s="560"/>
    </row>
    <row r="1261" spans="1:8" ht="11.25" customHeight="1">
      <c r="A1261" s="516"/>
      <c r="B1261" s="517"/>
      <c r="C1261" s="518"/>
      <c r="D1261" s="516"/>
      <c r="E1261" s="517"/>
      <c r="F1261" s="517"/>
      <c r="G1261" s="517"/>
      <c r="H1261" s="516"/>
    </row>
    <row r="1262" spans="1:8" ht="11.25" customHeight="1">
      <c r="A1262" s="424"/>
      <c r="B1262" s="421"/>
      <c r="C1262" s="423"/>
      <c r="D1262" s="424"/>
      <c r="E1262" s="421"/>
      <c r="F1262" s="421"/>
      <c r="G1262" s="421"/>
      <c r="H1262" s="424"/>
    </row>
    <row r="1263" spans="1:8" ht="12" customHeight="1">
      <c r="A1263" s="170" t="s">
        <v>1258</v>
      </c>
      <c r="B1263" s="652"/>
      <c r="C1263" s="652"/>
      <c r="D1263" s="652"/>
      <c r="E1263" s="421"/>
      <c r="F1263" s="421"/>
      <c r="G1263" s="421"/>
      <c r="H1263" s="424"/>
    </row>
    <row r="1264" spans="1:8" ht="14.25" customHeight="1">
      <c r="A1264" s="420" t="s">
        <v>2244</v>
      </c>
      <c r="B1264" s="664"/>
      <c r="C1264" s="664"/>
      <c r="D1264" s="664"/>
      <c r="E1264" s="421"/>
      <c r="F1264" s="421"/>
      <c r="G1264" s="421"/>
      <c r="H1264" s="424"/>
    </row>
    <row r="1265" spans="1:8" ht="26.25" customHeight="1">
      <c r="A1265" s="681" t="s">
        <v>1675</v>
      </c>
      <c r="B1265" s="1473" t="s">
        <v>2243</v>
      </c>
      <c r="C1265" s="1473"/>
      <c r="D1265" s="1473"/>
      <c r="E1265" s="446" t="s">
        <v>1538</v>
      </c>
      <c r="F1265" s="421"/>
      <c r="G1265" s="421"/>
      <c r="H1265" s="424"/>
    </row>
    <row r="1266" spans="1:8" ht="22.5">
      <c r="A1266" s="502" t="s">
        <v>30</v>
      </c>
      <c r="B1266" s="507" t="s">
        <v>19</v>
      </c>
      <c r="C1266" s="430" t="s">
        <v>92</v>
      </c>
      <c r="D1266" s="612" t="s">
        <v>88</v>
      </c>
      <c r="E1266" s="612" t="s">
        <v>93</v>
      </c>
      <c r="F1266" s="432" t="s">
        <v>94</v>
      </c>
      <c r="G1266" s="508" t="s">
        <v>95</v>
      </c>
      <c r="H1266" s="196"/>
    </row>
    <row r="1267" spans="1:8" ht="15" customHeight="1">
      <c r="A1267" s="1459">
        <v>90447</v>
      </c>
      <c r="B1267" s="1457" t="s">
        <v>1613</v>
      </c>
      <c r="C1267" s="698" t="s">
        <v>117</v>
      </c>
      <c r="D1267" s="1461" t="s">
        <v>4</v>
      </c>
      <c r="E1267" s="1463">
        <v>2.2000000000000002</v>
      </c>
      <c r="F1267" s="501">
        <f>'COMP AUX'!G1497</f>
        <v>3.74</v>
      </c>
      <c r="G1267" s="508">
        <f>TRUNC(E1267*F1267,2)</f>
        <v>8.2200000000000006</v>
      </c>
      <c r="H1267" s="696"/>
    </row>
    <row r="1268" spans="1:8" ht="15" customHeight="1">
      <c r="A1268" s="1460"/>
      <c r="B1268" s="1458"/>
      <c r="C1268" s="698" t="s">
        <v>99</v>
      </c>
      <c r="D1268" s="1462"/>
      <c r="E1268" s="1464"/>
      <c r="F1268" s="573">
        <f>'COMP AUX'!G1498</f>
        <v>1.1299999999999999</v>
      </c>
      <c r="G1268" s="606">
        <f>TRUNC(E1267*F1268,2)</f>
        <v>2.48</v>
      </c>
      <c r="H1268" s="196"/>
    </row>
    <row r="1269" spans="1:8" ht="15" customHeight="1">
      <c r="A1269" s="1459">
        <v>90456</v>
      </c>
      <c r="B1269" s="1457" t="s">
        <v>1614</v>
      </c>
      <c r="C1269" s="698" t="s">
        <v>117</v>
      </c>
      <c r="D1269" s="1461" t="s">
        <v>5</v>
      </c>
      <c r="E1269" s="1463">
        <v>1</v>
      </c>
      <c r="F1269" s="573">
        <f>'COMP AUX'!G1510</f>
        <v>2.5</v>
      </c>
      <c r="G1269" s="606">
        <f>TRUNC(E1269*F1269,2)</f>
        <v>2.5</v>
      </c>
      <c r="H1269" s="696"/>
    </row>
    <row r="1270" spans="1:8" ht="15" customHeight="1">
      <c r="A1270" s="1460"/>
      <c r="B1270" s="1458"/>
      <c r="C1270" s="611" t="s">
        <v>99</v>
      </c>
      <c r="D1270" s="1462"/>
      <c r="E1270" s="1464"/>
      <c r="F1270" s="573">
        <f>'COMP AUX'!G1511</f>
        <v>0.75</v>
      </c>
      <c r="G1270" s="606">
        <f>TRUNC(E1269*F1270,2)</f>
        <v>0.75</v>
      </c>
      <c r="H1270" s="196"/>
    </row>
    <row r="1271" spans="1:8" ht="17.100000000000001" customHeight="1">
      <c r="A1271" s="1459">
        <v>90466</v>
      </c>
      <c r="B1271" s="1457" t="s">
        <v>1615</v>
      </c>
      <c r="C1271" s="698" t="s">
        <v>117</v>
      </c>
      <c r="D1271" s="1461" t="s">
        <v>4</v>
      </c>
      <c r="E1271" s="1463">
        <v>2.2000000000000002</v>
      </c>
      <c r="F1271" s="573">
        <f>'COMP AUX'!G1525</f>
        <v>6.89</v>
      </c>
      <c r="G1271" s="606">
        <f>TRUNC(E1271*F1271,2)</f>
        <v>15.15</v>
      </c>
      <c r="H1271" s="696"/>
    </row>
    <row r="1272" spans="1:8" ht="17.100000000000001" customHeight="1">
      <c r="A1272" s="1460"/>
      <c r="B1272" s="1458"/>
      <c r="C1272" s="611" t="s">
        <v>99</v>
      </c>
      <c r="D1272" s="1462"/>
      <c r="E1272" s="1464"/>
      <c r="F1272" s="573">
        <f>'COMP AUX'!G1526</f>
        <v>2.9800000000000004</v>
      </c>
      <c r="G1272" s="606">
        <f>TRUNC(E1271*F1272,2)</f>
        <v>6.55</v>
      </c>
      <c r="H1272" s="196"/>
    </row>
    <row r="1273" spans="1:8" ht="20.100000000000001" customHeight="1">
      <c r="A1273" s="1459">
        <v>91842</v>
      </c>
      <c r="B1273" s="1457" t="s">
        <v>1616</v>
      </c>
      <c r="C1273" s="698" t="s">
        <v>117</v>
      </c>
      <c r="D1273" s="1461" t="s">
        <v>4</v>
      </c>
      <c r="E1273" s="1463">
        <v>2</v>
      </c>
      <c r="F1273" s="573">
        <f>'COMP AUX'!G1582</f>
        <v>1.9100000000000001</v>
      </c>
      <c r="G1273" s="606">
        <f>TRUNC(E1273*F1273,2)</f>
        <v>3.82</v>
      </c>
      <c r="H1273" s="696"/>
    </row>
    <row r="1274" spans="1:8" ht="20.100000000000001" customHeight="1">
      <c r="A1274" s="1460"/>
      <c r="B1274" s="1458"/>
      <c r="C1274" s="698" t="s">
        <v>99</v>
      </c>
      <c r="D1274" s="1462"/>
      <c r="E1274" s="1464"/>
      <c r="F1274" s="573">
        <f>'COMP AUX'!G1583</f>
        <v>1.7500000000000002</v>
      </c>
      <c r="G1274" s="606">
        <f>TRUNC(E1273*F1274,2)</f>
        <v>3.5</v>
      </c>
      <c r="H1274" s="196"/>
    </row>
    <row r="1275" spans="1:8" ht="18" customHeight="1">
      <c r="A1275" s="1459">
        <v>91852</v>
      </c>
      <c r="B1275" s="1457" t="s">
        <v>1617</v>
      </c>
      <c r="C1275" s="698" t="s">
        <v>117</v>
      </c>
      <c r="D1275" s="1461" t="s">
        <v>4</v>
      </c>
      <c r="E1275" s="1463">
        <v>2.2000000000000002</v>
      </c>
      <c r="F1275" s="573">
        <f>'COMP AUX'!G1596</f>
        <v>3.42</v>
      </c>
      <c r="G1275" s="606">
        <f>TRUNC(E1275*F1275,2)</f>
        <v>7.52</v>
      </c>
      <c r="H1275" s="696"/>
    </row>
    <row r="1276" spans="1:8" ht="18" customHeight="1">
      <c r="A1276" s="1460"/>
      <c r="B1276" s="1458"/>
      <c r="C1276" s="698" t="s">
        <v>99</v>
      </c>
      <c r="D1276" s="1462"/>
      <c r="E1276" s="1464"/>
      <c r="F1276" s="573">
        <f>'COMP AUX'!G1597</f>
        <v>2.17</v>
      </c>
      <c r="G1276" s="606">
        <f>TRUNC(E1275*F1276,2)</f>
        <v>4.7699999999999996</v>
      </c>
      <c r="H1276" s="196"/>
    </row>
    <row r="1277" spans="1:8" ht="18" customHeight="1">
      <c r="A1277" s="1520">
        <v>91926</v>
      </c>
      <c r="B1277" s="1457" t="s">
        <v>1619</v>
      </c>
      <c r="C1277" s="698" t="s">
        <v>117</v>
      </c>
      <c r="D1277" s="1461" t="s">
        <v>4</v>
      </c>
      <c r="E1277" s="1463">
        <v>12.6</v>
      </c>
      <c r="F1277" s="573">
        <f>'COMP AUX'!G1626</f>
        <v>0.78</v>
      </c>
      <c r="G1277" s="606">
        <f>TRUNC(E1277*F1277,2)</f>
        <v>9.82</v>
      </c>
      <c r="H1277" s="696"/>
    </row>
    <row r="1278" spans="1:8" ht="18" customHeight="1">
      <c r="A1278" s="1454"/>
      <c r="B1278" s="1466"/>
      <c r="C1278" s="698" t="s">
        <v>99</v>
      </c>
      <c r="D1278" s="1462"/>
      <c r="E1278" s="1464"/>
      <c r="F1278" s="573">
        <f>'COMP AUX'!G1627</f>
        <v>1.63</v>
      </c>
      <c r="G1278" s="606">
        <f>TRUNC(E1277*F1278,2)</f>
        <v>20.53</v>
      </c>
      <c r="H1278" s="196"/>
    </row>
    <row r="1279" spans="1:8" ht="18" customHeight="1">
      <c r="A1279" s="1520">
        <v>91937</v>
      </c>
      <c r="B1279" s="1457" t="s">
        <v>1620</v>
      </c>
      <c r="C1279" s="698" t="s">
        <v>117</v>
      </c>
      <c r="D1279" s="1461" t="s">
        <v>5</v>
      </c>
      <c r="E1279" s="1463">
        <v>0.375</v>
      </c>
      <c r="F1279" s="573">
        <f>'COMP AUX'!G1640</f>
        <v>3.42</v>
      </c>
      <c r="G1279" s="606">
        <f>TRUNC(E1279*F1279,2)</f>
        <v>1.28</v>
      </c>
      <c r="H1279" s="696"/>
    </row>
    <row r="1280" spans="1:8" ht="18" customHeight="1">
      <c r="A1280" s="1454"/>
      <c r="B1280" s="1466"/>
      <c r="C1280" s="698" t="s">
        <v>99</v>
      </c>
      <c r="D1280" s="1462"/>
      <c r="E1280" s="1464"/>
      <c r="F1280" s="573">
        <f>'COMP AUX'!G1641</f>
        <v>4.13</v>
      </c>
      <c r="G1280" s="606">
        <f>TRUNC(E1279*F1280,2)</f>
        <v>1.54</v>
      </c>
      <c r="H1280" s="196"/>
    </row>
    <row r="1281" spans="1:8" ht="18" customHeight="1">
      <c r="A1281" s="1520">
        <v>91940</v>
      </c>
      <c r="B1281" s="1457" t="s">
        <v>1621</v>
      </c>
      <c r="C1281" s="698" t="s">
        <v>117</v>
      </c>
      <c r="D1281" s="1461" t="s">
        <v>5</v>
      </c>
      <c r="E1281" s="1463">
        <v>1</v>
      </c>
      <c r="F1281" s="573">
        <f>'COMP AUX'!G1656</f>
        <v>6.65</v>
      </c>
      <c r="G1281" s="606">
        <f>TRUNC(E1281*F1281,2)</f>
        <v>6.65</v>
      </c>
      <c r="H1281" s="696"/>
    </row>
    <row r="1282" spans="1:8" ht="18" customHeight="1">
      <c r="A1282" s="1454"/>
      <c r="B1282" s="1466"/>
      <c r="C1282" s="698" t="s">
        <v>99</v>
      </c>
      <c r="D1282" s="1462"/>
      <c r="E1282" s="1464"/>
      <c r="F1282" s="573">
        <f>'COMP AUX'!G1657</f>
        <v>4.1800000000000006</v>
      </c>
      <c r="G1282" s="606">
        <f>TRUNC(E1281*F1282,2)</f>
        <v>4.18</v>
      </c>
      <c r="H1282" s="196"/>
    </row>
    <row r="1283" spans="1:8" ht="15" customHeight="1">
      <c r="A1283" s="1520">
        <v>92004</v>
      </c>
      <c r="B1283" s="1457" t="s">
        <v>2245</v>
      </c>
      <c r="C1283" s="698" t="s">
        <v>117</v>
      </c>
      <c r="D1283" s="1461" t="s">
        <v>5</v>
      </c>
      <c r="E1283" s="1463">
        <v>1</v>
      </c>
      <c r="F1283" s="573">
        <f>'COMP AUX'!G1669</f>
        <v>17.68</v>
      </c>
      <c r="G1283" s="606">
        <f>TRUNC(E1283*F1283,2)</f>
        <v>17.68</v>
      </c>
      <c r="H1283" s="696"/>
    </row>
    <row r="1284" spans="1:8" ht="15" customHeight="1">
      <c r="A1284" s="1454"/>
      <c r="B1284" s="1458"/>
      <c r="C1284" s="698" t="s">
        <v>99</v>
      </c>
      <c r="D1284" s="1462"/>
      <c r="E1284" s="1464"/>
      <c r="F1284" s="573">
        <f>'COMP AUX'!G1670</f>
        <v>17.47</v>
      </c>
      <c r="G1284" s="606">
        <f>TRUNC(E1283*F1284,2)</f>
        <v>17.47</v>
      </c>
      <c r="H1284" s="196"/>
    </row>
    <row r="1285" spans="1:8" ht="14.1" customHeight="1">
      <c r="A1285" s="196"/>
      <c r="B1285" s="196"/>
      <c r="C1285" s="196"/>
      <c r="D1285" s="196"/>
      <c r="E1285" s="196"/>
      <c r="F1285" s="581" t="s">
        <v>103</v>
      </c>
      <c r="G1285" s="606">
        <f>G1267+G1269+G1271+G1273+G1275+G1277+G1279+G1281+G1283</f>
        <v>72.64</v>
      </c>
      <c r="H1285" s="196"/>
    </row>
    <row r="1286" spans="1:8" ht="14.1" customHeight="1">
      <c r="A1286" s="196"/>
      <c r="B1286" s="196"/>
      <c r="C1286" s="196"/>
      <c r="D1286" s="196"/>
      <c r="E1286" s="196"/>
      <c r="F1286" s="581" t="s">
        <v>105</v>
      </c>
      <c r="G1286" s="606">
        <f>G1268+G1270+G1272+G1274+G1276+G1278+G1280+G1282+G1284</f>
        <v>61.769999999999996</v>
      </c>
      <c r="H1286" s="196"/>
    </row>
    <row r="1287" spans="1:8" ht="14.1" customHeight="1">
      <c r="A1287" s="582" t="s">
        <v>107</v>
      </c>
      <c r="B1287" s="609"/>
      <c r="C1287" s="196"/>
      <c r="D1287" s="196"/>
      <c r="E1287" s="196"/>
      <c r="F1287" s="581" t="s">
        <v>106</v>
      </c>
      <c r="G1287" s="608">
        <f>SUM(G1285:G1286)</f>
        <v>134.41</v>
      </c>
      <c r="H1287" s="196"/>
    </row>
    <row r="1288" spans="1:8" ht="14.1" customHeight="1">
      <c r="A1288" s="515" t="s">
        <v>108</v>
      </c>
      <c r="B1288" s="548">
        <f>G1287</f>
        <v>134.41</v>
      </c>
      <c r="C1288" s="196"/>
      <c r="D1288" s="196"/>
      <c r="E1288" s="196"/>
      <c r="F1288" s="197"/>
      <c r="G1288" s="197"/>
      <c r="H1288" s="196"/>
    </row>
    <row r="1289" spans="1:8" ht="14.1" customHeight="1">
      <c r="A1289" s="542" t="s">
        <v>2654</v>
      </c>
      <c r="B1289" s="541"/>
      <c r="C1289" s="196"/>
      <c r="D1289" s="196"/>
      <c r="E1289" s="196"/>
      <c r="F1289" s="197"/>
      <c r="G1289" s="197"/>
      <c r="H1289" s="196"/>
    </row>
    <row r="1290" spans="1:8" ht="14.1" customHeight="1">
      <c r="A1290" s="622" t="s">
        <v>2714</v>
      </c>
      <c r="B1290" s="541">
        <f>(B1288+B1289)*0.245</f>
        <v>32.93045</v>
      </c>
      <c r="C1290" s="196"/>
      <c r="D1290" s="196"/>
      <c r="E1290" s="196"/>
      <c r="F1290" s="197"/>
      <c r="G1290" s="197"/>
      <c r="H1290" s="196"/>
    </row>
    <row r="1291" spans="1:8" ht="14.1" customHeight="1">
      <c r="A1291" s="515" t="s">
        <v>111</v>
      </c>
      <c r="B1291" s="549">
        <f>SUM(B1288:B1290)</f>
        <v>167.34045</v>
      </c>
      <c r="C1291" s="196"/>
      <c r="D1291" s="196"/>
      <c r="E1291" s="196"/>
      <c r="F1291" s="197"/>
      <c r="G1291" s="197"/>
      <c r="H1291" s="577"/>
    </row>
    <row r="1292" spans="1:8">
      <c r="A1292" s="516"/>
      <c r="B1292" s="517"/>
      <c r="C1292" s="518"/>
      <c r="D1292" s="516"/>
      <c r="E1292" s="517"/>
      <c r="F1292" s="517"/>
      <c r="G1292" s="517"/>
      <c r="H1292" s="516"/>
    </row>
    <row r="1293" spans="1:8" s="424" customFormat="1">
      <c r="B1293" s="421"/>
      <c r="C1293" s="423"/>
      <c r="E1293" s="421"/>
      <c r="F1293" s="421"/>
      <c r="G1293" s="421"/>
    </row>
    <row r="1294" spans="1:8" s="424" customFormat="1">
      <c r="A1294" s="170" t="s">
        <v>1258</v>
      </c>
      <c r="B1294" s="652"/>
      <c r="C1294" s="652"/>
      <c r="D1294" s="652"/>
      <c r="E1294" s="421"/>
      <c r="F1294" s="421"/>
      <c r="G1294" s="421"/>
    </row>
    <row r="1295" spans="1:8" s="424" customFormat="1">
      <c r="A1295" s="220" t="s">
        <v>1768</v>
      </c>
      <c r="B1295" s="664"/>
      <c r="C1295" s="664"/>
      <c r="D1295" s="664"/>
      <c r="E1295" s="421"/>
      <c r="F1295" s="421"/>
      <c r="G1295" s="421"/>
    </row>
    <row r="1296" spans="1:8" s="424" customFormat="1" ht="39.75" customHeight="1">
      <c r="A1296" s="681" t="s">
        <v>1675</v>
      </c>
      <c r="B1296" s="1473" t="s">
        <v>1769</v>
      </c>
      <c r="C1296" s="1473"/>
      <c r="D1296" s="1473"/>
      <c r="E1296" s="447" t="s">
        <v>1538</v>
      </c>
      <c r="F1296" s="421"/>
      <c r="G1296" s="421"/>
    </row>
    <row r="1297" spans="1:8" s="424" customFormat="1" ht="29.25" customHeight="1">
      <c r="A1297" s="711" t="s">
        <v>30</v>
      </c>
      <c r="B1297" s="507" t="s">
        <v>19</v>
      </c>
      <c r="C1297" s="430" t="s">
        <v>92</v>
      </c>
      <c r="D1297" s="690" t="s">
        <v>88</v>
      </c>
      <c r="E1297" s="690" t="s">
        <v>93</v>
      </c>
      <c r="F1297" s="432" t="s">
        <v>94</v>
      </c>
      <c r="G1297" s="508" t="s">
        <v>95</v>
      </c>
      <c r="H1297" s="696"/>
    </row>
    <row r="1298" spans="1:8" s="424" customFormat="1" ht="11.25" customHeight="1">
      <c r="A1298" s="1459">
        <v>90447</v>
      </c>
      <c r="B1298" s="1457" t="s">
        <v>1613</v>
      </c>
      <c r="C1298" s="698" t="s">
        <v>117</v>
      </c>
      <c r="D1298" s="1461" t="s">
        <v>4</v>
      </c>
      <c r="E1298" s="1463">
        <v>2.2000000000000002</v>
      </c>
      <c r="F1298" s="501">
        <f>'COMP AUX'!G1497</f>
        <v>3.74</v>
      </c>
      <c r="G1298" s="511">
        <f>TRUNC(E1298*F1298,2)</f>
        <v>8.2200000000000006</v>
      </c>
      <c r="H1298" s="696"/>
    </row>
    <row r="1299" spans="1:8" s="424" customFormat="1">
      <c r="A1299" s="1460"/>
      <c r="B1299" s="1458"/>
      <c r="C1299" s="698" t="s">
        <v>99</v>
      </c>
      <c r="D1299" s="1462"/>
      <c r="E1299" s="1464"/>
      <c r="F1299" s="501">
        <f>'COMP AUX'!G1498</f>
        <v>1.1299999999999999</v>
      </c>
      <c r="G1299" s="606">
        <f>TRUNC(E1298*F1299,2)</f>
        <v>2.48</v>
      </c>
      <c r="H1299" s="696"/>
    </row>
    <row r="1300" spans="1:8" s="424" customFormat="1" ht="11.25" customHeight="1">
      <c r="A1300" s="1459">
        <v>90456</v>
      </c>
      <c r="B1300" s="1457" t="s">
        <v>1614</v>
      </c>
      <c r="C1300" s="698" t="s">
        <v>117</v>
      </c>
      <c r="D1300" s="1461" t="s">
        <v>5</v>
      </c>
      <c r="E1300" s="1463">
        <v>1</v>
      </c>
      <c r="F1300" s="573">
        <f>'COMP AUX'!G1510</f>
        <v>2.5</v>
      </c>
      <c r="G1300" s="606">
        <f>TRUNC(E1300*F1300,2)</f>
        <v>2.5</v>
      </c>
      <c r="H1300" s="696"/>
    </row>
    <row r="1301" spans="1:8" s="424" customFormat="1">
      <c r="A1301" s="1460"/>
      <c r="B1301" s="1458"/>
      <c r="C1301" s="698" t="s">
        <v>99</v>
      </c>
      <c r="D1301" s="1462"/>
      <c r="E1301" s="1464"/>
      <c r="F1301" s="573">
        <f>'COMP AUX'!G1511</f>
        <v>0.75</v>
      </c>
      <c r="G1301" s="606">
        <f>TRUNC(E1300*F1301,2)</f>
        <v>0.75</v>
      </c>
      <c r="H1301" s="696"/>
    </row>
    <row r="1302" spans="1:8" s="424" customFormat="1" ht="18" customHeight="1">
      <c r="A1302" s="1459">
        <v>90466</v>
      </c>
      <c r="B1302" s="1457" t="s">
        <v>1615</v>
      </c>
      <c r="C1302" s="698" t="s">
        <v>117</v>
      </c>
      <c r="D1302" s="1461" t="s">
        <v>4</v>
      </c>
      <c r="E1302" s="1463">
        <v>2.2000000000000002</v>
      </c>
      <c r="F1302" s="573">
        <f>'COMP AUX'!G1525</f>
        <v>6.89</v>
      </c>
      <c r="G1302" s="606">
        <f>TRUNC(E1302*F1302,2)</f>
        <v>15.15</v>
      </c>
      <c r="H1302" s="696"/>
    </row>
    <row r="1303" spans="1:8" s="424" customFormat="1" ht="18" customHeight="1">
      <c r="A1303" s="1460"/>
      <c r="B1303" s="1458"/>
      <c r="C1303" s="698" t="s">
        <v>99</v>
      </c>
      <c r="D1303" s="1462"/>
      <c r="E1303" s="1464"/>
      <c r="F1303" s="573">
        <f>'COMP AUX'!G1526</f>
        <v>2.9800000000000004</v>
      </c>
      <c r="G1303" s="606">
        <f>TRUNC(E1302*F1303,2)</f>
        <v>6.55</v>
      </c>
      <c r="H1303" s="696"/>
    </row>
    <row r="1304" spans="1:8" s="424" customFormat="1" ht="18" customHeight="1">
      <c r="A1304" s="1459">
        <v>91842</v>
      </c>
      <c r="B1304" s="1457" t="s">
        <v>1616</v>
      </c>
      <c r="C1304" s="698" t="s">
        <v>117</v>
      </c>
      <c r="D1304" s="1461" t="s">
        <v>4</v>
      </c>
      <c r="E1304" s="1463">
        <v>2</v>
      </c>
      <c r="F1304" s="573">
        <f>'COMP AUX'!G1582</f>
        <v>1.9100000000000001</v>
      </c>
      <c r="G1304" s="606">
        <f>TRUNC(E1304*F1304,2)</f>
        <v>3.82</v>
      </c>
      <c r="H1304" s="696"/>
    </row>
    <row r="1305" spans="1:8" s="424" customFormat="1" ht="18" customHeight="1">
      <c r="A1305" s="1460"/>
      <c r="B1305" s="1458"/>
      <c r="C1305" s="698" t="s">
        <v>99</v>
      </c>
      <c r="D1305" s="1462"/>
      <c r="E1305" s="1464"/>
      <c r="F1305" s="573">
        <f>'COMP AUX'!G1583</f>
        <v>1.7500000000000002</v>
      </c>
      <c r="G1305" s="606">
        <f>TRUNC(E1304*F1305,2)</f>
        <v>3.5</v>
      </c>
      <c r="H1305" s="696"/>
    </row>
    <row r="1306" spans="1:8" s="424" customFormat="1" ht="18" customHeight="1">
      <c r="A1306" s="1459">
        <v>91852</v>
      </c>
      <c r="B1306" s="1457" t="s">
        <v>1617</v>
      </c>
      <c r="C1306" s="698" t="s">
        <v>117</v>
      </c>
      <c r="D1306" s="1461" t="s">
        <v>4</v>
      </c>
      <c r="E1306" s="1463">
        <v>2.2000000000000002</v>
      </c>
      <c r="F1306" s="573">
        <f>'COMP AUX'!G1596</f>
        <v>3.42</v>
      </c>
      <c r="G1306" s="606">
        <f>TRUNC(E1306*F1306,2)</f>
        <v>7.52</v>
      </c>
      <c r="H1306" s="696"/>
    </row>
    <row r="1307" spans="1:8" s="424" customFormat="1" ht="18" customHeight="1">
      <c r="A1307" s="1460"/>
      <c r="B1307" s="1458"/>
      <c r="C1307" s="698" t="s">
        <v>99</v>
      </c>
      <c r="D1307" s="1462"/>
      <c r="E1307" s="1464"/>
      <c r="F1307" s="573">
        <f>'COMP AUX'!G1597</f>
        <v>2.17</v>
      </c>
      <c r="G1307" s="606">
        <f>TRUNC(E1306*F1307,2)</f>
        <v>4.7699999999999996</v>
      </c>
      <c r="H1307" s="696"/>
    </row>
    <row r="1308" spans="1:8" s="424" customFormat="1" ht="18" customHeight="1">
      <c r="A1308" s="1520">
        <v>91924</v>
      </c>
      <c r="B1308" s="1457" t="s">
        <v>1618</v>
      </c>
      <c r="C1308" s="698" t="s">
        <v>117</v>
      </c>
      <c r="D1308" s="1461" t="s">
        <v>4</v>
      </c>
      <c r="E1308" s="1463">
        <v>8.4</v>
      </c>
      <c r="F1308" s="573">
        <f>'COMP AUX'!G1611</f>
        <v>0.63</v>
      </c>
      <c r="G1308" s="606">
        <f>TRUNC(E1308*F1308,2)</f>
        <v>5.29</v>
      </c>
      <c r="H1308" s="696"/>
    </row>
    <row r="1309" spans="1:8" s="424" customFormat="1" ht="18" customHeight="1">
      <c r="A1309" s="1454"/>
      <c r="B1309" s="1458"/>
      <c r="C1309" s="698" t="s">
        <v>99</v>
      </c>
      <c r="D1309" s="1462"/>
      <c r="E1309" s="1464"/>
      <c r="F1309" s="573">
        <f>'COMP AUX'!G1612</f>
        <v>1.03</v>
      </c>
      <c r="G1309" s="606">
        <f>TRUNC(E1308*F1309,2)</f>
        <v>8.65</v>
      </c>
      <c r="H1309" s="696"/>
    </row>
    <row r="1310" spans="1:8" s="424" customFormat="1" ht="11.25" customHeight="1">
      <c r="A1310" s="1520">
        <v>91937</v>
      </c>
      <c r="B1310" s="1457" t="s">
        <v>1620</v>
      </c>
      <c r="C1310" s="698" t="s">
        <v>117</v>
      </c>
      <c r="D1310" s="1461" t="s">
        <v>5</v>
      </c>
      <c r="E1310" s="1463">
        <v>0.375</v>
      </c>
      <c r="F1310" s="573">
        <f>'COMP AUX'!G1640</f>
        <v>3.42</v>
      </c>
      <c r="G1310" s="606">
        <f>TRUNC(E1310*F1310,2)</f>
        <v>1.28</v>
      </c>
      <c r="H1310" s="696"/>
    </row>
    <row r="1311" spans="1:8" s="424" customFormat="1" ht="11.25" customHeight="1">
      <c r="A1311" s="1454"/>
      <c r="B1311" s="1466"/>
      <c r="C1311" s="698" t="s">
        <v>99</v>
      </c>
      <c r="D1311" s="1462"/>
      <c r="E1311" s="1464"/>
      <c r="F1311" s="573">
        <f>'COMP AUX'!G1641</f>
        <v>4.13</v>
      </c>
      <c r="G1311" s="606">
        <f>TRUNC(E1310*F1311,2)</f>
        <v>1.54</v>
      </c>
      <c r="H1311" s="696"/>
    </row>
    <row r="1312" spans="1:8" s="424" customFormat="1" ht="15.95" customHeight="1">
      <c r="A1312" s="1520">
        <v>91940</v>
      </c>
      <c r="B1312" s="1457" t="s">
        <v>1621</v>
      </c>
      <c r="C1312" s="698" t="s">
        <v>117</v>
      </c>
      <c r="D1312" s="1461" t="s">
        <v>5</v>
      </c>
      <c r="E1312" s="1463">
        <v>1</v>
      </c>
      <c r="F1312" s="573">
        <f>'COMP AUX'!G1656</f>
        <v>6.65</v>
      </c>
      <c r="G1312" s="606">
        <f>TRUNC(E1312*F1312,2)</f>
        <v>6.65</v>
      </c>
      <c r="H1312" s="696"/>
    </row>
    <row r="1313" spans="1:8" s="424" customFormat="1" ht="15.95" customHeight="1">
      <c r="A1313" s="1454"/>
      <c r="B1313" s="1466"/>
      <c r="C1313" s="698" t="s">
        <v>99</v>
      </c>
      <c r="D1313" s="1462"/>
      <c r="E1313" s="1464"/>
      <c r="F1313" s="573">
        <f>'COMP AUX'!G1657</f>
        <v>4.1800000000000006</v>
      </c>
      <c r="G1313" s="606">
        <f>TRUNC(E1312*F1313,2)</f>
        <v>4.18</v>
      </c>
      <c r="H1313" s="696"/>
    </row>
    <row r="1314" spans="1:8" s="424" customFormat="1" ht="15.95" customHeight="1">
      <c r="A1314" s="1520">
        <v>91953</v>
      </c>
      <c r="B1314" s="1457" t="s">
        <v>1771</v>
      </c>
      <c r="C1314" s="698" t="s">
        <v>117</v>
      </c>
      <c r="D1314" s="1461" t="s">
        <v>5</v>
      </c>
      <c r="E1314" s="1463">
        <v>1</v>
      </c>
      <c r="F1314" s="573">
        <f>'COMP AUX'!G1709</f>
        <v>9.48</v>
      </c>
      <c r="G1314" s="606">
        <f>TRUNC(E1314*F1314,2)</f>
        <v>9.48</v>
      </c>
      <c r="H1314" s="696"/>
    </row>
    <row r="1315" spans="1:8" s="424" customFormat="1" ht="15.95" customHeight="1">
      <c r="A1315" s="1454"/>
      <c r="B1315" s="1458"/>
      <c r="C1315" s="698" t="s">
        <v>99</v>
      </c>
      <c r="D1315" s="1462"/>
      <c r="E1315" s="1464"/>
      <c r="F1315" s="573">
        <f>'COMP AUX'!G1710</f>
        <v>13.55</v>
      </c>
      <c r="G1315" s="606">
        <f>TRUNC(E1314*F1315,2)</f>
        <v>13.55</v>
      </c>
      <c r="H1315" s="696"/>
    </row>
    <row r="1316" spans="1:8" s="424" customFormat="1" ht="15" customHeight="1">
      <c r="A1316" s="696"/>
      <c r="B1316" s="696"/>
      <c r="C1316" s="696"/>
      <c r="D1316" s="696"/>
      <c r="E1316" s="696"/>
      <c r="F1316" s="581" t="s">
        <v>103</v>
      </c>
      <c r="G1316" s="606">
        <f>G1298+G1300+G1302+G1304+G1306+G1308+G1310+G1312+G1314</f>
        <v>59.91</v>
      </c>
      <c r="H1316" s="696"/>
    </row>
    <row r="1317" spans="1:8" s="424" customFormat="1" ht="15" customHeight="1">
      <c r="A1317" s="696"/>
      <c r="B1317" s="696"/>
      <c r="C1317" s="696"/>
      <c r="D1317" s="696"/>
      <c r="E1317" s="696"/>
      <c r="F1317" s="581" t="s">
        <v>105</v>
      </c>
      <c r="G1317" s="606">
        <f>G1299+G1301+G1303+G1305+G1307+G1309+G1311+G1313+G1315</f>
        <v>45.97</v>
      </c>
      <c r="H1317" s="696"/>
    </row>
    <row r="1318" spans="1:8" s="424" customFormat="1" ht="15" customHeight="1">
      <c r="A1318" s="582" t="s">
        <v>107</v>
      </c>
      <c r="B1318" s="696"/>
      <c r="C1318" s="696"/>
      <c r="D1318" s="696"/>
      <c r="E1318" s="696"/>
      <c r="F1318" s="581" t="s">
        <v>106</v>
      </c>
      <c r="G1318" s="608">
        <f>SUM(G1316:G1317)</f>
        <v>105.88</v>
      </c>
      <c r="H1318" s="696"/>
    </row>
    <row r="1319" spans="1:8" s="424" customFormat="1" ht="15" customHeight="1">
      <c r="A1319" s="515" t="s">
        <v>108</v>
      </c>
      <c r="B1319" s="548">
        <f>G1318</f>
        <v>105.88</v>
      </c>
      <c r="C1319" s="696"/>
      <c r="D1319" s="696"/>
      <c r="E1319" s="696"/>
      <c r="F1319" s="197"/>
      <c r="G1319" s="197"/>
      <c r="H1319" s="696"/>
    </row>
    <row r="1320" spans="1:8" s="424" customFormat="1" ht="15" customHeight="1">
      <c r="A1320" s="542" t="s">
        <v>2654</v>
      </c>
      <c r="B1320" s="541"/>
      <c r="C1320" s="696"/>
      <c r="D1320" s="696"/>
      <c r="E1320" s="696"/>
      <c r="F1320" s="197"/>
      <c r="G1320" s="197"/>
      <c r="H1320" s="696"/>
    </row>
    <row r="1321" spans="1:8" s="424" customFormat="1" ht="15" customHeight="1">
      <c r="A1321" s="622" t="s">
        <v>2714</v>
      </c>
      <c r="B1321" s="541">
        <f>(B1319+B1320)*0.245</f>
        <v>25.9406</v>
      </c>
      <c r="C1321" s="696"/>
      <c r="D1321" s="696"/>
      <c r="E1321" s="696"/>
      <c r="F1321" s="197"/>
      <c r="G1321" s="197"/>
      <c r="H1321" s="696"/>
    </row>
    <row r="1322" spans="1:8" s="424" customFormat="1" ht="15" customHeight="1">
      <c r="A1322" s="515" t="s">
        <v>111</v>
      </c>
      <c r="B1322" s="549">
        <f>SUM(B1319:B1321)</f>
        <v>131.82059999999998</v>
      </c>
      <c r="C1322" s="696"/>
      <c r="D1322" s="696"/>
      <c r="E1322" s="696"/>
      <c r="F1322" s="197"/>
      <c r="G1322" s="197"/>
      <c r="H1322" s="577"/>
    </row>
    <row r="1323" spans="1:8" s="424" customFormat="1">
      <c r="A1323" s="516"/>
      <c r="B1323" s="517"/>
      <c r="C1323" s="518"/>
      <c r="D1323" s="516"/>
      <c r="E1323" s="517"/>
      <c r="F1323" s="517"/>
      <c r="G1323" s="517"/>
      <c r="H1323" s="516"/>
    </row>
    <row r="1324" spans="1:8" s="424" customFormat="1">
      <c r="B1324" s="421"/>
      <c r="C1324" s="423"/>
      <c r="E1324" s="421"/>
      <c r="F1324" s="421"/>
      <c r="G1324" s="421"/>
    </row>
    <row r="1325" spans="1:8" s="424" customFormat="1">
      <c r="A1325" s="170" t="s">
        <v>1258</v>
      </c>
      <c r="B1325" s="652"/>
      <c r="C1325" s="652"/>
      <c r="D1325" s="652"/>
      <c r="E1325" s="421"/>
      <c r="F1325" s="421"/>
      <c r="G1325" s="421"/>
    </row>
    <row r="1326" spans="1:8" s="424" customFormat="1">
      <c r="A1326" s="220" t="s">
        <v>1744</v>
      </c>
      <c r="B1326" s="664"/>
      <c r="C1326" s="664"/>
      <c r="D1326" s="664"/>
      <c r="E1326" s="421"/>
      <c r="F1326" s="421"/>
      <c r="G1326" s="421"/>
    </row>
    <row r="1327" spans="1:8" s="424" customFormat="1" ht="31.5" customHeight="1">
      <c r="A1327" s="681" t="s">
        <v>1675</v>
      </c>
      <c r="B1327" s="1473" t="s">
        <v>1745</v>
      </c>
      <c r="C1327" s="1473"/>
      <c r="D1327" s="1473"/>
      <c r="E1327" s="447" t="s">
        <v>1538</v>
      </c>
      <c r="F1327" s="421"/>
      <c r="G1327" s="421"/>
    </row>
    <row r="1328" spans="1:8" s="424" customFormat="1" ht="26.25" customHeight="1">
      <c r="A1328" s="711" t="s">
        <v>30</v>
      </c>
      <c r="B1328" s="507" t="s">
        <v>19</v>
      </c>
      <c r="C1328" s="430" t="s">
        <v>92</v>
      </c>
      <c r="D1328" s="690" t="s">
        <v>88</v>
      </c>
      <c r="E1328" s="690" t="s">
        <v>93</v>
      </c>
      <c r="F1328" s="432" t="s">
        <v>94</v>
      </c>
      <c r="G1328" s="508" t="s">
        <v>95</v>
      </c>
      <c r="H1328" s="696"/>
    </row>
    <row r="1329" spans="1:8" s="424" customFormat="1" ht="18" customHeight="1">
      <c r="A1329" s="1459">
        <v>90447</v>
      </c>
      <c r="B1329" s="1457" t="s">
        <v>1613</v>
      </c>
      <c r="C1329" s="698" t="s">
        <v>117</v>
      </c>
      <c r="D1329" s="1461" t="s">
        <v>4</v>
      </c>
      <c r="E1329" s="1463">
        <v>2.2000000000000002</v>
      </c>
      <c r="F1329" s="501">
        <f>'COMP AUX'!G1497</f>
        <v>3.74</v>
      </c>
      <c r="G1329" s="508">
        <f>TRUNC(E1329*F1329,2)</f>
        <v>8.2200000000000006</v>
      </c>
      <c r="H1329" s="696"/>
    </row>
    <row r="1330" spans="1:8" s="424" customFormat="1" ht="18" customHeight="1">
      <c r="A1330" s="1460"/>
      <c r="B1330" s="1458"/>
      <c r="C1330" s="698" t="s">
        <v>99</v>
      </c>
      <c r="D1330" s="1462"/>
      <c r="E1330" s="1464"/>
      <c r="F1330" s="501">
        <f>'COMP AUX'!G1498</f>
        <v>1.1299999999999999</v>
      </c>
      <c r="G1330" s="606">
        <f>TRUNC(E1329*F1330,2)</f>
        <v>2.48</v>
      </c>
      <c r="H1330" s="696"/>
    </row>
    <row r="1331" spans="1:8" s="424" customFormat="1" ht="18" customHeight="1">
      <c r="A1331" s="1459">
        <v>90456</v>
      </c>
      <c r="B1331" s="1457" t="s">
        <v>1614</v>
      </c>
      <c r="C1331" s="698" t="s">
        <v>117</v>
      </c>
      <c r="D1331" s="1461" t="s">
        <v>5</v>
      </c>
      <c r="E1331" s="1463">
        <v>1</v>
      </c>
      <c r="F1331" s="573">
        <f>'COMP AUX'!G1510</f>
        <v>2.5</v>
      </c>
      <c r="G1331" s="606">
        <f>TRUNC(E1331*F1331,2)</f>
        <v>2.5</v>
      </c>
      <c r="H1331" s="696"/>
    </row>
    <row r="1332" spans="1:8" s="424" customFormat="1" ht="18" customHeight="1">
      <c r="A1332" s="1460"/>
      <c r="B1332" s="1458"/>
      <c r="C1332" s="698" t="s">
        <v>99</v>
      </c>
      <c r="D1332" s="1462"/>
      <c r="E1332" s="1464"/>
      <c r="F1332" s="573">
        <f>'COMP AUX'!G1511</f>
        <v>0.75</v>
      </c>
      <c r="G1332" s="606">
        <f>TRUNC(E1331*F1332,2)</f>
        <v>0.75</v>
      </c>
      <c r="H1332" s="696"/>
    </row>
    <row r="1333" spans="1:8" s="424" customFormat="1" ht="18" customHeight="1">
      <c r="A1333" s="1459">
        <v>90466</v>
      </c>
      <c r="B1333" s="1457" t="s">
        <v>1615</v>
      </c>
      <c r="C1333" s="698" t="s">
        <v>117</v>
      </c>
      <c r="D1333" s="1461" t="s">
        <v>4</v>
      </c>
      <c r="E1333" s="1463">
        <v>2.2000000000000002</v>
      </c>
      <c r="F1333" s="573">
        <f>'COMP AUX'!G1525</f>
        <v>6.89</v>
      </c>
      <c r="G1333" s="606">
        <f>TRUNC(E1333*F1333,2)</f>
        <v>15.15</v>
      </c>
      <c r="H1333" s="696"/>
    </row>
    <row r="1334" spans="1:8" s="424" customFormat="1" ht="18" customHeight="1">
      <c r="A1334" s="1460"/>
      <c r="B1334" s="1458"/>
      <c r="C1334" s="698" t="s">
        <v>99</v>
      </c>
      <c r="D1334" s="1462"/>
      <c r="E1334" s="1464"/>
      <c r="F1334" s="573">
        <f>'COMP AUX'!G1526</f>
        <v>2.9800000000000004</v>
      </c>
      <c r="G1334" s="606">
        <f>TRUNC(E1333*F1334,2)</f>
        <v>6.55</v>
      </c>
      <c r="H1334" s="696"/>
    </row>
    <row r="1335" spans="1:8" s="424" customFormat="1" ht="18" customHeight="1">
      <c r="A1335" s="1459">
        <v>91842</v>
      </c>
      <c r="B1335" s="1457" t="s">
        <v>1616</v>
      </c>
      <c r="C1335" s="698" t="s">
        <v>117</v>
      </c>
      <c r="D1335" s="1461" t="s">
        <v>4</v>
      </c>
      <c r="E1335" s="1463">
        <v>2</v>
      </c>
      <c r="F1335" s="573">
        <f>'COMP AUX'!G1582</f>
        <v>1.9100000000000001</v>
      </c>
      <c r="G1335" s="606">
        <f>TRUNC(E1335*F1335,2)</f>
        <v>3.82</v>
      </c>
      <c r="H1335" s="696"/>
    </row>
    <row r="1336" spans="1:8" s="424" customFormat="1" ht="18" customHeight="1">
      <c r="A1336" s="1460"/>
      <c r="B1336" s="1458"/>
      <c r="C1336" s="698" t="s">
        <v>99</v>
      </c>
      <c r="D1336" s="1462"/>
      <c r="E1336" s="1464"/>
      <c r="F1336" s="573">
        <f>'COMP AUX'!G1583</f>
        <v>1.7500000000000002</v>
      </c>
      <c r="G1336" s="606">
        <f>TRUNC(E1335*F1336,2)</f>
        <v>3.5</v>
      </c>
      <c r="H1336" s="696"/>
    </row>
    <row r="1337" spans="1:8" s="424" customFormat="1" ht="18" customHeight="1">
      <c r="A1337" s="1459">
        <v>91852</v>
      </c>
      <c r="B1337" s="1457" t="s">
        <v>1617</v>
      </c>
      <c r="C1337" s="698" t="s">
        <v>117</v>
      </c>
      <c r="D1337" s="1461" t="s">
        <v>4</v>
      </c>
      <c r="E1337" s="1463">
        <v>2.2000000000000002</v>
      </c>
      <c r="F1337" s="573">
        <f>'COMP AUX'!G1596</f>
        <v>3.42</v>
      </c>
      <c r="G1337" s="606">
        <f>TRUNC(E1337*F1337,2)</f>
        <v>7.52</v>
      </c>
      <c r="H1337" s="696"/>
    </row>
    <row r="1338" spans="1:8" s="424" customFormat="1" ht="18" customHeight="1">
      <c r="A1338" s="1460"/>
      <c r="B1338" s="1458"/>
      <c r="C1338" s="698" t="s">
        <v>99</v>
      </c>
      <c r="D1338" s="1462"/>
      <c r="E1338" s="1464"/>
      <c r="F1338" s="573">
        <f>'COMP AUX'!G1597</f>
        <v>2.17</v>
      </c>
      <c r="G1338" s="606">
        <f>TRUNC(E1337*F1338,2)</f>
        <v>4.7699999999999996</v>
      </c>
      <c r="H1338" s="696"/>
    </row>
    <row r="1339" spans="1:8" s="424" customFormat="1" ht="18" customHeight="1">
      <c r="A1339" s="1520">
        <v>91926</v>
      </c>
      <c r="B1339" s="1457" t="s">
        <v>1619</v>
      </c>
      <c r="C1339" s="698" t="s">
        <v>117</v>
      </c>
      <c r="D1339" s="1461" t="s">
        <v>4</v>
      </c>
      <c r="E1339" s="1463">
        <v>12.6</v>
      </c>
      <c r="F1339" s="573">
        <f>'COMP AUX'!G1626</f>
        <v>0.78</v>
      </c>
      <c r="G1339" s="606">
        <f>TRUNC(E1339*F1339,2)</f>
        <v>9.82</v>
      </c>
      <c r="H1339" s="696"/>
    </row>
    <row r="1340" spans="1:8" s="424" customFormat="1" ht="18" customHeight="1">
      <c r="A1340" s="1454"/>
      <c r="B1340" s="1466"/>
      <c r="C1340" s="698" t="s">
        <v>99</v>
      </c>
      <c r="D1340" s="1462"/>
      <c r="E1340" s="1464"/>
      <c r="F1340" s="573">
        <f>'COMP AUX'!G1627</f>
        <v>1.63</v>
      </c>
      <c r="G1340" s="606">
        <f>TRUNC(E1339*F1340,2)</f>
        <v>20.53</v>
      </c>
      <c r="H1340" s="696"/>
    </row>
    <row r="1341" spans="1:8" s="424" customFormat="1" ht="18" customHeight="1">
      <c r="A1341" s="1520">
        <v>91937</v>
      </c>
      <c r="B1341" s="1457" t="s">
        <v>1620</v>
      </c>
      <c r="C1341" s="698" t="s">
        <v>117</v>
      </c>
      <c r="D1341" s="1461" t="s">
        <v>5</v>
      </c>
      <c r="E1341" s="1463">
        <v>0.375</v>
      </c>
      <c r="F1341" s="573">
        <f>'COMP AUX'!G1640</f>
        <v>3.42</v>
      </c>
      <c r="G1341" s="606">
        <f>TRUNC(E1341*F1341,2)</f>
        <v>1.28</v>
      </c>
      <c r="H1341" s="696"/>
    </row>
    <row r="1342" spans="1:8" s="424" customFormat="1" ht="18" customHeight="1">
      <c r="A1342" s="1454"/>
      <c r="B1342" s="1466"/>
      <c r="C1342" s="698" t="s">
        <v>99</v>
      </c>
      <c r="D1342" s="1462"/>
      <c r="E1342" s="1464"/>
      <c r="F1342" s="573">
        <f>'COMP AUX'!G1641</f>
        <v>4.13</v>
      </c>
      <c r="G1342" s="606">
        <f>TRUNC(E1341*F1342,2)</f>
        <v>1.54</v>
      </c>
      <c r="H1342" s="696"/>
    </row>
    <row r="1343" spans="1:8" s="424" customFormat="1" ht="20.100000000000001" customHeight="1">
      <c r="A1343" s="1520">
        <v>91940</v>
      </c>
      <c r="B1343" s="1457" t="s">
        <v>1621</v>
      </c>
      <c r="C1343" s="698" t="s">
        <v>117</v>
      </c>
      <c r="D1343" s="1461" t="s">
        <v>5</v>
      </c>
      <c r="E1343" s="1463">
        <v>1</v>
      </c>
      <c r="F1343" s="573">
        <f>'COMP AUX'!G1656</f>
        <v>6.65</v>
      </c>
      <c r="G1343" s="606">
        <f>TRUNC(E1343*F1343,2)</f>
        <v>6.65</v>
      </c>
      <c r="H1343" s="696"/>
    </row>
    <row r="1344" spans="1:8" s="424" customFormat="1" ht="20.100000000000001" customHeight="1">
      <c r="A1344" s="1454"/>
      <c r="B1344" s="1466"/>
      <c r="C1344" s="698" t="s">
        <v>99</v>
      </c>
      <c r="D1344" s="1462"/>
      <c r="E1344" s="1464"/>
      <c r="F1344" s="573">
        <f>'COMP AUX'!G1657</f>
        <v>4.1800000000000006</v>
      </c>
      <c r="G1344" s="606">
        <f>TRUNC(E1343*F1344,2)</f>
        <v>4.18</v>
      </c>
      <c r="H1344" s="696"/>
    </row>
    <row r="1345" spans="1:8" s="424" customFormat="1" ht="20.100000000000001" customHeight="1">
      <c r="A1345" s="1520">
        <v>91996</v>
      </c>
      <c r="B1345" s="1457" t="s">
        <v>1746</v>
      </c>
      <c r="C1345" s="698" t="s">
        <v>117</v>
      </c>
      <c r="D1345" s="1461" t="s">
        <v>5</v>
      </c>
      <c r="E1345" s="1463">
        <v>1</v>
      </c>
      <c r="F1345" s="573">
        <f>'COMP AUX'!G1778</f>
        <v>11.1</v>
      </c>
      <c r="G1345" s="606">
        <f>TRUNC(E1345*F1345,2)</f>
        <v>11.1</v>
      </c>
      <c r="H1345" s="696"/>
    </row>
    <row r="1346" spans="1:8" s="424" customFormat="1" ht="20.100000000000001" customHeight="1">
      <c r="A1346" s="1454"/>
      <c r="B1346" s="1458"/>
      <c r="C1346" s="698" t="s">
        <v>99</v>
      </c>
      <c r="D1346" s="1462"/>
      <c r="E1346" s="1464"/>
      <c r="F1346" s="573">
        <f>'COMP AUX'!G1779</f>
        <v>10.7</v>
      </c>
      <c r="G1346" s="606">
        <f>TRUNC(E1345*F1346,2)</f>
        <v>10.7</v>
      </c>
      <c r="H1346" s="696"/>
    </row>
    <row r="1347" spans="1:8" s="424" customFormat="1" ht="14.1" customHeight="1">
      <c r="A1347" s="696"/>
      <c r="B1347" s="696"/>
      <c r="C1347" s="696"/>
      <c r="D1347" s="696"/>
      <c r="E1347" s="696"/>
      <c r="F1347" s="581" t="s">
        <v>103</v>
      </c>
      <c r="G1347" s="606">
        <f>G1329+G1331+G1333+G1335+G1337+G1339+G1341+G1343+G1345</f>
        <v>66.06</v>
      </c>
      <c r="H1347" s="696"/>
    </row>
    <row r="1348" spans="1:8" s="424" customFormat="1" ht="14.1" customHeight="1">
      <c r="A1348" s="696"/>
      <c r="B1348" s="696"/>
      <c r="C1348" s="696"/>
      <c r="D1348" s="696"/>
      <c r="E1348" s="696"/>
      <c r="F1348" s="581" t="s">
        <v>105</v>
      </c>
      <c r="G1348" s="606">
        <f>G1330+G1332+G1334+G1336+G1338+G1340+G1342+G1344+G1346</f>
        <v>55</v>
      </c>
      <c r="H1348" s="696"/>
    </row>
    <row r="1349" spans="1:8" s="424" customFormat="1" ht="14.1" customHeight="1">
      <c r="A1349" s="582" t="s">
        <v>107</v>
      </c>
      <c r="B1349" s="696"/>
      <c r="C1349" s="696"/>
      <c r="D1349" s="696"/>
      <c r="E1349" s="696"/>
      <c r="F1349" s="581" t="s">
        <v>106</v>
      </c>
      <c r="G1349" s="608">
        <f>SUM(G1347:G1348)</f>
        <v>121.06</v>
      </c>
      <c r="H1349" s="696"/>
    </row>
    <row r="1350" spans="1:8" s="424" customFormat="1" ht="14.1" customHeight="1">
      <c r="A1350" s="515" t="s">
        <v>108</v>
      </c>
      <c r="B1350" s="548">
        <f>G1349</f>
        <v>121.06</v>
      </c>
      <c r="C1350" s="696"/>
      <c r="D1350" s="696"/>
      <c r="E1350" s="696"/>
      <c r="F1350" s="197"/>
      <c r="G1350" s="197"/>
      <c r="H1350" s="696"/>
    </row>
    <row r="1351" spans="1:8" s="424" customFormat="1" ht="14.1" customHeight="1">
      <c r="A1351" s="542" t="s">
        <v>2654</v>
      </c>
      <c r="B1351" s="541"/>
      <c r="C1351" s="696"/>
      <c r="D1351" s="696"/>
      <c r="E1351" s="696"/>
      <c r="F1351" s="197"/>
      <c r="G1351" s="197"/>
      <c r="H1351" s="696"/>
    </row>
    <row r="1352" spans="1:8" s="424" customFormat="1" ht="14.1" customHeight="1">
      <c r="A1352" s="622" t="s">
        <v>2714</v>
      </c>
      <c r="B1352" s="541">
        <f>(B1350+B1351)*0.245</f>
        <v>29.659700000000001</v>
      </c>
      <c r="C1352" s="696"/>
      <c r="D1352" s="696"/>
      <c r="E1352" s="696"/>
      <c r="F1352" s="197"/>
      <c r="G1352" s="197"/>
      <c r="H1352" s="696"/>
    </row>
    <row r="1353" spans="1:8" s="424" customFormat="1" ht="14.1" customHeight="1">
      <c r="A1353" s="515" t="s">
        <v>111</v>
      </c>
      <c r="B1353" s="549">
        <f>SUM(B1350:B1352)</f>
        <v>150.71969999999999</v>
      </c>
      <c r="C1353" s="696"/>
      <c r="D1353" s="696"/>
      <c r="E1353" s="696"/>
      <c r="F1353" s="197"/>
      <c r="G1353" s="197"/>
      <c r="H1353" s="577"/>
    </row>
    <row r="1354" spans="1:8" s="424" customFormat="1">
      <c r="A1354" s="516"/>
      <c r="B1354" s="517"/>
      <c r="C1354" s="518"/>
      <c r="D1354" s="516"/>
      <c r="E1354" s="517"/>
      <c r="F1354" s="517"/>
      <c r="G1354" s="517"/>
      <c r="H1354" s="516"/>
    </row>
    <row r="1355" spans="1:8" s="424" customFormat="1">
      <c r="B1355" s="421"/>
      <c r="C1355" s="423"/>
      <c r="E1355" s="421"/>
      <c r="F1355" s="421"/>
      <c r="G1355" s="421"/>
    </row>
    <row r="1356" spans="1:8" s="424" customFormat="1">
      <c r="A1356" s="170" t="s">
        <v>1258</v>
      </c>
      <c r="B1356" s="652"/>
      <c r="C1356" s="652"/>
      <c r="D1356" s="652"/>
      <c r="E1356" s="421"/>
      <c r="F1356" s="421"/>
      <c r="G1356" s="421"/>
    </row>
    <row r="1357" spans="1:8" s="424" customFormat="1" ht="13.5" customHeight="1">
      <c r="A1357" s="220" t="s">
        <v>1757</v>
      </c>
      <c r="B1357" s="664"/>
      <c r="C1357" s="664"/>
      <c r="D1357" s="664"/>
      <c r="E1357" s="421"/>
      <c r="F1357" s="421"/>
      <c r="G1357" s="421"/>
    </row>
    <row r="1358" spans="1:8" s="424" customFormat="1" ht="27" customHeight="1">
      <c r="A1358" s="681" t="s">
        <v>1675</v>
      </c>
      <c r="B1358" s="1473" t="s">
        <v>1758</v>
      </c>
      <c r="C1358" s="1473"/>
      <c r="D1358" s="1473"/>
      <c r="E1358" s="447" t="s">
        <v>1538</v>
      </c>
      <c r="F1358" s="421"/>
      <c r="G1358" s="421"/>
    </row>
    <row r="1359" spans="1:8" s="424" customFormat="1" ht="28.5" customHeight="1">
      <c r="A1359" s="711" t="s">
        <v>30</v>
      </c>
      <c r="B1359" s="507" t="s">
        <v>19</v>
      </c>
      <c r="C1359" s="430" t="s">
        <v>92</v>
      </c>
      <c r="D1359" s="690" t="s">
        <v>88</v>
      </c>
      <c r="E1359" s="690" t="s">
        <v>93</v>
      </c>
      <c r="F1359" s="432" t="s">
        <v>94</v>
      </c>
      <c r="G1359" s="508" t="s">
        <v>95</v>
      </c>
      <c r="H1359" s="696"/>
    </row>
    <row r="1360" spans="1:8" s="424" customFormat="1" ht="18" customHeight="1">
      <c r="A1360" s="1459">
        <v>90447</v>
      </c>
      <c r="B1360" s="1457" t="s">
        <v>1613</v>
      </c>
      <c r="C1360" s="698" t="s">
        <v>117</v>
      </c>
      <c r="D1360" s="1461" t="s">
        <v>4</v>
      </c>
      <c r="E1360" s="1463">
        <v>2.2000000000000002</v>
      </c>
      <c r="F1360" s="501">
        <f>'COMP AUX'!G1497</f>
        <v>3.74</v>
      </c>
      <c r="G1360" s="508">
        <f>TRUNC(E1360*F1360,2)</f>
        <v>8.2200000000000006</v>
      </c>
      <c r="H1360" s="696"/>
    </row>
    <row r="1361" spans="1:8" s="424" customFormat="1" ht="18" customHeight="1">
      <c r="A1361" s="1460"/>
      <c r="B1361" s="1458"/>
      <c r="C1361" s="698" t="s">
        <v>99</v>
      </c>
      <c r="D1361" s="1462"/>
      <c r="E1361" s="1464"/>
      <c r="F1361" s="501">
        <f>'COMP AUX'!G1498</f>
        <v>1.1299999999999999</v>
      </c>
      <c r="G1361" s="606">
        <f>TRUNC(E1360*F1361,2)</f>
        <v>2.48</v>
      </c>
      <c r="H1361" s="696"/>
    </row>
    <row r="1362" spans="1:8" s="424" customFormat="1" ht="18" customHeight="1">
      <c r="A1362" s="1459">
        <v>90456</v>
      </c>
      <c r="B1362" s="1457" t="s">
        <v>1614</v>
      </c>
      <c r="C1362" s="698" t="s">
        <v>117</v>
      </c>
      <c r="D1362" s="1461" t="s">
        <v>5</v>
      </c>
      <c r="E1362" s="1463">
        <v>1</v>
      </c>
      <c r="F1362" s="573">
        <f>'COMP AUX'!G1510</f>
        <v>2.5</v>
      </c>
      <c r="G1362" s="606">
        <f>TRUNC(E1362*F1362,2)</f>
        <v>2.5</v>
      </c>
      <c r="H1362" s="696"/>
    </row>
    <row r="1363" spans="1:8" s="424" customFormat="1" ht="18" customHeight="1">
      <c r="A1363" s="1460"/>
      <c r="B1363" s="1458"/>
      <c r="C1363" s="698" t="s">
        <v>99</v>
      </c>
      <c r="D1363" s="1462"/>
      <c r="E1363" s="1464"/>
      <c r="F1363" s="573">
        <f>'COMP AUX'!G1511</f>
        <v>0.75</v>
      </c>
      <c r="G1363" s="606">
        <f>TRUNC(E1362*F1363,2)</f>
        <v>0.75</v>
      </c>
      <c r="H1363" s="696"/>
    </row>
    <row r="1364" spans="1:8" s="424" customFormat="1" ht="18" customHeight="1">
      <c r="A1364" s="1459">
        <v>90466</v>
      </c>
      <c r="B1364" s="1457" t="s">
        <v>1615</v>
      </c>
      <c r="C1364" s="698" t="s">
        <v>117</v>
      </c>
      <c r="D1364" s="1461" t="s">
        <v>4</v>
      </c>
      <c r="E1364" s="1463">
        <v>2.2000000000000002</v>
      </c>
      <c r="F1364" s="573">
        <f>'COMP AUX'!G1525</f>
        <v>6.89</v>
      </c>
      <c r="G1364" s="606">
        <f>TRUNC(E1364*F1364,2)</f>
        <v>15.15</v>
      </c>
      <c r="H1364" s="696"/>
    </row>
    <row r="1365" spans="1:8" s="424" customFormat="1" ht="18" customHeight="1">
      <c r="A1365" s="1460"/>
      <c r="B1365" s="1458"/>
      <c r="C1365" s="698" t="s">
        <v>99</v>
      </c>
      <c r="D1365" s="1462"/>
      <c r="E1365" s="1464"/>
      <c r="F1365" s="573">
        <f>'COMP AUX'!G1526</f>
        <v>2.9800000000000004</v>
      </c>
      <c r="G1365" s="606">
        <f>TRUNC(E1364*F1365,2)</f>
        <v>6.55</v>
      </c>
      <c r="H1365" s="696"/>
    </row>
    <row r="1366" spans="1:8" s="424" customFormat="1" ht="18" customHeight="1">
      <c r="A1366" s="1459">
        <v>91842</v>
      </c>
      <c r="B1366" s="1457" t="s">
        <v>1616</v>
      </c>
      <c r="C1366" s="698" t="s">
        <v>117</v>
      </c>
      <c r="D1366" s="1461" t="s">
        <v>4</v>
      </c>
      <c r="E1366" s="1463">
        <v>2</v>
      </c>
      <c r="F1366" s="573">
        <f>'COMP AUX'!G1582</f>
        <v>1.9100000000000001</v>
      </c>
      <c r="G1366" s="606">
        <f>TRUNC(E1366*F1366,2)</f>
        <v>3.82</v>
      </c>
      <c r="H1366" s="696"/>
    </row>
    <row r="1367" spans="1:8" s="424" customFormat="1" ht="18" customHeight="1">
      <c r="A1367" s="1460"/>
      <c r="B1367" s="1458"/>
      <c r="C1367" s="698" t="s">
        <v>99</v>
      </c>
      <c r="D1367" s="1462"/>
      <c r="E1367" s="1464"/>
      <c r="F1367" s="573">
        <f>'COMP AUX'!G1583</f>
        <v>1.7500000000000002</v>
      </c>
      <c r="G1367" s="606">
        <f>TRUNC(E1366*F1367,2)</f>
        <v>3.5</v>
      </c>
      <c r="H1367" s="696"/>
    </row>
    <row r="1368" spans="1:8" s="424" customFormat="1" ht="18" customHeight="1">
      <c r="A1368" s="1459">
        <v>91852</v>
      </c>
      <c r="B1368" s="1457" t="s">
        <v>1617</v>
      </c>
      <c r="C1368" s="698" t="s">
        <v>117</v>
      </c>
      <c r="D1368" s="1461" t="s">
        <v>4</v>
      </c>
      <c r="E1368" s="1463">
        <v>2.2000000000000002</v>
      </c>
      <c r="F1368" s="573">
        <f>'COMP AUX'!G1596</f>
        <v>3.42</v>
      </c>
      <c r="G1368" s="606">
        <f>TRUNC(E1368*F1368,2)</f>
        <v>7.52</v>
      </c>
      <c r="H1368" s="696"/>
    </row>
    <row r="1369" spans="1:8" s="424" customFormat="1" ht="18" customHeight="1">
      <c r="A1369" s="1460"/>
      <c r="B1369" s="1458"/>
      <c r="C1369" s="698" t="s">
        <v>99</v>
      </c>
      <c r="D1369" s="1462"/>
      <c r="E1369" s="1464"/>
      <c r="F1369" s="573">
        <f>'COMP AUX'!G1597</f>
        <v>2.17</v>
      </c>
      <c r="G1369" s="606">
        <f>TRUNC(E1368*F1369,2)</f>
        <v>4.7699999999999996</v>
      </c>
      <c r="H1369" s="696"/>
    </row>
    <row r="1370" spans="1:8" s="424" customFormat="1" ht="18" customHeight="1">
      <c r="A1370" s="1520">
        <v>91926</v>
      </c>
      <c r="B1370" s="1457" t="s">
        <v>1619</v>
      </c>
      <c r="C1370" s="698" t="s">
        <v>117</v>
      </c>
      <c r="D1370" s="1461" t="s">
        <v>4</v>
      </c>
      <c r="E1370" s="1463">
        <v>12.6</v>
      </c>
      <c r="F1370" s="573">
        <f>'COMP AUX'!G1626</f>
        <v>0.78</v>
      </c>
      <c r="G1370" s="606">
        <f>TRUNC(E1370*F1370,2)</f>
        <v>9.82</v>
      </c>
      <c r="H1370" s="696"/>
    </row>
    <row r="1371" spans="1:8" s="424" customFormat="1" ht="18" customHeight="1">
      <c r="A1371" s="1454"/>
      <c r="B1371" s="1466"/>
      <c r="C1371" s="698" t="s">
        <v>99</v>
      </c>
      <c r="D1371" s="1462"/>
      <c r="E1371" s="1464"/>
      <c r="F1371" s="573">
        <f>'COMP AUX'!G1627</f>
        <v>1.63</v>
      </c>
      <c r="G1371" s="606">
        <f>TRUNC(E1370*F1371,2)</f>
        <v>20.53</v>
      </c>
      <c r="H1371" s="696"/>
    </row>
    <row r="1372" spans="1:8" s="424" customFormat="1" ht="18" customHeight="1">
      <c r="A1372" s="1520">
        <v>91937</v>
      </c>
      <c r="B1372" s="1457" t="s">
        <v>1620</v>
      </c>
      <c r="C1372" s="698" t="s">
        <v>117</v>
      </c>
      <c r="D1372" s="1461" t="s">
        <v>5</v>
      </c>
      <c r="E1372" s="1463">
        <v>0.375</v>
      </c>
      <c r="F1372" s="573">
        <f>'COMP AUX'!G1640</f>
        <v>3.42</v>
      </c>
      <c r="G1372" s="606">
        <f>TRUNC(E1372*F1372,2)</f>
        <v>1.28</v>
      </c>
      <c r="H1372" s="696"/>
    </row>
    <row r="1373" spans="1:8" s="424" customFormat="1" ht="18" customHeight="1">
      <c r="A1373" s="1454"/>
      <c r="B1373" s="1466"/>
      <c r="C1373" s="698" t="s">
        <v>99</v>
      </c>
      <c r="D1373" s="1462"/>
      <c r="E1373" s="1464"/>
      <c r="F1373" s="573">
        <f>'COMP AUX'!G1641</f>
        <v>4.13</v>
      </c>
      <c r="G1373" s="606">
        <f>TRUNC(E1372*F1373,2)</f>
        <v>1.54</v>
      </c>
      <c r="H1373" s="696"/>
    </row>
    <row r="1374" spans="1:8" s="424" customFormat="1" ht="18" customHeight="1">
      <c r="A1374" s="1520">
        <v>91940</v>
      </c>
      <c r="B1374" s="1457" t="s">
        <v>1621</v>
      </c>
      <c r="C1374" s="698" t="s">
        <v>117</v>
      </c>
      <c r="D1374" s="1461" t="s">
        <v>5</v>
      </c>
      <c r="E1374" s="1463">
        <v>1</v>
      </c>
      <c r="F1374" s="573">
        <f>'COMP AUX'!G1656</f>
        <v>6.65</v>
      </c>
      <c r="G1374" s="606">
        <f>TRUNC(E1374*F1374,2)</f>
        <v>6.65</v>
      </c>
      <c r="H1374" s="696"/>
    </row>
    <row r="1375" spans="1:8" s="424" customFormat="1" ht="18" customHeight="1">
      <c r="A1375" s="1454"/>
      <c r="B1375" s="1466"/>
      <c r="C1375" s="698" t="s">
        <v>99</v>
      </c>
      <c r="D1375" s="1462"/>
      <c r="E1375" s="1464"/>
      <c r="F1375" s="573">
        <f>'COMP AUX'!G1657</f>
        <v>4.1800000000000006</v>
      </c>
      <c r="G1375" s="606">
        <f>TRUNC(E1374*F1375,2)</f>
        <v>4.18</v>
      </c>
      <c r="H1375" s="696"/>
    </row>
    <row r="1376" spans="1:8" s="424" customFormat="1" ht="18" customHeight="1">
      <c r="A1376" s="1520">
        <v>91997</v>
      </c>
      <c r="B1376" s="1457" t="s">
        <v>1759</v>
      </c>
      <c r="C1376" s="698" t="s">
        <v>117</v>
      </c>
      <c r="D1376" s="1461" t="s">
        <v>5</v>
      </c>
      <c r="E1376" s="1463">
        <v>1</v>
      </c>
      <c r="F1376" s="573">
        <f>'COMP AUX'!G1791</f>
        <v>11.1</v>
      </c>
      <c r="G1376" s="606">
        <f>TRUNC(E1376*F1376,2)</f>
        <v>11.1</v>
      </c>
      <c r="H1376" s="696"/>
    </row>
    <row r="1377" spans="1:8" s="424" customFormat="1" ht="18" customHeight="1">
      <c r="A1377" s="1454"/>
      <c r="B1377" s="1458"/>
      <c r="C1377" s="698" t="s">
        <v>99</v>
      </c>
      <c r="D1377" s="1462"/>
      <c r="E1377" s="1464"/>
      <c r="F1377" s="573">
        <f>'COMP AUX'!G1792</f>
        <v>11.96</v>
      </c>
      <c r="G1377" s="606">
        <f>TRUNC(E1376*F1377,2)</f>
        <v>11.96</v>
      </c>
      <c r="H1377" s="696"/>
    </row>
    <row r="1378" spans="1:8" s="424" customFormat="1" ht="15.95" customHeight="1">
      <c r="A1378" s="696"/>
      <c r="B1378" s="696"/>
      <c r="C1378" s="696"/>
      <c r="D1378" s="696"/>
      <c r="E1378" s="696"/>
      <c r="F1378" s="581" t="s">
        <v>103</v>
      </c>
      <c r="G1378" s="606">
        <f>G1360+G1362+G1364+G1366+G1368+G1370+G1372+G1374+G1376</f>
        <v>66.06</v>
      </c>
      <c r="H1378" s="696"/>
    </row>
    <row r="1379" spans="1:8" s="424" customFormat="1" ht="15.95" customHeight="1">
      <c r="A1379" s="696"/>
      <c r="B1379" s="696"/>
      <c r="C1379" s="696"/>
      <c r="D1379" s="696"/>
      <c r="E1379" s="696"/>
      <c r="F1379" s="581" t="s">
        <v>105</v>
      </c>
      <c r="G1379" s="606">
        <f>G1361+G1363+G1365+G1367+G1369+G1371+G1373+G1375+G1377</f>
        <v>56.26</v>
      </c>
      <c r="H1379" s="696"/>
    </row>
    <row r="1380" spans="1:8" s="424" customFormat="1" ht="15.95" customHeight="1">
      <c r="A1380" s="582" t="s">
        <v>107</v>
      </c>
      <c r="B1380" s="696"/>
      <c r="C1380" s="696"/>
      <c r="D1380" s="696"/>
      <c r="E1380" s="696"/>
      <c r="F1380" s="581" t="s">
        <v>106</v>
      </c>
      <c r="G1380" s="608">
        <f>SUM(G1378:G1379)</f>
        <v>122.32</v>
      </c>
      <c r="H1380" s="696"/>
    </row>
    <row r="1381" spans="1:8" s="424" customFormat="1" ht="15.95" customHeight="1">
      <c r="A1381" s="515" t="s">
        <v>108</v>
      </c>
      <c r="B1381" s="548">
        <f>G1380</f>
        <v>122.32</v>
      </c>
      <c r="C1381" s="696"/>
      <c r="D1381" s="696"/>
      <c r="E1381" s="696"/>
      <c r="F1381" s="197"/>
      <c r="G1381" s="197"/>
      <c r="H1381" s="696"/>
    </row>
    <row r="1382" spans="1:8" s="424" customFormat="1" ht="15.95" customHeight="1">
      <c r="A1382" s="542" t="s">
        <v>2654</v>
      </c>
      <c r="B1382" s="541"/>
      <c r="C1382" s="696"/>
      <c r="D1382" s="696"/>
      <c r="E1382" s="696"/>
      <c r="F1382" s="197"/>
      <c r="G1382" s="197"/>
      <c r="H1382" s="696"/>
    </row>
    <row r="1383" spans="1:8" s="424" customFormat="1" ht="15.95" customHeight="1">
      <c r="A1383" s="622" t="s">
        <v>2714</v>
      </c>
      <c r="B1383" s="541">
        <f>(B1381+B1382)*0.245</f>
        <v>29.968399999999999</v>
      </c>
      <c r="C1383" s="696"/>
      <c r="D1383" s="696"/>
      <c r="E1383" s="696"/>
      <c r="F1383" s="197"/>
      <c r="G1383" s="197"/>
      <c r="H1383" s="696"/>
    </row>
    <row r="1384" spans="1:8" s="424" customFormat="1" ht="15.95" customHeight="1">
      <c r="A1384" s="515" t="s">
        <v>111</v>
      </c>
      <c r="B1384" s="549">
        <f>SUM(B1381:B1383)</f>
        <v>152.2884</v>
      </c>
      <c r="C1384" s="696"/>
      <c r="D1384" s="696"/>
      <c r="E1384" s="696"/>
      <c r="F1384" s="197"/>
      <c r="G1384" s="197"/>
      <c r="H1384" s="577"/>
    </row>
    <row r="1385" spans="1:8" s="424" customFormat="1">
      <c r="A1385" s="516"/>
      <c r="B1385" s="517"/>
      <c r="C1385" s="518"/>
      <c r="D1385" s="516"/>
      <c r="E1385" s="517"/>
      <c r="F1385" s="517"/>
      <c r="G1385" s="517"/>
      <c r="H1385" s="516"/>
    </row>
    <row r="1386" spans="1:8" s="424" customFormat="1">
      <c r="B1386" s="421"/>
      <c r="C1386" s="423"/>
      <c r="E1386" s="421"/>
      <c r="F1386" s="421"/>
      <c r="G1386" s="421"/>
    </row>
    <row r="1387" spans="1:8" s="424" customFormat="1">
      <c r="A1387" s="170" t="s">
        <v>1258</v>
      </c>
      <c r="B1387" s="421"/>
      <c r="C1387" s="423"/>
      <c r="E1387" s="421"/>
      <c r="F1387" s="421"/>
      <c r="G1387" s="421"/>
    </row>
    <row r="1388" spans="1:8" s="424" customFormat="1">
      <c r="A1388" s="535" t="s">
        <v>1783</v>
      </c>
      <c r="B1388" s="533"/>
      <c r="C1388" s="533"/>
      <c r="D1388" s="533"/>
      <c r="E1388" s="533"/>
      <c r="F1388" s="533"/>
      <c r="G1388" s="533"/>
      <c r="H1388" s="533"/>
    </row>
    <row r="1389" spans="1:8" s="424" customFormat="1" ht="24.75" customHeight="1">
      <c r="A1389" s="535" t="s">
        <v>1640</v>
      </c>
      <c r="B1389" s="737" t="s">
        <v>1782</v>
      </c>
      <c r="C1389" s="735" t="s">
        <v>1538</v>
      </c>
      <c r="D1389" s="737"/>
      <c r="F1389" s="533"/>
      <c r="G1389" s="533"/>
      <c r="H1389" s="533"/>
    </row>
    <row r="1390" spans="1:8" s="424" customFormat="1" ht="22.5">
      <c r="A1390" s="711" t="s">
        <v>30</v>
      </c>
      <c r="B1390" s="507" t="s">
        <v>19</v>
      </c>
      <c r="C1390" s="430" t="s">
        <v>92</v>
      </c>
      <c r="D1390" s="690" t="s">
        <v>88</v>
      </c>
      <c r="E1390" s="690" t="s">
        <v>93</v>
      </c>
      <c r="F1390" s="432" t="s">
        <v>94</v>
      </c>
      <c r="G1390" s="508" t="s">
        <v>95</v>
      </c>
      <c r="H1390" s="170"/>
    </row>
    <row r="1391" spans="1:8" s="424" customFormat="1" ht="22.5">
      <c r="A1391" s="557">
        <v>39385</v>
      </c>
      <c r="B1391" s="731" t="s">
        <v>1784</v>
      </c>
      <c r="C1391" s="528" t="s">
        <v>99</v>
      </c>
      <c r="D1391" s="528" t="s">
        <v>408</v>
      </c>
      <c r="E1391" s="537">
        <v>1</v>
      </c>
      <c r="F1391" s="732">
        <v>75.14</v>
      </c>
      <c r="G1391" s="606">
        <f>TRUNC(E1391*F1391,2)</f>
        <v>75.14</v>
      </c>
      <c r="H1391" s="695"/>
    </row>
    <row r="1392" spans="1:8" s="424" customFormat="1" ht="14.1" customHeight="1">
      <c r="A1392" s="1509">
        <v>88247</v>
      </c>
      <c r="B1392" s="1507" t="s">
        <v>1068</v>
      </c>
      <c r="C1392" s="528" t="s">
        <v>117</v>
      </c>
      <c r="D1392" s="1485" t="s">
        <v>410</v>
      </c>
      <c r="E1392" s="1547">
        <v>0.2833</v>
      </c>
      <c r="F1392" s="732">
        <f>'COMP AUX'!G287</f>
        <v>10.98</v>
      </c>
      <c r="G1392" s="733">
        <f>TRUNC(E1392*F1392,2)</f>
        <v>3.11</v>
      </c>
      <c r="H1392" s="695"/>
    </row>
    <row r="1393" spans="1:8" s="424" customFormat="1" ht="14.1" customHeight="1">
      <c r="A1393" s="1467"/>
      <c r="B1393" s="1466"/>
      <c r="C1393" s="528" t="s">
        <v>99</v>
      </c>
      <c r="D1393" s="1486"/>
      <c r="E1393" s="1548"/>
      <c r="F1393" s="732">
        <f>'COMP AUX'!G288</f>
        <v>4.5600000000000005</v>
      </c>
      <c r="G1393" s="733">
        <f>TRUNC(E1392*F1393,2)</f>
        <v>1.29</v>
      </c>
      <c r="H1393" s="695"/>
    </row>
    <row r="1394" spans="1:8" s="424" customFormat="1" ht="14.1" customHeight="1">
      <c r="A1394" s="1509">
        <v>88264</v>
      </c>
      <c r="B1394" s="1507" t="s">
        <v>306</v>
      </c>
      <c r="C1394" s="528" t="s">
        <v>117</v>
      </c>
      <c r="D1394" s="1485" t="s">
        <v>410</v>
      </c>
      <c r="E1394" s="1547">
        <v>0.69199999999999995</v>
      </c>
      <c r="F1394" s="732">
        <f>'COMP AUX'!G253</f>
        <v>15.639999999999999</v>
      </c>
      <c r="G1394" s="733">
        <f>TRUNC(E1394*F1394,2)</f>
        <v>10.82</v>
      </c>
      <c r="H1394" s="695"/>
    </row>
    <row r="1395" spans="1:8" s="424" customFormat="1" ht="14.1" customHeight="1">
      <c r="A1395" s="1510"/>
      <c r="B1395" s="1508"/>
      <c r="C1395" s="528" t="s">
        <v>99</v>
      </c>
      <c r="D1395" s="1486"/>
      <c r="E1395" s="1548"/>
      <c r="F1395" s="732">
        <f>'COMP AUX'!G254</f>
        <v>4.5600000000000005</v>
      </c>
      <c r="G1395" s="733">
        <f>TRUNC(E1394*F1395,2)</f>
        <v>3.15</v>
      </c>
      <c r="H1395" s="695"/>
    </row>
    <row r="1396" spans="1:8" s="424" customFormat="1" ht="18" customHeight="1">
      <c r="A1396" s="695"/>
      <c r="B1396" s="695"/>
      <c r="C1396" s="695"/>
      <c r="D1396" s="695"/>
      <c r="E1396" s="695"/>
      <c r="F1396" s="730" t="s">
        <v>103</v>
      </c>
      <c r="G1396" s="733">
        <f>G1392+G1394</f>
        <v>13.93</v>
      </c>
      <c r="H1396" s="695"/>
    </row>
    <row r="1397" spans="1:8" s="424" customFormat="1" ht="18" customHeight="1">
      <c r="A1397" s="695"/>
      <c r="B1397" s="695"/>
      <c r="C1397" s="695"/>
      <c r="D1397" s="695"/>
      <c r="E1397" s="695"/>
      <c r="F1397" s="730" t="s">
        <v>105</v>
      </c>
      <c r="G1397" s="733">
        <f>G1391+G1393+G1395</f>
        <v>79.580000000000013</v>
      </c>
      <c r="H1397" s="695"/>
    </row>
    <row r="1398" spans="1:8" s="424" customFormat="1" ht="18" customHeight="1">
      <c r="A1398" s="582" t="s">
        <v>107</v>
      </c>
      <c r="B1398" s="696"/>
      <c r="C1398" s="695"/>
      <c r="D1398" s="695"/>
      <c r="E1398" s="695"/>
      <c r="F1398" s="730" t="s">
        <v>106</v>
      </c>
      <c r="G1398" s="738">
        <f>SUM(G1396:G1397)</f>
        <v>93.510000000000019</v>
      </c>
      <c r="H1398" s="695"/>
    </row>
    <row r="1399" spans="1:8" s="424" customFormat="1" ht="18" customHeight="1">
      <c r="A1399" s="515" t="s">
        <v>108</v>
      </c>
      <c r="B1399" s="548">
        <f>G1398</f>
        <v>93.510000000000019</v>
      </c>
      <c r="C1399" s="695"/>
      <c r="D1399" s="695"/>
      <c r="E1399" s="695"/>
      <c r="F1399" s="695"/>
      <c r="G1399" s="695"/>
      <c r="H1399" s="695"/>
    </row>
    <row r="1400" spans="1:8" s="424" customFormat="1" ht="18" customHeight="1">
      <c r="A1400" s="542" t="s">
        <v>2654</v>
      </c>
      <c r="B1400" s="541"/>
      <c r="C1400" s="695"/>
      <c r="D1400" s="695"/>
      <c r="E1400" s="695"/>
      <c r="F1400" s="695"/>
      <c r="G1400" s="695"/>
      <c r="H1400" s="695"/>
    </row>
    <row r="1401" spans="1:8" s="424" customFormat="1" ht="18" customHeight="1">
      <c r="A1401" s="622" t="s">
        <v>2714</v>
      </c>
      <c r="B1401" s="541">
        <f>(B1399+B1400)*0.245</f>
        <v>22.909950000000006</v>
      </c>
      <c r="C1401" s="695"/>
      <c r="D1401" s="695"/>
      <c r="E1401" s="695"/>
      <c r="F1401" s="695"/>
      <c r="G1401" s="695"/>
      <c r="H1401" s="695"/>
    </row>
    <row r="1402" spans="1:8" s="424" customFormat="1" ht="18" customHeight="1">
      <c r="A1402" s="515" t="s">
        <v>111</v>
      </c>
      <c r="B1402" s="549">
        <f>SUM(B1399:B1401)</f>
        <v>116.41995000000003</v>
      </c>
      <c r="C1402" s="695"/>
      <c r="D1402" s="695"/>
      <c r="E1402" s="695"/>
      <c r="F1402" s="695"/>
      <c r="G1402" s="695"/>
      <c r="H1402" s="695"/>
    </row>
    <row r="1403" spans="1:8" s="424" customFormat="1">
      <c r="A1403" s="516"/>
      <c r="B1403" s="517"/>
      <c r="C1403" s="518"/>
      <c r="D1403" s="516"/>
      <c r="E1403" s="517"/>
      <c r="F1403" s="517"/>
      <c r="G1403" s="517"/>
      <c r="H1403" s="516"/>
    </row>
    <row r="1404" spans="1:8" s="424" customFormat="1">
      <c r="B1404" s="421"/>
      <c r="C1404" s="423"/>
      <c r="E1404" s="421"/>
      <c r="F1404" s="421"/>
      <c r="G1404" s="421"/>
    </row>
    <row r="1405" spans="1:8" s="424" customFormat="1" ht="15" customHeight="1">
      <c r="A1405" s="170" t="s">
        <v>1258</v>
      </c>
      <c r="B1405" s="421"/>
      <c r="C1405" s="423"/>
      <c r="E1405" s="421"/>
      <c r="F1405" s="421"/>
      <c r="G1405" s="421"/>
    </row>
    <row r="1406" spans="1:8" s="424" customFormat="1" ht="16.5" customHeight="1">
      <c r="A1406" s="535" t="s">
        <v>1776</v>
      </c>
      <c r="B1406" s="533"/>
      <c r="C1406" s="533"/>
      <c r="D1406" s="533"/>
      <c r="E1406" s="533"/>
      <c r="F1406" s="533"/>
      <c r="G1406" s="533"/>
      <c r="H1406" s="533"/>
    </row>
    <row r="1407" spans="1:8" s="424" customFormat="1" ht="29.25" customHeight="1">
      <c r="A1407" s="535" t="s">
        <v>1640</v>
      </c>
      <c r="B1407" s="1572" t="s">
        <v>1777</v>
      </c>
      <c r="C1407" s="1572"/>
      <c r="D1407" s="1572"/>
      <c r="E1407" s="735" t="s">
        <v>1538</v>
      </c>
      <c r="F1407" s="533"/>
      <c r="G1407" s="533"/>
      <c r="H1407" s="533"/>
    </row>
    <row r="1408" spans="1:8" s="424" customFormat="1" ht="25.5" customHeight="1">
      <c r="A1408" s="711" t="s">
        <v>30</v>
      </c>
      <c r="B1408" s="507" t="s">
        <v>19</v>
      </c>
      <c r="C1408" s="430" t="s">
        <v>92</v>
      </c>
      <c r="D1408" s="690" t="s">
        <v>88</v>
      </c>
      <c r="E1408" s="690" t="s">
        <v>93</v>
      </c>
      <c r="F1408" s="432" t="s">
        <v>94</v>
      </c>
      <c r="G1408" s="508" t="s">
        <v>95</v>
      </c>
      <c r="H1408" s="170"/>
    </row>
    <row r="1409" spans="1:8" s="424" customFormat="1" ht="24" customHeight="1">
      <c r="A1409" s="532" t="s">
        <v>1778</v>
      </c>
      <c r="B1409" s="731" t="s">
        <v>1779</v>
      </c>
      <c r="C1409" s="528" t="s">
        <v>99</v>
      </c>
      <c r="D1409" s="528" t="s">
        <v>408</v>
      </c>
      <c r="E1409" s="537">
        <v>1</v>
      </c>
      <c r="F1409" s="732">
        <v>50.02</v>
      </c>
      <c r="G1409" s="606">
        <f>TRUNC(E1409*F1409,2)</f>
        <v>50.02</v>
      </c>
      <c r="H1409" s="227"/>
    </row>
    <row r="1410" spans="1:8" s="424" customFormat="1" ht="15" customHeight="1">
      <c r="A1410" s="1509">
        <v>88247</v>
      </c>
      <c r="B1410" s="1507" t="s">
        <v>1068</v>
      </c>
      <c r="C1410" s="528" t="s">
        <v>117</v>
      </c>
      <c r="D1410" s="1485" t="s">
        <v>410</v>
      </c>
      <c r="E1410" s="1547">
        <v>0.18329999999999999</v>
      </c>
      <c r="F1410" s="732">
        <f>'COMP AUX'!G287</f>
        <v>10.98</v>
      </c>
      <c r="G1410" s="733">
        <f>TRUNC(E1410*F1410,2)</f>
        <v>2.0099999999999998</v>
      </c>
      <c r="H1410" s="695"/>
    </row>
    <row r="1411" spans="1:8" s="424" customFormat="1" ht="15" customHeight="1">
      <c r="A1411" s="1467"/>
      <c r="B1411" s="1466"/>
      <c r="C1411" s="528" t="s">
        <v>99</v>
      </c>
      <c r="D1411" s="1486"/>
      <c r="E1411" s="1548"/>
      <c r="F1411" s="732">
        <f>'COMP AUX'!G288</f>
        <v>4.5600000000000005</v>
      </c>
      <c r="G1411" s="733">
        <f>TRUNC(E1410*F1411,2)</f>
        <v>0.83</v>
      </c>
      <c r="H1411" s="227"/>
    </row>
    <row r="1412" spans="1:8" s="424" customFormat="1" ht="15" customHeight="1">
      <c r="A1412" s="1509">
        <v>88264</v>
      </c>
      <c r="B1412" s="1507" t="s">
        <v>306</v>
      </c>
      <c r="C1412" s="528" t="s">
        <v>117</v>
      </c>
      <c r="D1412" s="1485" t="s">
        <v>410</v>
      </c>
      <c r="E1412" s="1547">
        <v>0.45179999999999998</v>
      </c>
      <c r="F1412" s="732">
        <f>'COMP AUX'!G253</f>
        <v>15.639999999999999</v>
      </c>
      <c r="G1412" s="733">
        <f>TRUNC(E1412*F1412,2)</f>
        <v>7.06</v>
      </c>
      <c r="H1412" s="695"/>
    </row>
    <row r="1413" spans="1:8" s="424" customFormat="1" ht="15" customHeight="1">
      <c r="A1413" s="1510"/>
      <c r="B1413" s="1508"/>
      <c r="C1413" s="528" t="s">
        <v>99</v>
      </c>
      <c r="D1413" s="1486"/>
      <c r="E1413" s="1548"/>
      <c r="F1413" s="732">
        <f>'COMP AUX'!G254</f>
        <v>4.5600000000000005</v>
      </c>
      <c r="G1413" s="733">
        <f>TRUNC(E1412*F1413,2)</f>
        <v>2.06</v>
      </c>
      <c r="H1413" s="227"/>
    </row>
    <row r="1414" spans="1:8" s="424" customFormat="1" ht="15" customHeight="1">
      <c r="A1414" s="227"/>
      <c r="B1414" s="227"/>
      <c r="C1414" s="227"/>
      <c r="D1414" s="227"/>
      <c r="E1414" s="227"/>
      <c r="F1414" s="730" t="s">
        <v>103</v>
      </c>
      <c r="G1414" s="733">
        <f>G1410+G1412</f>
        <v>9.07</v>
      </c>
      <c r="H1414" s="227"/>
    </row>
    <row r="1415" spans="1:8" s="424" customFormat="1" ht="15" customHeight="1">
      <c r="A1415" s="227"/>
      <c r="B1415" s="227"/>
      <c r="C1415" s="227"/>
      <c r="D1415" s="227"/>
      <c r="E1415" s="227"/>
      <c r="F1415" s="730" t="s">
        <v>105</v>
      </c>
      <c r="G1415" s="733">
        <f>G1409+G1411+G1413</f>
        <v>52.910000000000004</v>
      </c>
      <c r="H1415" s="227"/>
    </row>
    <row r="1416" spans="1:8" s="424" customFormat="1" ht="15" customHeight="1">
      <c r="A1416" s="582" t="s">
        <v>107</v>
      </c>
      <c r="B1416" s="696"/>
      <c r="C1416" s="227"/>
      <c r="D1416" s="227"/>
      <c r="E1416" s="227"/>
      <c r="F1416" s="730" t="s">
        <v>106</v>
      </c>
      <c r="G1416" s="734">
        <f>SUM(G1414:G1415)</f>
        <v>61.980000000000004</v>
      </c>
      <c r="H1416" s="227"/>
    </row>
    <row r="1417" spans="1:8" s="424" customFormat="1" ht="15" customHeight="1">
      <c r="A1417" s="515" t="s">
        <v>108</v>
      </c>
      <c r="B1417" s="548">
        <f>G1416</f>
        <v>61.980000000000004</v>
      </c>
      <c r="C1417" s="227"/>
      <c r="D1417" s="227"/>
      <c r="E1417" s="227"/>
      <c r="F1417" s="227"/>
      <c r="G1417" s="227"/>
      <c r="H1417" s="227"/>
    </row>
    <row r="1418" spans="1:8" s="424" customFormat="1" ht="15" customHeight="1">
      <c r="A1418" s="542" t="s">
        <v>2654</v>
      </c>
      <c r="B1418" s="541"/>
      <c r="C1418" s="227"/>
      <c r="D1418" s="227"/>
      <c r="E1418" s="227"/>
      <c r="F1418" s="227"/>
      <c r="G1418" s="227"/>
      <c r="H1418" s="227"/>
    </row>
    <row r="1419" spans="1:8" s="424" customFormat="1" ht="15" customHeight="1">
      <c r="A1419" s="622" t="s">
        <v>2714</v>
      </c>
      <c r="B1419" s="541">
        <f>(B1417+B1418)*0.245</f>
        <v>15.1851</v>
      </c>
      <c r="C1419" s="227"/>
      <c r="D1419" s="227"/>
      <c r="E1419" s="227"/>
      <c r="F1419" s="227"/>
      <c r="G1419" s="227"/>
      <c r="H1419" s="227"/>
    </row>
    <row r="1420" spans="1:8" s="424" customFormat="1" ht="15" customHeight="1">
      <c r="A1420" s="515" t="s">
        <v>111</v>
      </c>
      <c r="B1420" s="549">
        <f>SUM(B1417:B1419)</f>
        <v>77.16510000000001</v>
      </c>
      <c r="C1420" s="227"/>
      <c r="D1420" s="227"/>
      <c r="E1420" s="227"/>
      <c r="F1420" s="227"/>
      <c r="G1420" s="227"/>
      <c r="H1420" s="736"/>
    </row>
    <row r="1421" spans="1:8" s="424" customFormat="1">
      <c r="A1421" s="516"/>
      <c r="B1421" s="517"/>
      <c r="C1421" s="518"/>
      <c r="D1421" s="516"/>
      <c r="E1421" s="517"/>
      <c r="F1421" s="517"/>
      <c r="G1421" s="517"/>
      <c r="H1421" s="516"/>
    </row>
    <row r="1422" spans="1:8" s="424" customFormat="1">
      <c r="B1422" s="421"/>
      <c r="C1422" s="423"/>
      <c r="E1422" s="421"/>
      <c r="F1422" s="421"/>
      <c r="G1422" s="421"/>
    </row>
    <row r="1423" spans="1:8" s="424" customFormat="1">
      <c r="A1423" s="170" t="s">
        <v>1258</v>
      </c>
      <c r="B1423" s="421"/>
      <c r="C1423" s="423"/>
      <c r="E1423" s="421"/>
      <c r="F1423" s="421"/>
      <c r="G1423" s="421"/>
    </row>
    <row r="1424" spans="1:8" s="424" customFormat="1">
      <c r="A1424" s="554" t="s">
        <v>2652</v>
      </c>
      <c r="B1424" s="555"/>
      <c r="C1424" s="555"/>
      <c r="D1424" s="555"/>
      <c r="E1424" s="555"/>
      <c r="F1424" s="555"/>
      <c r="G1424" s="555"/>
      <c r="H1424" s="555"/>
    </row>
    <row r="1425" spans="1:8" s="424" customFormat="1" ht="18.75" customHeight="1">
      <c r="A1425" s="1014" t="s">
        <v>1640</v>
      </c>
      <c r="B1425" s="592" t="s">
        <v>2653</v>
      </c>
      <c r="C1425" s="1047" t="s">
        <v>418</v>
      </c>
      <c r="D1425" s="555"/>
      <c r="E1425" s="555"/>
      <c r="F1425" s="555"/>
      <c r="G1425" s="555"/>
      <c r="H1425" s="555"/>
    </row>
    <row r="1426" spans="1:8" s="424" customFormat="1" ht="22.5">
      <c r="A1426" s="1003" t="s">
        <v>30</v>
      </c>
      <c r="B1426" s="507" t="s">
        <v>19</v>
      </c>
      <c r="C1426" s="430" t="s">
        <v>92</v>
      </c>
      <c r="D1426" s="1005" t="s">
        <v>88</v>
      </c>
      <c r="E1426" s="1005" t="s">
        <v>93</v>
      </c>
      <c r="F1426" s="432" t="s">
        <v>94</v>
      </c>
      <c r="G1426" s="508" t="s">
        <v>95</v>
      </c>
      <c r="H1426" s="239"/>
    </row>
    <row r="1427" spans="1:8" s="424" customFormat="1" ht="14.1" customHeight="1">
      <c r="A1427" s="1048" t="s">
        <v>1127</v>
      </c>
      <c r="B1427" s="1049" t="s">
        <v>468</v>
      </c>
      <c r="C1427" s="1050" t="s">
        <v>99</v>
      </c>
      <c r="D1427" s="1050" t="s">
        <v>418</v>
      </c>
      <c r="E1427" s="1050" t="s">
        <v>453</v>
      </c>
      <c r="F1427" s="1050">
        <v>23.89</v>
      </c>
      <c r="G1427" s="623">
        <f>TRUNC(E1427*F1427,2)</f>
        <v>24.36</v>
      </c>
      <c r="H1427" s="239"/>
    </row>
    <row r="1428" spans="1:8" s="424" customFormat="1" ht="14.1" customHeight="1">
      <c r="A1428" s="1459">
        <v>88247</v>
      </c>
      <c r="B1428" s="1525" t="s">
        <v>1068</v>
      </c>
      <c r="C1428" s="1050" t="s">
        <v>117</v>
      </c>
      <c r="D1428" s="1461" t="s">
        <v>410</v>
      </c>
      <c r="E1428" s="1461" t="s">
        <v>1128</v>
      </c>
      <c r="F1428" s="1051">
        <f>'COMP AUX'!G287</f>
        <v>10.98</v>
      </c>
      <c r="G1428" s="623">
        <f>TRUNC(E1428*F1428,2)</f>
        <v>3.4</v>
      </c>
      <c r="H1428" s="1015"/>
    </row>
    <row r="1429" spans="1:8" s="424" customFormat="1" ht="14.1" customHeight="1">
      <c r="A1429" s="1467"/>
      <c r="B1429" s="1502"/>
      <c r="C1429" s="1050" t="s">
        <v>99</v>
      </c>
      <c r="D1429" s="1462"/>
      <c r="E1429" s="1462"/>
      <c r="F1429" s="1051">
        <f>'COMP AUX'!G288</f>
        <v>4.5600000000000005</v>
      </c>
      <c r="G1429" s="623">
        <f>TRUNC(E1428*F1429,2)</f>
        <v>1.41</v>
      </c>
      <c r="H1429" s="239"/>
    </row>
    <row r="1430" spans="1:8" s="424" customFormat="1" ht="14.1" customHeight="1">
      <c r="A1430" s="1459">
        <v>88264</v>
      </c>
      <c r="B1430" s="1525" t="s">
        <v>306</v>
      </c>
      <c r="C1430" s="1050" t="s">
        <v>117</v>
      </c>
      <c r="D1430" s="1461" t="s">
        <v>410</v>
      </c>
      <c r="E1430" s="1461" t="s">
        <v>1128</v>
      </c>
      <c r="F1430" s="1051">
        <f>'COMP AUX'!G253</f>
        <v>15.639999999999999</v>
      </c>
      <c r="G1430" s="623">
        <f>TRUNC(E1430*F1430,2)</f>
        <v>4.84</v>
      </c>
      <c r="H1430" s="1015"/>
    </row>
    <row r="1431" spans="1:8" s="424" customFormat="1" ht="14.1" customHeight="1">
      <c r="A1431" s="1467"/>
      <c r="B1431" s="1526"/>
      <c r="C1431" s="1050" t="s">
        <v>99</v>
      </c>
      <c r="D1431" s="1462"/>
      <c r="E1431" s="1478"/>
      <c r="F1431" s="1051">
        <f>'COMP AUX'!G254</f>
        <v>4.5600000000000005</v>
      </c>
      <c r="G1431" s="623">
        <f>TRUNC(E1430*F1431,2)</f>
        <v>1.41</v>
      </c>
      <c r="H1431" s="239"/>
    </row>
    <row r="1432" spans="1:8" s="424" customFormat="1" ht="14.1" customHeight="1">
      <c r="A1432" s="239"/>
      <c r="B1432" s="239"/>
      <c r="C1432" s="239"/>
      <c r="D1432" s="239"/>
      <c r="E1432" s="1053"/>
      <c r="F1432" s="626" t="s">
        <v>103</v>
      </c>
      <c r="G1432" s="623">
        <f>G1428+G1430</f>
        <v>8.24</v>
      </c>
      <c r="H1432" s="239"/>
    </row>
    <row r="1433" spans="1:8" s="424" customFormat="1" ht="14.1" customHeight="1">
      <c r="A1433" s="239"/>
      <c r="B1433" s="239"/>
      <c r="C1433" s="239"/>
      <c r="D1433" s="239"/>
      <c r="E1433" s="1054"/>
      <c r="F1433" s="626" t="s">
        <v>105</v>
      </c>
      <c r="G1433" s="623">
        <f>G1427+G1429+G1431</f>
        <v>27.18</v>
      </c>
      <c r="H1433" s="239"/>
    </row>
    <row r="1434" spans="1:8" s="424" customFormat="1" ht="14.1" customHeight="1">
      <c r="A1434" s="582" t="s">
        <v>107</v>
      </c>
      <c r="B1434" s="239"/>
      <c r="C1434" s="239"/>
      <c r="D1434" s="239"/>
      <c r="E1434" s="1054"/>
      <c r="F1434" s="626" t="s">
        <v>106</v>
      </c>
      <c r="G1434" s="1052">
        <f>SUM(G1432:G1433)</f>
        <v>35.42</v>
      </c>
      <c r="H1434" s="239"/>
    </row>
    <row r="1435" spans="1:8" s="424" customFormat="1" ht="14.1" customHeight="1">
      <c r="A1435" s="515" t="s">
        <v>108</v>
      </c>
      <c r="B1435" s="197">
        <f>G1434</f>
        <v>35.42</v>
      </c>
      <c r="C1435" s="239"/>
      <c r="D1435" s="239"/>
      <c r="E1435" s="239"/>
      <c r="F1435" s="239"/>
      <c r="G1435" s="239"/>
      <c r="H1435" s="239"/>
    </row>
    <row r="1436" spans="1:8" s="424" customFormat="1" ht="14.1" customHeight="1">
      <c r="A1436" s="542" t="s">
        <v>2654</v>
      </c>
      <c r="B1436" s="541"/>
      <c r="C1436" s="239"/>
      <c r="D1436" s="239"/>
      <c r="E1436" s="239"/>
      <c r="F1436" s="239"/>
      <c r="G1436" s="239"/>
      <c r="H1436" s="239"/>
    </row>
    <row r="1437" spans="1:8" s="424" customFormat="1" ht="14.1" customHeight="1">
      <c r="A1437" s="622" t="s">
        <v>2714</v>
      </c>
      <c r="B1437" s="541">
        <f>(B1435+B1436)*0.245</f>
        <v>8.6779000000000011</v>
      </c>
      <c r="C1437" s="239"/>
      <c r="D1437" s="239"/>
      <c r="E1437" s="239"/>
      <c r="F1437" s="239"/>
      <c r="G1437" s="239"/>
      <c r="H1437" s="239"/>
    </row>
    <row r="1438" spans="1:8" s="424" customFormat="1" ht="14.1" customHeight="1">
      <c r="A1438" s="515" t="s">
        <v>111</v>
      </c>
      <c r="B1438" s="1055">
        <f>SUM(B1435:B1437)</f>
        <v>44.097900000000003</v>
      </c>
      <c r="C1438" s="239"/>
      <c r="D1438" s="239"/>
      <c r="E1438" s="239"/>
      <c r="F1438" s="239"/>
      <c r="G1438" s="239"/>
      <c r="H1438" s="577"/>
    </row>
    <row r="1439" spans="1:8" s="424" customFormat="1" ht="14.1" customHeight="1">
      <c r="A1439" s="516"/>
      <c r="B1439" s="517"/>
      <c r="C1439" s="518"/>
      <c r="D1439" s="516"/>
      <c r="E1439" s="517"/>
      <c r="F1439" s="517"/>
      <c r="G1439" s="517"/>
      <c r="H1439" s="516"/>
    </row>
    <row r="1440" spans="1:8" s="424" customFormat="1">
      <c r="B1440" s="421"/>
      <c r="C1440" s="423"/>
      <c r="E1440" s="421"/>
      <c r="F1440" s="421"/>
      <c r="G1440" s="421"/>
    </row>
    <row r="1441" spans="1:8" s="424" customFormat="1" ht="14.25" customHeight="1">
      <c r="A1441" s="170" t="s">
        <v>1369</v>
      </c>
      <c r="B1441" s="421"/>
      <c r="C1441" s="423"/>
      <c r="E1441" s="421"/>
      <c r="F1441" s="421"/>
      <c r="G1441" s="421"/>
    </row>
    <row r="1442" spans="1:8" ht="15" customHeight="1">
      <c r="A1442" s="697" t="s">
        <v>1756</v>
      </c>
      <c r="B1442" s="587"/>
      <c r="C1442" s="587"/>
      <c r="D1442" s="587"/>
      <c r="E1442" s="587"/>
      <c r="F1442" s="587"/>
      <c r="G1442" s="587"/>
      <c r="H1442" s="587"/>
    </row>
    <row r="1443" spans="1:8" ht="39.75" customHeight="1">
      <c r="A1443" s="707" t="s">
        <v>1649</v>
      </c>
      <c r="B1443" s="1465" t="s">
        <v>1755</v>
      </c>
      <c r="C1443" s="1465"/>
      <c r="D1443" s="1465"/>
      <c r="E1443" s="1465"/>
      <c r="F1443" s="590" t="s">
        <v>1538</v>
      </c>
      <c r="G1443" s="587"/>
      <c r="H1443" s="587"/>
    </row>
    <row r="1444" spans="1:8" ht="27.75" customHeight="1">
      <c r="A1444" s="502" t="s">
        <v>30</v>
      </c>
      <c r="B1444" s="507" t="s">
        <v>19</v>
      </c>
      <c r="C1444" s="430" t="s">
        <v>92</v>
      </c>
      <c r="D1444" s="612" t="s">
        <v>88</v>
      </c>
      <c r="E1444" s="612" t="s">
        <v>93</v>
      </c>
      <c r="F1444" s="432" t="s">
        <v>94</v>
      </c>
      <c r="G1444" s="508" t="s">
        <v>95</v>
      </c>
    </row>
    <row r="1445" spans="1:8" ht="18" customHeight="1">
      <c r="A1445" s="1444">
        <v>89356</v>
      </c>
      <c r="B1445" s="1446" t="s">
        <v>1786</v>
      </c>
      <c r="C1445" s="430" t="s">
        <v>117</v>
      </c>
      <c r="D1445" s="1432" t="s">
        <v>4</v>
      </c>
      <c r="E1445" s="1491">
        <v>2.14</v>
      </c>
      <c r="F1445" s="501">
        <f>'COMP AUX'!G1820</f>
        <v>8.09</v>
      </c>
      <c r="G1445" s="508">
        <f>TRUNC(E1445*F1445,2)</f>
        <v>17.309999999999999</v>
      </c>
    </row>
    <row r="1446" spans="1:8" ht="18" customHeight="1">
      <c r="A1446" s="1445"/>
      <c r="B1446" s="1447"/>
      <c r="C1446" s="613" t="s">
        <v>99</v>
      </c>
      <c r="D1446" s="1433"/>
      <c r="E1446" s="1492"/>
      <c r="F1446" s="584">
        <f>'COMP AUX'!G1821</f>
        <v>6.0400000000000009</v>
      </c>
      <c r="G1446" s="620">
        <f>TRUNC(E1445*F1446,2)</f>
        <v>12.92</v>
      </c>
      <c r="H1446" s="195"/>
    </row>
    <row r="1447" spans="1:8" ht="18" customHeight="1">
      <c r="A1447" s="1444">
        <v>89362</v>
      </c>
      <c r="B1447" s="1446" t="s">
        <v>1787</v>
      </c>
      <c r="C1447" s="430" t="s">
        <v>117</v>
      </c>
      <c r="D1447" s="1432" t="s">
        <v>5</v>
      </c>
      <c r="E1447" s="1491">
        <v>1.18</v>
      </c>
      <c r="F1447" s="584">
        <f>'COMP AUX'!G1837</f>
        <v>3.94</v>
      </c>
      <c r="G1447" s="583">
        <f>TRUNC(E1447*F1447,2)</f>
        <v>4.6399999999999997</v>
      </c>
      <c r="H1447" s="694"/>
    </row>
    <row r="1448" spans="1:8" ht="18" customHeight="1">
      <c r="A1448" s="1445"/>
      <c r="B1448" s="1447"/>
      <c r="C1448" s="699" t="s">
        <v>99</v>
      </c>
      <c r="D1448" s="1433"/>
      <c r="E1448" s="1492"/>
      <c r="F1448" s="584">
        <f>'COMP AUX'!G1838</f>
        <v>2.7100000000000004</v>
      </c>
      <c r="G1448" s="620">
        <f>TRUNC(E1447*F1448,2)</f>
        <v>3.19</v>
      </c>
      <c r="H1448" s="195"/>
    </row>
    <row r="1449" spans="1:8" ht="18" customHeight="1">
      <c r="A1449" s="1444">
        <v>89366</v>
      </c>
      <c r="B1449" s="1446" t="s">
        <v>1788</v>
      </c>
      <c r="C1449" s="699" t="s">
        <v>117</v>
      </c>
      <c r="D1449" s="1432" t="s">
        <v>5</v>
      </c>
      <c r="E1449" s="1491">
        <v>1</v>
      </c>
      <c r="F1449" s="584">
        <f>'COMP AUX'!G1854</f>
        <v>3.94</v>
      </c>
      <c r="G1449" s="583">
        <f>TRUNC(E1449*F1449,2)</f>
        <v>3.94</v>
      </c>
      <c r="H1449" s="694"/>
    </row>
    <row r="1450" spans="1:8" ht="18" customHeight="1">
      <c r="A1450" s="1445"/>
      <c r="B1450" s="1447"/>
      <c r="C1450" s="613" t="s">
        <v>99</v>
      </c>
      <c r="D1450" s="1433"/>
      <c r="E1450" s="1492"/>
      <c r="F1450" s="584">
        <f>'COMP AUX'!G1855</f>
        <v>2.7100000000000004</v>
      </c>
      <c r="G1450" s="583">
        <f>TRUNC(E1449*F1450,2)</f>
        <v>2.71</v>
      </c>
      <c r="H1450" s="195"/>
    </row>
    <row r="1451" spans="1:8" ht="18" customHeight="1">
      <c r="A1451" s="1444">
        <v>89395</v>
      </c>
      <c r="B1451" s="1446" t="s">
        <v>1789</v>
      </c>
      <c r="C1451" s="699" t="s">
        <v>117</v>
      </c>
      <c r="D1451" s="1432" t="s">
        <v>5</v>
      </c>
      <c r="E1451" s="1491">
        <v>0.89</v>
      </c>
      <c r="F1451" s="584">
        <f>'COMP AUX'!G1871</f>
        <v>6.16</v>
      </c>
      <c r="G1451" s="583">
        <f>TRUNC(E1451*F1451,2)</f>
        <v>5.48</v>
      </c>
      <c r="H1451" s="694"/>
    </row>
    <row r="1452" spans="1:8" ht="18" customHeight="1">
      <c r="A1452" s="1445"/>
      <c r="B1452" s="1447"/>
      <c r="C1452" s="613" t="s">
        <v>99</v>
      </c>
      <c r="D1452" s="1433"/>
      <c r="E1452" s="1492"/>
      <c r="F1452" s="584">
        <f>'COMP AUX'!G1872</f>
        <v>3.9700000000000006</v>
      </c>
      <c r="G1452" s="620">
        <f>TRUNC(E1451*F1452,2)</f>
        <v>3.53</v>
      </c>
      <c r="H1452" s="195"/>
    </row>
    <row r="1453" spans="1:8" ht="18" customHeight="1">
      <c r="A1453" s="1444">
        <v>90443</v>
      </c>
      <c r="B1453" s="1446" t="s">
        <v>1790</v>
      </c>
      <c r="C1453" s="699" t="s">
        <v>117</v>
      </c>
      <c r="D1453" s="1432" t="s">
        <v>4</v>
      </c>
      <c r="E1453" s="1491">
        <v>2.14</v>
      </c>
      <c r="F1453" s="584">
        <f>'COMP AUX'!G1484</f>
        <v>7.67</v>
      </c>
      <c r="G1453" s="583">
        <f>TRUNC(E1453*F1453,2)</f>
        <v>16.41</v>
      </c>
      <c r="H1453" s="694"/>
    </row>
    <row r="1454" spans="1:8" ht="18" customHeight="1">
      <c r="A1454" s="1445"/>
      <c r="B1454" s="1447"/>
      <c r="C1454" s="613" t="s">
        <v>99</v>
      </c>
      <c r="D1454" s="1433"/>
      <c r="E1454" s="1492"/>
      <c r="F1454" s="584">
        <f>'COMP AUX'!G1485</f>
        <v>2.35</v>
      </c>
      <c r="G1454" s="620">
        <f>TRUNC(E1453*F1454,2)</f>
        <v>5.0199999999999996</v>
      </c>
      <c r="H1454" s="195"/>
    </row>
    <row r="1455" spans="1:8" ht="18" customHeight="1">
      <c r="A1455" s="1444">
        <v>90466</v>
      </c>
      <c r="B1455" s="1446" t="s">
        <v>1615</v>
      </c>
      <c r="C1455" s="699" t="s">
        <v>117</v>
      </c>
      <c r="D1455" s="1432" t="s">
        <v>4</v>
      </c>
      <c r="E1455" s="1491">
        <v>2.14</v>
      </c>
      <c r="F1455" s="584">
        <f>'COMP AUX'!G1525</f>
        <v>6.89</v>
      </c>
      <c r="G1455" s="583">
        <f>TRUNC(E1455*F1455,2)</f>
        <v>14.74</v>
      </c>
      <c r="H1455" s="694"/>
    </row>
    <row r="1456" spans="1:8" ht="18" customHeight="1">
      <c r="A1456" s="1445"/>
      <c r="B1456" s="1447"/>
      <c r="C1456" s="613" t="s">
        <v>99</v>
      </c>
      <c r="D1456" s="1433"/>
      <c r="E1456" s="1492"/>
      <c r="F1456" s="584">
        <f>'COMP AUX'!G1526</f>
        <v>2.9800000000000004</v>
      </c>
      <c r="G1456" s="620">
        <f>TRUNC(E1455*F1456,2)</f>
        <v>6.37</v>
      </c>
      <c r="H1456" s="195"/>
    </row>
    <row r="1457" spans="1:8" ht="15.95" customHeight="1">
      <c r="A1457" s="195"/>
      <c r="B1457" s="195"/>
      <c r="C1457" s="195"/>
      <c r="D1457" s="195"/>
      <c r="E1457" s="195"/>
      <c r="F1457" s="585" t="s">
        <v>103</v>
      </c>
      <c r="G1457" s="583">
        <f>G1445+G1447+G1449+G1451+G1453+G1455</f>
        <v>62.52</v>
      </c>
      <c r="H1457" s="195"/>
    </row>
    <row r="1458" spans="1:8" ht="15.95" customHeight="1">
      <c r="A1458" s="195"/>
      <c r="B1458" s="195"/>
      <c r="C1458" s="195"/>
      <c r="D1458" s="195"/>
      <c r="E1458" s="195"/>
      <c r="F1458" s="585" t="s">
        <v>105</v>
      </c>
      <c r="G1458" s="583">
        <f>G1446+G1448+G1450+G1452+G1454+G1456</f>
        <v>33.74</v>
      </c>
      <c r="H1458" s="195"/>
    </row>
    <row r="1459" spans="1:8" ht="15.95" customHeight="1">
      <c r="A1459" s="582" t="s">
        <v>107</v>
      </c>
      <c r="B1459" s="609"/>
      <c r="C1459" s="195"/>
      <c r="D1459" s="195"/>
      <c r="E1459" s="195"/>
      <c r="F1459" s="585" t="s">
        <v>106</v>
      </c>
      <c r="G1459" s="586">
        <f>SUM(G1457:G1458)</f>
        <v>96.26</v>
      </c>
      <c r="H1459" s="195"/>
    </row>
    <row r="1460" spans="1:8" ht="15.95" customHeight="1">
      <c r="A1460" s="515" t="s">
        <v>108</v>
      </c>
      <c r="B1460" s="548">
        <f>G1459</f>
        <v>96.26</v>
      </c>
      <c r="C1460" s="195"/>
      <c r="D1460" s="195"/>
      <c r="E1460" s="195"/>
      <c r="F1460" s="191"/>
      <c r="G1460" s="191"/>
      <c r="H1460" s="195"/>
    </row>
    <row r="1461" spans="1:8" ht="15.95" customHeight="1">
      <c r="A1461" s="542" t="s">
        <v>2654</v>
      </c>
      <c r="B1461" s="541"/>
      <c r="C1461" s="195"/>
      <c r="D1461" s="195"/>
      <c r="E1461" s="195"/>
      <c r="F1461" s="191"/>
      <c r="G1461" s="191"/>
      <c r="H1461" s="195"/>
    </row>
    <row r="1462" spans="1:8" ht="15.95" customHeight="1">
      <c r="A1462" s="622" t="s">
        <v>2714</v>
      </c>
      <c r="B1462" s="541">
        <f>(B1460+B1461)*0.245</f>
        <v>23.5837</v>
      </c>
      <c r="C1462" s="195"/>
      <c r="D1462" s="195"/>
      <c r="E1462" s="195"/>
      <c r="F1462" s="191"/>
      <c r="G1462" s="191"/>
      <c r="H1462" s="195"/>
    </row>
    <row r="1463" spans="1:8" ht="15.95" customHeight="1">
      <c r="A1463" s="515" t="s">
        <v>111</v>
      </c>
      <c r="B1463" s="549">
        <f>SUM(B1460:B1462)</f>
        <v>119.84370000000001</v>
      </c>
      <c r="C1463" s="195"/>
      <c r="D1463" s="195"/>
      <c r="E1463" s="195"/>
      <c r="F1463" s="191"/>
      <c r="G1463" s="191"/>
      <c r="H1463" s="195"/>
    </row>
    <row r="1464" spans="1:8">
      <c r="A1464" s="516"/>
      <c r="B1464" s="517"/>
      <c r="C1464" s="518"/>
      <c r="D1464" s="516"/>
      <c r="E1464" s="517"/>
      <c r="F1464" s="517"/>
      <c r="G1464" s="517"/>
      <c r="H1464" s="516"/>
    </row>
    <row r="1466" spans="1:8">
      <c r="A1466" s="170" t="s">
        <v>1369</v>
      </c>
    </row>
    <row r="1467" spans="1:8">
      <c r="A1467" s="1522" t="s">
        <v>183</v>
      </c>
      <c r="B1467" s="1523"/>
      <c r="C1467" s="1523"/>
      <c r="D1467" s="1523"/>
      <c r="E1467" s="1523"/>
      <c r="F1467" s="1523"/>
      <c r="G1467" s="1523"/>
      <c r="H1467" s="1523"/>
    </row>
    <row r="1468" spans="1:8" ht="53.25" customHeight="1">
      <c r="A1468" s="631" t="s">
        <v>1649</v>
      </c>
      <c r="B1468" s="1452" t="s">
        <v>1818</v>
      </c>
      <c r="C1468" s="1452"/>
      <c r="D1468" s="1452"/>
      <c r="E1468" s="1452"/>
      <c r="F1468" s="592" t="s">
        <v>1538</v>
      </c>
      <c r="G1468" s="555"/>
      <c r="H1468" s="555"/>
    </row>
    <row r="1469" spans="1:8" ht="27" customHeight="1">
      <c r="A1469" s="502" t="s">
        <v>30</v>
      </c>
      <c r="B1469" s="507" t="s">
        <v>19</v>
      </c>
      <c r="C1469" s="430" t="s">
        <v>92</v>
      </c>
      <c r="D1469" s="612" t="s">
        <v>88</v>
      </c>
      <c r="E1469" s="612" t="s">
        <v>93</v>
      </c>
      <c r="F1469" s="432" t="s">
        <v>94</v>
      </c>
      <c r="G1469" s="508" t="s">
        <v>95</v>
      </c>
      <c r="H1469" s="201"/>
    </row>
    <row r="1470" spans="1:8" ht="24.95" customHeight="1">
      <c r="A1470" s="720">
        <v>6019</v>
      </c>
      <c r="B1470" s="625" t="s">
        <v>1805</v>
      </c>
      <c r="C1470" s="611" t="s">
        <v>99</v>
      </c>
      <c r="D1470" s="611" t="s">
        <v>5</v>
      </c>
      <c r="E1470" s="629">
        <v>1</v>
      </c>
      <c r="F1470" s="611">
        <v>16.46</v>
      </c>
      <c r="G1470" s="624">
        <f t="shared" ref="G1470:G1487" si="92">TRUNC(E1470*F1470,2)</f>
        <v>16.46</v>
      </c>
      <c r="H1470" s="201"/>
    </row>
    <row r="1471" spans="1:8" ht="24.95" customHeight="1">
      <c r="A1471" s="720">
        <v>6010</v>
      </c>
      <c r="B1471" s="625" t="s">
        <v>1806</v>
      </c>
      <c r="C1471" s="611" t="s">
        <v>99</v>
      </c>
      <c r="D1471" s="611" t="s">
        <v>5</v>
      </c>
      <c r="E1471" s="629">
        <v>2</v>
      </c>
      <c r="F1471" s="611">
        <v>28.33</v>
      </c>
      <c r="G1471" s="624">
        <f t="shared" si="92"/>
        <v>56.66</v>
      </c>
      <c r="H1471" s="201"/>
    </row>
    <row r="1472" spans="1:8" ht="15" customHeight="1">
      <c r="A1472" s="720">
        <v>119</v>
      </c>
      <c r="B1472" s="630" t="s">
        <v>1807</v>
      </c>
      <c r="C1472" s="611" t="s">
        <v>99</v>
      </c>
      <c r="D1472" s="611" t="s">
        <v>5</v>
      </c>
      <c r="E1472" s="629">
        <v>1.8</v>
      </c>
      <c r="F1472" s="573">
        <v>5.5</v>
      </c>
      <c r="G1472" s="563">
        <f t="shared" si="92"/>
        <v>9.9</v>
      </c>
      <c r="H1472" s="201"/>
    </row>
    <row r="1473" spans="1:8" ht="15" customHeight="1">
      <c r="A1473" s="720">
        <v>38383</v>
      </c>
      <c r="B1473" s="630" t="s">
        <v>1793</v>
      </c>
      <c r="C1473" s="611" t="s">
        <v>99</v>
      </c>
      <c r="D1473" s="611" t="s">
        <v>5</v>
      </c>
      <c r="E1473" s="629">
        <v>1</v>
      </c>
      <c r="F1473" s="611">
        <v>1.64</v>
      </c>
      <c r="G1473" s="624">
        <f t="shared" si="92"/>
        <v>1.64</v>
      </c>
      <c r="H1473" s="201"/>
    </row>
    <row r="1474" spans="1:8" ht="24.95" customHeight="1">
      <c r="A1474" s="720">
        <v>20083</v>
      </c>
      <c r="B1474" s="625" t="s">
        <v>326</v>
      </c>
      <c r="C1474" s="611" t="s">
        <v>99</v>
      </c>
      <c r="D1474" s="611" t="s">
        <v>5</v>
      </c>
      <c r="E1474" s="629">
        <v>0.24</v>
      </c>
      <c r="F1474" s="611">
        <v>43.14</v>
      </c>
      <c r="G1474" s="624">
        <f t="shared" si="92"/>
        <v>10.35</v>
      </c>
      <c r="H1474" s="201"/>
    </row>
    <row r="1475" spans="1:8" ht="24.95" customHeight="1">
      <c r="A1475" s="720">
        <v>9869</v>
      </c>
      <c r="B1475" s="625" t="s">
        <v>1808</v>
      </c>
      <c r="C1475" s="611" t="s">
        <v>99</v>
      </c>
      <c r="D1475" s="611" t="s">
        <v>5</v>
      </c>
      <c r="E1475" s="629">
        <v>1</v>
      </c>
      <c r="F1475" s="573">
        <f>6*6.15</f>
        <v>36.900000000000006</v>
      </c>
      <c r="G1475" s="563">
        <f t="shared" si="92"/>
        <v>36.9</v>
      </c>
      <c r="H1475" s="201"/>
    </row>
    <row r="1476" spans="1:8" ht="24.95" customHeight="1">
      <c r="A1476" s="720">
        <v>9875</v>
      </c>
      <c r="B1476" s="625" t="s">
        <v>1809</v>
      </c>
      <c r="C1476" s="611" t="s">
        <v>99</v>
      </c>
      <c r="D1476" s="611" t="s">
        <v>5</v>
      </c>
      <c r="E1476" s="629">
        <v>1</v>
      </c>
      <c r="F1476" s="611">
        <f>11.12*6</f>
        <v>66.72</v>
      </c>
      <c r="G1476" s="624">
        <f t="shared" si="92"/>
        <v>66.72</v>
      </c>
      <c r="H1476" s="201"/>
    </row>
    <row r="1477" spans="1:8" ht="24.95" customHeight="1">
      <c r="A1477" s="720">
        <v>66</v>
      </c>
      <c r="B1477" s="625" t="s">
        <v>1810</v>
      </c>
      <c r="C1477" s="611" t="s">
        <v>99</v>
      </c>
      <c r="D1477" s="611" t="s">
        <v>5</v>
      </c>
      <c r="E1477" s="629">
        <v>2</v>
      </c>
      <c r="F1477" s="573">
        <v>25.1</v>
      </c>
      <c r="G1477" s="563">
        <f t="shared" si="92"/>
        <v>50.2</v>
      </c>
      <c r="H1477" s="201"/>
    </row>
    <row r="1478" spans="1:8" ht="24.95" customHeight="1">
      <c r="A1478" s="720">
        <v>7140</v>
      </c>
      <c r="B1478" s="625" t="s">
        <v>1811</v>
      </c>
      <c r="C1478" s="611" t="s">
        <v>99</v>
      </c>
      <c r="D1478" s="611" t="s">
        <v>5</v>
      </c>
      <c r="E1478" s="629">
        <v>1</v>
      </c>
      <c r="F1478" s="611">
        <v>2.4500000000000002</v>
      </c>
      <c r="G1478" s="624">
        <f t="shared" si="92"/>
        <v>2.4500000000000002</v>
      </c>
      <c r="H1478" s="201"/>
    </row>
    <row r="1479" spans="1:8" ht="24.95" customHeight="1">
      <c r="A1479" s="720">
        <v>3540</v>
      </c>
      <c r="B1479" s="625" t="s">
        <v>1812</v>
      </c>
      <c r="C1479" s="611" t="s">
        <v>99</v>
      </c>
      <c r="D1479" s="611" t="s">
        <v>5</v>
      </c>
      <c r="E1479" s="629">
        <v>1</v>
      </c>
      <c r="F1479" s="611">
        <v>4.1399999999999997</v>
      </c>
      <c r="G1479" s="624">
        <f t="shared" si="92"/>
        <v>4.1399999999999997</v>
      </c>
      <c r="H1479" s="201"/>
    </row>
    <row r="1480" spans="1:8" ht="24.95" customHeight="1">
      <c r="A1480" s="720">
        <v>3536</v>
      </c>
      <c r="B1480" s="625" t="s">
        <v>1813</v>
      </c>
      <c r="C1480" s="611" t="s">
        <v>99</v>
      </c>
      <c r="D1480" s="611" t="s">
        <v>5</v>
      </c>
      <c r="E1480" s="629">
        <v>1</v>
      </c>
      <c r="F1480" s="611">
        <v>1.53</v>
      </c>
      <c r="G1480" s="624">
        <f t="shared" si="92"/>
        <v>1.53</v>
      </c>
      <c r="H1480" s="201"/>
    </row>
    <row r="1481" spans="1:8" ht="24.95" customHeight="1">
      <c r="A1481" s="720">
        <v>112</v>
      </c>
      <c r="B1481" s="625" t="s">
        <v>1814</v>
      </c>
      <c r="C1481" s="611" t="s">
        <v>99</v>
      </c>
      <c r="D1481" s="611" t="s">
        <v>5</v>
      </c>
      <c r="E1481" s="629">
        <v>2</v>
      </c>
      <c r="F1481" s="573">
        <v>3.6</v>
      </c>
      <c r="G1481" s="563">
        <f t="shared" si="92"/>
        <v>7.2</v>
      </c>
      <c r="H1481" s="201"/>
    </row>
    <row r="1482" spans="1:8" ht="24.95" customHeight="1">
      <c r="A1482" s="720">
        <v>108</v>
      </c>
      <c r="B1482" s="625" t="s">
        <v>1815</v>
      </c>
      <c r="C1482" s="611" t="s">
        <v>99</v>
      </c>
      <c r="D1482" s="611" t="s">
        <v>5</v>
      </c>
      <c r="E1482" s="629">
        <v>1</v>
      </c>
      <c r="F1482" s="611">
        <v>1.62</v>
      </c>
      <c r="G1482" s="624">
        <f t="shared" si="92"/>
        <v>1.62</v>
      </c>
      <c r="H1482" s="201"/>
    </row>
    <row r="1483" spans="1:8" ht="24.95" customHeight="1">
      <c r="A1483" s="720">
        <v>68</v>
      </c>
      <c r="B1483" s="625" t="s">
        <v>1816</v>
      </c>
      <c r="C1483" s="611" t="s">
        <v>99</v>
      </c>
      <c r="D1483" s="611" t="s">
        <v>5</v>
      </c>
      <c r="E1483" s="629">
        <v>1</v>
      </c>
      <c r="F1483" s="611">
        <v>14.77</v>
      </c>
      <c r="G1483" s="624">
        <f t="shared" si="92"/>
        <v>14.77</v>
      </c>
      <c r="H1483" s="201"/>
    </row>
    <row r="1484" spans="1:8" ht="24.95" customHeight="1">
      <c r="A1484" s="720">
        <v>7130</v>
      </c>
      <c r="B1484" s="625" t="s">
        <v>1817</v>
      </c>
      <c r="C1484" s="611" t="s">
        <v>99</v>
      </c>
      <c r="D1484" s="611" t="s">
        <v>5</v>
      </c>
      <c r="E1484" s="629">
        <v>1</v>
      </c>
      <c r="F1484" s="611">
        <v>9.3699999999999992</v>
      </c>
      <c r="G1484" s="624">
        <f t="shared" si="92"/>
        <v>9.3699999999999992</v>
      </c>
      <c r="H1484" s="201"/>
    </row>
    <row r="1485" spans="1:8" ht="18" customHeight="1">
      <c r="A1485" s="1459">
        <v>88267</v>
      </c>
      <c r="B1485" s="1457" t="s">
        <v>1589</v>
      </c>
      <c r="C1485" s="718" t="s">
        <v>117</v>
      </c>
      <c r="D1485" s="1461" t="s">
        <v>118</v>
      </c>
      <c r="E1485" s="1463" t="s">
        <v>186</v>
      </c>
      <c r="F1485" s="758">
        <f>'COMP AUX'!G338</f>
        <v>15.41</v>
      </c>
      <c r="G1485" s="563">
        <f t="shared" si="92"/>
        <v>76.180000000000007</v>
      </c>
      <c r="H1485" s="719"/>
    </row>
    <row r="1486" spans="1:8" ht="18" customHeight="1">
      <c r="A1486" s="1460"/>
      <c r="B1486" s="1458"/>
      <c r="C1486" s="611" t="s">
        <v>99</v>
      </c>
      <c r="D1486" s="1462"/>
      <c r="E1486" s="1464"/>
      <c r="F1486" s="758">
        <f>'COMP AUX'!G339</f>
        <v>4.5600000000000005</v>
      </c>
      <c r="G1486" s="563">
        <f>TRUNC(E1485*F1486,2)</f>
        <v>22.54</v>
      </c>
      <c r="H1486" s="201"/>
    </row>
    <row r="1487" spans="1:8" ht="18" customHeight="1">
      <c r="A1487" s="1459">
        <v>88316</v>
      </c>
      <c r="B1487" s="1457" t="s">
        <v>123</v>
      </c>
      <c r="C1487" s="718" t="s">
        <v>117</v>
      </c>
      <c r="D1487" s="1461" t="s">
        <v>118</v>
      </c>
      <c r="E1487" s="1463">
        <v>8.24</v>
      </c>
      <c r="F1487" s="758">
        <f>'COMP AUX'!G104</f>
        <v>11.1</v>
      </c>
      <c r="G1487" s="563">
        <f t="shared" si="92"/>
        <v>91.46</v>
      </c>
      <c r="H1487" s="719"/>
    </row>
    <row r="1488" spans="1:8" ht="18" customHeight="1">
      <c r="A1488" s="1460"/>
      <c r="B1488" s="1458"/>
      <c r="C1488" s="611" t="s">
        <v>99</v>
      </c>
      <c r="D1488" s="1462"/>
      <c r="E1488" s="1464"/>
      <c r="F1488" s="758">
        <f>'COMP AUX'!G105</f>
        <v>4.5600000000000005</v>
      </c>
      <c r="G1488" s="563">
        <f>TRUNC(E1487*F1488,2)</f>
        <v>37.57</v>
      </c>
      <c r="H1488" s="201"/>
    </row>
    <row r="1489" spans="1:8" ht="18" customHeight="1">
      <c r="A1489" s="201"/>
      <c r="B1489" s="201"/>
      <c r="C1489" s="201"/>
      <c r="D1489" s="201"/>
      <c r="E1489" s="201"/>
      <c r="F1489" s="581" t="s">
        <v>103</v>
      </c>
      <c r="G1489" s="563">
        <f>G1485+G1487</f>
        <v>167.64</v>
      </c>
      <c r="H1489" s="201"/>
    </row>
    <row r="1490" spans="1:8" ht="18" customHeight="1">
      <c r="A1490" s="201"/>
      <c r="B1490" s="201"/>
      <c r="C1490" s="201"/>
      <c r="D1490" s="201"/>
      <c r="E1490" s="201"/>
      <c r="F1490" s="581" t="s">
        <v>105</v>
      </c>
      <c r="G1490" s="563">
        <f>SUM(G1470:G1484)+G1486+G1488</f>
        <v>350.01999999999992</v>
      </c>
      <c r="H1490" s="201"/>
    </row>
    <row r="1491" spans="1:8" ht="18" customHeight="1">
      <c r="A1491" s="582" t="s">
        <v>107</v>
      </c>
      <c r="B1491" s="609"/>
      <c r="C1491" s="201"/>
      <c r="D1491" s="201"/>
      <c r="E1491" s="201"/>
      <c r="F1491" s="581" t="s">
        <v>106</v>
      </c>
      <c r="G1491" s="759">
        <f>SUM(G1489:G1490)</f>
        <v>517.65999999999985</v>
      </c>
      <c r="H1491" s="201"/>
    </row>
    <row r="1492" spans="1:8" ht="18" customHeight="1">
      <c r="A1492" s="515" t="s">
        <v>108</v>
      </c>
      <c r="B1492" s="548">
        <f>G1491</f>
        <v>517.65999999999985</v>
      </c>
      <c r="C1492" s="201"/>
      <c r="D1492" s="201"/>
      <c r="E1492" s="201"/>
      <c r="F1492" s="197"/>
      <c r="G1492" s="197"/>
      <c r="H1492" s="201"/>
    </row>
    <row r="1493" spans="1:8" ht="18" customHeight="1">
      <c r="A1493" s="542" t="s">
        <v>2654</v>
      </c>
      <c r="B1493" s="541"/>
      <c r="C1493" s="201"/>
      <c r="D1493" s="201"/>
      <c r="E1493" s="201"/>
      <c r="F1493" s="197"/>
      <c r="G1493" s="197"/>
      <c r="H1493" s="201"/>
    </row>
    <row r="1494" spans="1:8" ht="18" customHeight="1">
      <c r="A1494" s="622" t="s">
        <v>2714</v>
      </c>
      <c r="B1494" s="541">
        <f>(B1492+B1493)*0.245</f>
        <v>126.82669999999996</v>
      </c>
      <c r="C1494" s="201"/>
      <c r="D1494" s="201"/>
      <c r="E1494" s="201"/>
      <c r="F1494" s="197"/>
      <c r="G1494" s="197"/>
      <c r="H1494" s="201"/>
    </row>
    <row r="1495" spans="1:8" ht="18" customHeight="1">
      <c r="A1495" s="515" t="s">
        <v>111</v>
      </c>
      <c r="B1495" s="549">
        <f>SUM(B1492:B1494)</f>
        <v>644.48669999999981</v>
      </c>
      <c r="C1495" s="201"/>
      <c r="D1495" s="201"/>
      <c r="E1495" s="201"/>
      <c r="F1495" s="197"/>
      <c r="G1495" s="197"/>
      <c r="H1495" s="201"/>
    </row>
    <row r="1496" spans="1:8">
      <c r="A1496" s="516"/>
      <c r="B1496" s="517"/>
      <c r="C1496" s="518"/>
      <c r="D1496" s="516"/>
      <c r="E1496" s="517"/>
      <c r="F1496" s="517"/>
      <c r="G1496" s="517"/>
      <c r="H1496" s="516"/>
    </row>
    <row r="1498" spans="1:8">
      <c r="A1498" s="170" t="s">
        <v>1369</v>
      </c>
    </row>
    <row r="1499" spans="1:8">
      <c r="A1499" s="1522" t="s">
        <v>1595</v>
      </c>
      <c r="B1499" s="1523"/>
      <c r="C1499" s="1523"/>
      <c r="D1499" s="1523"/>
      <c r="E1499" s="1523"/>
      <c r="F1499" s="1523"/>
      <c r="G1499" s="1523"/>
      <c r="H1499" s="1523"/>
    </row>
    <row r="1500" spans="1:8" ht="18.75" customHeight="1">
      <c r="A1500" s="610" t="s">
        <v>192</v>
      </c>
      <c r="B1500" s="555"/>
      <c r="C1500" s="555"/>
      <c r="D1500" s="592" t="s">
        <v>1538</v>
      </c>
      <c r="E1500" s="555"/>
      <c r="F1500" s="555"/>
      <c r="G1500" s="555"/>
      <c r="H1500" s="555"/>
    </row>
    <row r="1501" spans="1:8" ht="22.5">
      <c r="A1501" s="502" t="s">
        <v>30</v>
      </c>
      <c r="B1501" s="507" t="s">
        <v>19</v>
      </c>
      <c r="C1501" s="430" t="s">
        <v>92</v>
      </c>
      <c r="D1501" s="612" t="s">
        <v>88</v>
      </c>
      <c r="E1501" s="612" t="s">
        <v>93</v>
      </c>
      <c r="F1501" s="432" t="s">
        <v>94</v>
      </c>
      <c r="G1501" s="508" t="s">
        <v>95</v>
      </c>
      <c r="H1501" s="201"/>
    </row>
    <row r="1502" spans="1:8" ht="15" customHeight="1">
      <c r="A1502" s="1520">
        <v>88267</v>
      </c>
      <c r="B1502" s="1457" t="s">
        <v>1589</v>
      </c>
      <c r="C1502" s="430" t="s">
        <v>117</v>
      </c>
      <c r="D1502" s="1549" t="s">
        <v>118</v>
      </c>
      <c r="E1502" s="1570">
        <v>7.7</v>
      </c>
      <c r="F1502" s="501">
        <f>'COMP AUX'!G355</f>
        <v>14.85</v>
      </c>
      <c r="G1502" s="511">
        <f>TRUNC(E1502*F1502,2)</f>
        <v>114.34</v>
      </c>
      <c r="H1502" s="747"/>
    </row>
    <row r="1503" spans="1:8" ht="15" customHeight="1">
      <c r="A1503" s="1521"/>
      <c r="B1503" s="1458"/>
      <c r="C1503" s="611" t="s">
        <v>99</v>
      </c>
      <c r="D1503" s="1456"/>
      <c r="E1503" s="1571"/>
      <c r="F1503" s="573">
        <f>'COMP AUX'!G356</f>
        <v>4.5600000000000005</v>
      </c>
      <c r="G1503" s="624">
        <f>TRUNC(E1502*F1503,2)</f>
        <v>35.11</v>
      </c>
      <c r="H1503" s="201"/>
    </row>
    <row r="1504" spans="1:8" ht="15" customHeight="1">
      <c r="A1504" s="1520">
        <v>88248</v>
      </c>
      <c r="B1504" s="1457" t="s">
        <v>334</v>
      </c>
      <c r="C1504" s="746" t="s">
        <v>117</v>
      </c>
      <c r="D1504" s="1549" t="s">
        <v>118</v>
      </c>
      <c r="E1504" s="1570">
        <v>7.7</v>
      </c>
      <c r="F1504" s="573">
        <f>'COMP AUX'!G338</f>
        <v>15.41</v>
      </c>
      <c r="G1504" s="624">
        <f>TRUNC(E1504*F1504,2)</f>
        <v>118.65</v>
      </c>
      <c r="H1504" s="747"/>
    </row>
    <row r="1505" spans="1:8" ht="15" customHeight="1">
      <c r="A1505" s="1454"/>
      <c r="B1505" s="1466"/>
      <c r="C1505" s="611" t="s">
        <v>99</v>
      </c>
      <c r="D1505" s="1456"/>
      <c r="E1505" s="1571"/>
      <c r="F1505" s="573">
        <f>'COMP AUX'!G339</f>
        <v>4.5600000000000005</v>
      </c>
      <c r="G1505" s="624">
        <f>TRUNC(E1504*F1505,2)</f>
        <v>35.11</v>
      </c>
      <c r="H1505" s="201"/>
    </row>
    <row r="1506" spans="1:8" ht="15" customHeight="1">
      <c r="A1506" s="628" t="s">
        <v>193</v>
      </c>
      <c r="B1506" s="630" t="s">
        <v>194</v>
      </c>
      <c r="C1506" s="611" t="s">
        <v>99</v>
      </c>
      <c r="D1506" s="611" t="s">
        <v>115</v>
      </c>
      <c r="E1506" s="629">
        <v>0.05</v>
      </c>
      <c r="F1506" s="765" t="s">
        <v>196</v>
      </c>
      <c r="G1506" s="624">
        <f t="shared" ref="G1506:G1525" si="93">TRUNC(E1506*F1506,2)</f>
        <v>2.78</v>
      </c>
      <c r="H1506" s="201"/>
    </row>
    <row r="1507" spans="1:8" ht="15" customHeight="1">
      <c r="A1507" s="628" t="s">
        <v>198</v>
      </c>
      <c r="B1507" s="630" t="s">
        <v>199</v>
      </c>
      <c r="C1507" s="611" t="s">
        <v>99</v>
      </c>
      <c r="D1507" s="611" t="s">
        <v>115</v>
      </c>
      <c r="E1507" s="629" t="s">
        <v>200</v>
      </c>
      <c r="F1507" s="765" t="s">
        <v>201</v>
      </c>
      <c r="G1507" s="624">
        <f t="shared" si="93"/>
        <v>4.03</v>
      </c>
      <c r="H1507" s="201"/>
    </row>
    <row r="1508" spans="1:8" ht="15" customHeight="1">
      <c r="A1508" s="628" t="s">
        <v>202</v>
      </c>
      <c r="B1508" s="630" t="s">
        <v>203</v>
      </c>
      <c r="C1508" s="611" t="s">
        <v>99</v>
      </c>
      <c r="D1508" s="611" t="s">
        <v>204</v>
      </c>
      <c r="E1508" s="629" t="s">
        <v>195</v>
      </c>
      <c r="F1508" s="765" t="s">
        <v>205</v>
      </c>
      <c r="G1508" s="624">
        <f t="shared" si="93"/>
        <v>1.72</v>
      </c>
      <c r="H1508" s="201"/>
    </row>
    <row r="1509" spans="1:8" ht="22.5">
      <c r="A1509" s="628" t="s">
        <v>206</v>
      </c>
      <c r="B1509" s="630" t="s">
        <v>207</v>
      </c>
      <c r="C1509" s="611" t="s">
        <v>99</v>
      </c>
      <c r="D1509" s="611" t="s">
        <v>5</v>
      </c>
      <c r="E1509" s="629">
        <v>1</v>
      </c>
      <c r="F1509" s="765" t="s">
        <v>208</v>
      </c>
      <c r="G1509" s="563">
        <f t="shared" si="93"/>
        <v>327</v>
      </c>
      <c r="H1509" s="201"/>
    </row>
    <row r="1510" spans="1:8" ht="15" customHeight="1">
      <c r="A1510" s="628" t="s">
        <v>209</v>
      </c>
      <c r="B1510" s="630" t="s">
        <v>210</v>
      </c>
      <c r="C1510" s="611" t="s">
        <v>99</v>
      </c>
      <c r="D1510" s="611" t="s">
        <v>5</v>
      </c>
      <c r="E1510" s="629">
        <v>1</v>
      </c>
      <c r="F1510" s="765" t="s">
        <v>211</v>
      </c>
      <c r="G1510" s="624">
        <f t="shared" si="93"/>
        <v>18.079999999999998</v>
      </c>
      <c r="H1510" s="201"/>
    </row>
    <row r="1511" spans="1:8" ht="15" customHeight="1">
      <c r="A1511" s="628" t="s">
        <v>212</v>
      </c>
      <c r="B1511" s="630" t="s">
        <v>213</v>
      </c>
      <c r="C1511" s="611" t="s">
        <v>99</v>
      </c>
      <c r="D1511" s="611" t="s">
        <v>5</v>
      </c>
      <c r="E1511" s="629">
        <v>1</v>
      </c>
      <c r="F1511" s="765" t="s">
        <v>214</v>
      </c>
      <c r="G1511" s="624">
        <f t="shared" si="93"/>
        <v>25.12</v>
      </c>
      <c r="H1511" s="201"/>
    </row>
    <row r="1512" spans="1:8" ht="15" customHeight="1">
      <c r="A1512" s="628" t="s">
        <v>215</v>
      </c>
      <c r="B1512" s="630" t="s">
        <v>216</v>
      </c>
      <c r="C1512" s="611" t="s">
        <v>99</v>
      </c>
      <c r="D1512" s="611" t="s">
        <v>5</v>
      </c>
      <c r="E1512" s="629">
        <v>1</v>
      </c>
      <c r="F1512" s="765" t="s">
        <v>217</v>
      </c>
      <c r="G1512" s="624">
        <f t="shared" si="93"/>
        <v>40.89</v>
      </c>
      <c r="H1512" s="201"/>
    </row>
    <row r="1513" spans="1:8" ht="22.5">
      <c r="A1513" s="628" t="s">
        <v>218</v>
      </c>
      <c r="B1513" s="630" t="s">
        <v>219</v>
      </c>
      <c r="C1513" s="611" t="s">
        <v>99</v>
      </c>
      <c r="D1513" s="611" t="s">
        <v>5</v>
      </c>
      <c r="E1513" s="629">
        <v>0.28999999999999998</v>
      </c>
      <c r="F1513" s="765" t="s">
        <v>220</v>
      </c>
      <c r="G1513" s="563">
        <f t="shared" si="93"/>
        <v>0.1</v>
      </c>
      <c r="H1513" s="201"/>
    </row>
    <row r="1514" spans="1:8" ht="22.5">
      <c r="A1514" s="628" t="s">
        <v>221</v>
      </c>
      <c r="B1514" s="630" t="s">
        <v>222</v>
      </c>
      <c r="C1514" s="611" t="s">
        <v>99</v>
      </c>
      <c r="D1514" s="611" t="s">
        <v>5</v>
      </c>
      <c r="E1514" s="629">
        <v>1</v>
      </c>
      <c r="F1514" s="765" t="s">
        <v>223</v>
      </c>
      <c r="G1514" s="624">
        <f t="shared" si="93"/>
        <v>11.76</v>
      </c>
      <c r="H1514" s="201"/>
    </row>
    <row r="1515" spans="1:8" ht="22.5">
      <c r="A1515" s="628" t="s">
        <v>224</v>
      </c>
      <c r="B1515" s="630" t="s">
        <v>225</v>
      </c>
      <c r="C1515" s="611" t="s">
        <v>99</v>
      </c>
      <c r="D1515" s="611" t="s">
        <v>5</v>
      </c>
      <c r="E1515" s="629">
        <v>2</v>
      </c>
      <c r="F1515" s="765" t="s">
        <v>226</v>
      </c>
      <c r="G1515" s="563">
        <f t="shared" si="93"/>
        <v>42</v>
      </c>
      <c r="H1515" s="201"/>
    </row>
    <row r="1516" spans="1:8" ht="22.5">
      <c r="A1516" s="628" t="s">
        <v>227</v>
      </c>
      <c r="B1516" s="630" t="s">
        <v>228</v>
      </c>
      <c r="C1516" s="611" t="s">
        <v>99</v>
      </c>
      <c r="D1516" s="611" t="s">
        <v>5</v>
      </c>
      <c r="E1516" s="629">
        <v>1</v>
      </c>
      <c r="F1516" s="765" t="s">
        <v>229</v>
      </c>
      <c r="G1516" s="624">
        <f t="shared" si="93"/>
        <v>28.45</v>
      </c>
      <c r="H1516" s="201"/>
    </row>
    <row r="1517" spans="1:8" ht="15" customHeight="1">
      <c r="A1517" s="628" t="s">
        <v>230</v>
      </c>
      <c r="B1517" s="630" t="s">
        <v>231</v>
      </c>
      <c r="C1517" s="611" t="s">
        <v>99</v>
      </c>
      <c r="D1517" s="611" t="s">
        <v>5</v>
      </c>
      <c r="E1517" s="629">
        <v>2</v>
      </c>
      <c r="F1517" s="765" t="s">
        <v>232</v>
      </c>
      <c r="G1517" s="624">
        <f t="shared" si="93"/>
        <v>1.08</v>
      </c>
      <c r="H1517" s="201"/>
    </row>
    <row r="1518" spans="1:8" ht="15" customHeight="1">
      <c r="A1518" s="628" t="s">
        <v>233</v>
      </c>
      <c r="B1518" s="630" t="s">
        <v>234</v>
      </c>
      <c r="C1518" s="611" t="s">
        <v>99</v>
      </c>
      <c r="D1518" s="611" t="s">
        <v>5</v>
      </c>
      <c r="E1518" s="629">
        <v>1</v>
      </c>
      <c r="F1518" s="765" t="s">
        <v>185</v>
      </c>
      <c r="G1518" s="624">
        <f t="shared" si="93"/>
        <v>1.17</v>
      </c>
      <c r="H1518" s="201"/>
    </row>
    <row r="1519" spans="1:8" ht="15" customHeight="1">
      <c r="A1519" s="628" t="s">
        <v>235</v>
      </c>
      <c r="B1519" s="630" t="s">
        <v>236</v>
      </c>
      <c r="C1519" s="611" t="s">
        <v>99</v>
      </c>
      <c r="D1519" s="611" t="s">
        <v>5</v>
      </c>
      <c r="E1519" s="629">
        <v>2</v>
      </c>
      <c r="F1519" s="765" t="s">
        <v>237</v>
      </c>
      <c r="G1519" s="624">
        <f t="shared" si="93"/>
        <v>6.62</v>
      </c>
      <c r="H1519" s="201"/>
    </row>
    <row r="1520" spans="1:8" ht="15" customHeight="1">
      <c r="A1520" s="628" t="s">
        <v>238</v>
      </c>
      <c r="B1520" s="630" t="s">
        <v>239</v>
      </c>
      <c r="C1520" s="611" t="s">
        <v>99</v>
      </c>
      <c r="D1520" s="611" t="s">
        <v>5</v>
      </c>
      <c r="E1520" s="629">
        <v>1</v>
      </c>
      <c r="F1520" s="765" t="s">
        <v>240</v>
      </c>
      <c r="G1520" s="624">
        <f t="shared" si="93"/>
        <v>48.48</v>
      </c>
      <c r="H1520" s="201"/>
    </row>
    <row r="1521" spans="1:8" ht="15" customHeight="1">
      <c r="A1521" s="628" t="s">
        <v>241</v>
      </c>
      <c r="B1521" s="630" t="s">
        <v>242</v>
      </c>
      <c r="C1521" s="611" t="s">
        <v>99</v>
      </c>
      <c r="D1521" s="611" t="s">
        <v>4</v>
      </c>
      <c r="E1521" s="629">
        <v>1.5</v>
      </c>
      <c r="F1521" s="765" t="s">
        <v>244</v>
      </c>
      <c r="G1521" s="624">
        <f t="shared" si="93"/>
        <v>4.8899999999999997</v>
      </c>
      <c r="H1521" s="201"/>
    </row>
    <row r="1522" spans="1:8" ht="15" customHeight="1">
      <c r="A1522" s="628" t="s">
        <v>246</v>
      </c>
      <c r="B1522" s="630" t="s">
        <v>247</v>
      </c>
      <c r="C1522" s="611" t="s">
        <v>99</v>
      </c>
      <c r="D1522" s="611" t="s">
        <v>4</v>
      </c>
      <c r="E1522" s="629">
        <v>1.5</v>
      </c>
      <c r="F1522" s="765" t="s">
        <v>248</v>
      </c>
      <c r="G1522" s="624">
        <f t="shared" si="93"/>
        <v>12.73</v>
      </c>
      <c r="H1522" s="201"/>
    </row>
    <row r="1523" spans="1:8" ht="15" customHeight="1">
      <c r="A1523" s="628" t="s">
        <v>249</v>
      </c>
      <c r="B1523" s="630" t="s">
        <v>250</v>
      </c>
      <c r="C1523" s="611" t="s">
        <v>99</v>
      </c>
      <c r="D1523" s="611" t="s">
        <v>4</v>
      </c>
      <c r="E1523" s="629">
        <v>1</v>
      </c>
      <c r="F1523" s="765" t="s">
        <v>251</v>
      </c>
      <c r="G1523" s="563">
        <f t="shared" si="93"/>
        <v>14</v>
      </c>
      <c r="H1523" s="201"/>
    </row>
    <row r="1524" spans="1:8" ht="15" customHeight="1">
      <c r="A1524" s="628" t="s">
        <v>252</v>
      </c>
      <c r="B1524" s="630" t="s">
        <v>253</v>
      </c>
      <c r="C1524" s="611" t="s">
        <v>99</v>
      </c>
      <c r="D1524" s="611" t="s">
        <v>5</v>
      </c>
      <c r="E1524" s="629">
        <v>1</v>
      </c>
      <c r="F1524" s="765" t="s">
        <v>254</v>
      </c>
      <c r="G1524" s="624">
        <f t="shared" si="93"/>
        <v>3.25</v>
      </c>
      <c r="H1524" s="201"/>
    </row>
    <row r="1525" spans="1:8" ht="15" customHeight="1">
      <c r="A1525" s="628" t="s">
        <v>255</v>
      </c>
      <c r="B1525" s="630" t="s">
        <v>256</v>
      </c>
      <c r="C1525" s="611" t="s">
        <v>99</v>
      </c>
      <c r="D1525" s="611" t="s">
        <v>5</v>
      </c>
      <c r="E1525" s="629">
        <v>1</v>
      </c>
      <c r="F1525" s="765" t="s">
        <v>257</v>
      </c>
      <c r="G1525" s="624">
        <f t="shared" si="93"/>
        <v>8.2899999999999991</v>
      </c>
      <c r="H1525" s="201"/>
    </row>
    <row r="1526" spans="1:8" ht="15" customHeight="1">
      <c r="A1526" s="201"/>
      <c r="B1526" s="201"/>
      <c r="C1526" s="201"/>
      <c r="D1526" s="201"/>
      <c r="E1526" s="201"/>
      <c r="F1526" s="581" t="s">
        <v>103</v>
      </c>
      <c r="G1526" s="563">
        <f>G1502+G1504</f>
        <v>232.99</v>
      </c>
      <c r="H1526" s="201"/>
    </row>
    <row r="1527" spans="1:8" ht="15" customHeight="1">
      <c r="A1527" s="201"/>
      <c r="B1527" s="201"/>
      <c r="C1527" s="201"/>
      <c r="D1527" s="201"/>
      <c r="E1527" s="201"/>
      <c r="F1527" s="581" t="s">
        <v>105</v>
      </c>
      <c r="G1527" s="563">
        <f>G1503+G1505+G1506+G1507+G1508+G1509+G1510+G1511+G1512+G1513+G1514+G1515+G1516+G1517+G1518+G1519+G1520+G1521+G1522+G1523+G1524+G1525</f>
        <v>672.66000000000008</v>
      </c>
      <c r="H1527" s="201"/>
    </row>
    <row r="1528" spans="1:8" ht="15" customHeight="1">
      <c r="A1528" s="582" t="s">
        <v>107</v>
      </c>
      <c r="B1528" s="609"/>
      <c r="C1528" s="201"/>
      <c r="D1528" s="201"/>
      <c r="E1528" s="201"/>
      <c r="F1528" s="581" t="s">
        <v>106</v>
      </c>
      <c r="G1528" s="759">
        <f>SUM(G1526:G1527)</f>
        <v>905.65000000000009</v>
      </c>
      <c r="H1528" s="201"/>
    </row>
    <row r="1529" spans="1:8" ht="15" customHeight="1">
      <c r="A1529" s="515" t="s">
        <v>108</v>
      </c>
      <c r="B1529" s="548">
        <f>G1528</f>
        <v>905.65000000000009</v>
      </c>
      <c r="C1529" s="201"/>
      <c r="D1529" s="201"/>
      <c r="E1529" s="201"/>
      <c r="F1529" s="197"/>
      <c r="G1529" s="197"/>
      <c r="H1529" s="201"/>
    </row>
    <row r="1530" spans="1:8" ht="15" customHeight="1">
      <c r="A1530" s="542" t="s">
        <v>2654</v>
      </c>
      <c r="B1530" s="541"/>
      <c r="C1530" s="201"/>
      <c r="D1530" s="201"/>
      <c r="E1530" s="201"/>
      <c r="F1530" s="197"/>
      <c r="G1530" s="197"/>
      <c r="H1530" s="201"/>
    </row>
    <row r="1531" spans="1:8" ht="15" customHeight="1">
      <c r="A1531" s="622" t="s">
        <v>2714</v>
      </c>
      <c r="B1531" s="541">
        <f>(B1529+B1530)*0.245</f>
        <v>221.88425000000001</v>
      </c>
      <c r="C1531" s="201"/>
      <c r="D1531" s="201"/>
      <c r="E1531" s="201"/>
      <c r="F1531" s="197"/>
      <c r="G1531" s="197"/>
      <c r="H1531" s="201"/>
    </row>
    <row r="1532" spans="1:8" ht="15" customHeight="1">
      <c r="A1532" s="515" t="s">
        <v>111</v>
      </c>
      <c r="B1532" s="657">
        <f>SUM(B1529:B1531)</f>
        <v>1127.5342500000002</v>
      </c>
      <c r="C1532" s="201"/>
      <c r="D1532" s="201"/>
      <c r="E1532" s="201"/>
      <c r="F1532" s="197"/>
      <c r="G1532" s="197"/>
      <c r="H1532" s="201"/>
    </row>
    <row r="1533" spans="1:8">
      <c r="A1533" s="516"/>
      <c r="B1533" s="517"/>
      <c r="C1533" s="518"/>
      <c r="D1533" s="516"/>
      <c r="E1533" s="517"/>
      <c r="F1533" s="517"/>
      <c r="G1533" s="517"/>
      <c r="H1533" s="516"/>
    </row>
    <row r="1535" spans="1:8">
      <c r="A1535" s="170" t="s">
        <v>1369</v>
      </c>
    </row>
    <row r="1536" spans="1:8">
      <c r="A1536" s="554" t="s">
        <v>2666</v>
      </c>
      <c r="B1536" s="555"/>
      <c r="C1536" s="555"/>
      <c r="D1536" s="555"/>
      <c r="E1536" s="555"/>
      <c r="F1536" s="555"/>
      <c r="G1536" s="555"/>
      <c r="H1536" s="555"/>
    </row>
    <row r="1537" spans="1:8" ht="27" customHeight="1">
      <c r="A1537" s="631" t="s">
        <v>1640</v>
      </c>
      <c r="B1537" s="1452" t="s">
        <v>2668</v>
      </c>
      <c r="C1537" s="1452"/>
      <c r="D1537" s="1452"/>
      <c r="E1537" s="592" t="s">
        <v>1538</v>
      </c>
      <c r="F1537" s="555"/>
      <c r="G1537" s="555"/>
      <c r="H1537" s="555"/>
    </row>
    <row r="1538" spans="1:8" ht="22.5">
      <c r="A1538" s="1023" t="s">
        <v>30</v>
      </c>
      <c r="B1538" s="507" t="s">
        <v>19</v>
      </c>
      <c r="C1538" s="430" t="s">
        <v>92</v>
      </c>
      <c r="D1538" s="1026" t="s">
        <v>88</v>
      </c>
      <c r="E1538" s="1026" t="s">
        <v>93</v>
      </c>
      <c r="F1538" s="432" t="s">
        <v>94</v>
      </c>
      <c r="G1538" s="508" t="s">
        <v>95</v>
      </c>
      <c r="H1538" s="1029"/>
    </row>
    <row r="1539" spans="1:8" ht="14.1" customHeight="1">
      <c r="A1539" s="1422">
        <v>88267</v>
      </c>
      <c r="B1539" s="1468" t="s">
        <v>298</v>
      </c>
      <c r="C1539" s="430" t="s">
        <v>117</v>
      </c>
      <c r="D1539" s="1461" t="s">
        <v>410</v>
      </c>
      <c r="E1539" s="1463">
        <f>34.72*2</f>
        <v>69.44</v>
      </c>
      <c r="F1539" s="501">
        <f>'COMP AUX'!G338</f>
        <v>15.41</v>
      </c>
      <c r="G1539" s="1131">
        <f>TRUNC(E1539*F1539,2)</f>
        <v>1070.07</v>
      </c>
      <c r="H1539" s="1029"/>
    </row>
    <row r="1540" spans="1:8" ht="14.1" customHeight="1">
      <c r="A1540" s="1423"/>
      <c r="B1540" s="1469"/>
      <c r="C1540" s="1025" t="s">
        <v>99</v>
      </c>
      <c r="D1540" s="1462"/>
      <c r="E1540" s="1464"/>
      <c r="F1540" s="573">
        <f>'COMP AUX'!G339</f>
        <v>4.5600000000000005</v>
      </c>
      <c r="G1540" s="563">
        <f>TRUNC(E1539*F1540,2)</f>
        <v>316.64</v>
      </c>
      <c r="H1540" s="1029"/>
    </row>
    <row r="1541" spans="1:8" ht="14.1" customHeight="1">
      <c r="A1541" s="1459">
        <v>88278</v>
      </c>
      <c r="B1541" s="1457" t="s">
        <v>887</v>
      </c>
      <c r="C1541" s="1025" t="s">
        <v>117</v>
      </c>
      <c r="D1541" s="1461" t="s">
        <v>410</v>
      </c>
      <c r="E1541" s="1463">
        <f>13.88*2</f>
        <v>27.76</v>
      </c>
      <c r="F1541" s="573">
        <f>'COMP AUX'!G703</f>
        <v>10.49</v>
      </c>
      <c r="G1541" s="563">
        <f>TRUNC(E1541*F1541,2)</f>
        <v>291.2</v>
      </c>
      <c r="H1541" s="1029"/>
    </row>
    <row r="1542" spans="1:8" ht="14.1" customHeight="1">
      <c r="A1542" s="1467"/>
      <c r="B1542" s="1458"/>
      <c r="C1542" s="1025" t="s">
        <v>99</v>
      </c>
      <c r="D1542" s="1462"/>
      <c r="E1542" s="1464"/>
      <c r="F1542" s="573">
        <f>'COMP AUX'!G704</f>
        <v>4.5600000000000005</v>
      </c>
      <c r="G1542" s="563">
        <f>TRUNC(E1541*F1542,2)</f>
        <v>126.58</v>
      </c>
      <c r="H1542" s="1029"/>
    </row>
    <row r="1543" spans="1:8" ht="14.1" customHeight="1">
      <c r="A1543" s="1459">
        <v>88316</v>
      </c>
      <c r="B1543" s="1457" t="s">
        <v>123</v>
      </c>
      <c r="C1543" s="1025" t="s">
        <v>117</v>
      </c>
      <c r="D1543" s="1461" t="s">
        <v>410</v>
      </c>
      <c r="E1543" s="1463">
        <f>30.84*2</f>
        <v>61.68</v>
      </c>
      <c r="F1543" s="758">
        <f>'COMP AUX'!G104</f>
        <v>11.1</v>
      </c>
      <c r="G1543" s="563">
        <f t="shared" ref="G1543" si="94">TRUNC(E1543*F1543,2)</f>
        <v>684.64</v>
      </c>
      <c r="H1543" s="1029"/>
    </row>
    <row r="1544" spans="1:8" ht="14.1" customHeight="1">
      <c r="A1544" s="1460"/>
      <c r="B1544" s="1458"/>
      <c r="C1544" s="1025" t="s">
        <v>99</v>
      </c>
      <c r="D1544" s="1462"/>
      <c r="E1544" s="1464"/>
      <c r="F1544" s="758">
        <f>'COMP AUX'!G105</f>
        <v>4.5600000000000005</v>
      </c>
      <c r="G1544" s="563">
        <f>TRUNC(E1543*F1544,2)</f>
        <v>281.26</v>
      </c>
      <c r="H1544" s="1029"/>
    </row>
    <row r="1545" spans="1:8" ht="28.5" customHeight="1">
      <c r="A1545" s="1058">
        <v>34469</v>
      </c>
      <c r="B1545" s="1031" t="s">
        <v>2665</v>
      </c>
      <c r="C1545" s="1025" t="s">
        <v>99</v>
      </c>
      <c r="D1545" s="1025" t="s">
        <v>1538</v>
      </c>
      <c r="E1545" s="629">
        <v>2</v>
      </c>
      <c r="F1545" s="1059">
        <v>7638.09</v>
      </c>
      <c r="G1545" s="606">
        <f>TRUNC(E1545*F1545,2)</f>
        <v>15276.18</v>
      </c>
      <c r="H1545" s="1029"/>
    </row>
    <row r="1546" spans="1:8" ht="14.1" customHeight="1">
      <c r="A1546" s="1029"/>
      <c r="B1546" s="1029"/>
      <c r="C1546" s="1029"/>
      <c r="D1546" s="1029"/>
      <c r="E1546" s="1029"/>
      <c r="F1546" s="607" t="s">
        <v>103</v>
      </c>
      <c r="G1546" s="605">
        <f>G1539+G1541+G1543</f>
        <v>2045.9099999999999</v>
      </c>
      <c r="H1546" s="1029"/>
    </row>
    <row r="1547" spans="1:8" ht="14.1" customHeight="1">
      <c r="A1547" s="1029"/>
      <c r="B1547" s="1029"/>
      <c r="C1547" s="1029"/>
      <c r="D1547" s="1029"/>
      <c r="E1547" s="1029"/>
      <c r="F1547" s="581" t="s">
        <v>105</v>
      </c>
      <c r="G1547" s="606">
        <f>G1540+G1542+G1544+G1545</f>
        <v>16000.66</v>
      </c>
      <c r="H1547" s="1029"/>
    </row>
    <row r="1548" spans="1:8" ht="14.1" customHeight="1">
      <c r="A1548" s="582" t="s">
        <v>107</v>
      </c>
      <c r="B1548" s="1029"/>
      <c r="C1548" s="1029"/>
      <c r="D1548" s="1029"/>
      <c r="E1548" s="1029"/>
      <c r="F1548" s="581" t="s">
        <v>106</v>
      </c>
      <c r="G1548" s="608">
        <f>SUM(G1546:G1547)</f>
        <v>18046.57</v>
      </c>
      <c r="H1548" s="1029"/>
    </row>
    <row r="1549" spans="1:8" ht="14.1" customHeight="1">
      <c r="A1549" s="515" t="s">
        <v>108</v>
      </c>
      <c r="B1549" s="656">
        <f>G1548</f>
        <v>18046.57</v>
      </c>
      <c r="C1549" s="1029"/>
      <c r="D1549" s="1029"/>
      <c r="E1549" s="1029"/>
      <c r="F1549" s="197"/>
      <c r="G1549" s="197"/>
      <c r="H1549" s="1029"/>
    </row>
    <row r="1550" spans="1:8" ht="14.1" customHeight="1">
      <c r="A1550" s="542" t="s">
        <v>2654</v>
      </c>
      <c r="B1550" s="541"/>
      <c r="C1550" s="1029"/>
      <c r="D1550" s="1029"/>
      <c r="E1550" s="1029"/>
      <c r="F1550" s="197"/>
      <c r="G1550" s="197"/>
      <c r="H1550" s="1029"/>
    </row>
    <row r="1551" spans="1:8" ht="14.1" customHeight="1">
      <c r="A1551" s="622" t="s">
        <v>2714</v>
      </c>
      <c r="B1551" s="1111">
        <f>(B1549+B1550)*0.245</f>
        <v>4421.4096499999996</v>
      </c>
      <c r="C1551" s="1029"/>
      <c r="D1551" s="1029"/>
      <c r="E1551" s="1029"/>
      <c r="F1551" s="197"/>
      <c r="G1551" s="197"/>
      <c r="H1551" s="1029"/>
    </row>
    <row r="1552" spans="1:8" ht="14.1" customHeight="1">
      <c r="A1552" s="515" t="s">
        <v>111</v>
      </c>
      <c r="B1552" s="657">
        <f>SUM(B1549:B1551)</f>
        <v>22467.979650000001</v>
      </c>
      <c r="C1552" s="1029"/>
      <c r="D1552" s="1029"/>
      <c r="E1552" s="1029"/>
      <c r="F1552" s="197"/>
      <c r="G1552" s="197"/>
      <c r="H1552" s="577"/>
    </row>
    <row r="1553" spans="1:8">
      <c r="A1553" s="516"/>
      <c r="B1553" s="517"/>
      <c r="C1553" s="518"/>
      <c r="D1553" s="516"/>
      <c r="E1553" s="517"/>
      <c r="F1553" s="517"/>
      <c r="G1553" s="517"/>
      <c r="H1553" s="516"/>
    </row>
    <row r="1555" spans="1:8">
      <c r="A1555" s="170" t="s">
        <v>1369</v>
      </c>
    </row>
    <row r="1556" spans="1:8">
      <c r="A1556" s="554" t="s">
        <v>2677</v>
      </c>
      <c r="B1556" s="555"/>
      <c r="C1556" s="555"/>
      <c r="D1556" s="555"/>
      <c r="E1556" s="555"/>
      <c r="F1556" s="555"/>
      <c r="G1556" s="555"/>
      <c r="H1556" s="555"/>
    </row>
    <row r="1557" spans="1:8" ht="22.5">
      <c r="A1557" s="631" t="s">
        <v>1640</v>
      </c>
      <c r="B1557" s="631" t="s">
        <v>2676</v>
      </c>
      <c r="C1557" s="592" t="s">
        <v>1538</v>
      </c>
      <c r="D1557" s="631"/>
      <c r="F1557" s="555"/>
      <c r="G1557" s="555"/>
      <c r="H1557" s="555"/>
    </row>
    <row r="1558" spans="1:8" ht="22.5">
      <c r="A1558" s="1023" t="s">
        <v>30</v>
      </c>
      <c r="B1558" s="507" t="s">
        <v>19</v>
      </c>
      <c r="C1558" s="430" t="s">
        <v>92</v>
      </c>
      <c r="D1558" s="1026" t="s">
        <v>88</v>
      </c>
      <c r="E1558" s="1026" t="s">
        <v>93</v>
      </c>
      <c r="F1558" s="432" t="s">
        <v>94</v>
      </c>
      <c r="G1558" s="508" t="s">
        <v>95</v>
      </c>
      <c r="H1558" s="1029"/>
    </row>
    <row r="1559" spans="1:8" ht="15" customHeight="1">
      <c r="A1559" s="1422">
        <v>88267</v>
      </c>
      <c r="B1559" s="1468" t="s">
        <v>131</v>
      </c>
      <c r="C1559" s="430" t="s">
        <v>117</v>
      </c>
      <c r="D1559" s="1461" t="s">
        <v>410</v>
      </c>
      <c r="E1559" s="1463">
        <v>0.35</v>
      </c>
      <c r="F1559" s="501">
        <f>'COMP AUX'!G151</f>
        <v>14.93</v>
      </c>
      <c r="G1559" s="511">
        <f>TRUNC(E1559*F1559,2)</f>
        <v>5.22</v>
      </c>
      <c r="H1559" s="1029"/>
    </row>
    <row r="1560" spans="1:8" ht="15" customHeight="1">
      <c r="A1560" s="1423"/>
      <c r="B1560" s="1469"/>
      <c r="C1560" s="1025" t="s">
        <v>99</v>
      </c>
      <c r="D1560" s="1462"/>
      <c r="E1560" s="1464"/>
      <c r="F1560" s="573">
        <f>'COMP AUX'!G152</f>
        <v>4.5600000000000005</v>
      </c>
      <c r="G1560" s="563">
        <f>TRUNC(E1559*F1560,2)</f>
        <v>1.59</v>
      </c>
      <c r="H1560" s="1029"/>
    </row>
    <row r="1561" spans="1:8" ht="27" customHeight="1">
      <c r="A1561" s="1058">
        <v>37401</v>
      </c>
      <c r="B1561" s="1031" t="s">
        <v>2678</v>
      </c>
      <c r="C1561" s="1025" t="s">
        <v>99</v>
      </c>
      <c r="D1561" s="1025" t="s">
        <v>1538</v>
      </c>
      <c r="E1561" s="629">
        <v>1</v>
      </c>
      <c r="F1561" s="1059">
        <v>51.67</v>
      </c>
      <c r="G1561" s="606">
        <f>TRUNC(E1561*F1561,2)</f>
        <v>51.67</v>
      </c>
      <c r="H1561" s="1029"/>
    </row>
    <row r="1562" spans="1:8" ht="14.1" customHeight="1">
      <c r="A1562" s="1029"/>
      <c r="B1562" s="1029"/>
      <c r="C1562" s="1029"/>
      <c r="D1562" s="1029"/>
      <c r="E1562" s="1029"/>
      <c r="F1562" s="607" t="s">
        <v>103</v>
      </c>
      <c r="G1562" s="1057">
        <f>G1559</f>
        <v>5.22</v>
      </c>
      <c r="H1562" s="1029"/>
    </row>
    <row r="1563" spans="1:8" ht="14.1" customHeight="1">
      <c r="A1563" s="1029"/>
      <c r="B1563" s="1029"/>
      <c r="C1563" s="1029"/>
      <c r="D1563" s="1029"/>
      <c r="E1563" s="1029"/>
      <c r="F1563" s="581" t="s">
        <v>105</v>
      </c>
      <c r="G1563" s="606">
        <f>G1560+G1561</f>
        <v>53.260000000000005</v>
      </c>
      <c r="H1563" s="1029"/>
    </row>
    <row r="1564" spans="1:8" ht="14.1" customHeight="1">
      <c r="A1564" s="582" t="s">
        <v>107</v>
      </c>
      <c r="B1564" s="1029"/>
      <c r="C1564" s="1029"/>
      <c r="D1564" s="1029"/>
      <c r="E1564" s="1029"/>
      <c r="F1564" s="581" t="s">
        <v>106</v>
      </c>
      <c r="G1564" s="608">
        <f>SUM(G1562:G1563)</f>
        <v>58.480000000000004</v>
      </c>
      <c r="H1564" s="1029"/>
    </row>
    <row r="1565" spans="1:8" ht="14.1" customHeight="1">
      <c r="A1565" s="515" t="s">
        <v>108</v>
      </c>
      <c r="B1565" s="656">
        <f>G1564</f>
        <v>58.480000000000004</v>
      </c>
      <c r="C1565" s="1029"/>
      <c r="D1565" s="1029"/>
      <c r="E1565" s="1029"/>
      <c r="F1565" s="197"/>
      <c r="G1565" s="197"/>
      <c r="H1565" s="1029"/>
    </row>
    <row r="1566" spans="1:8" ht="14.1" customHeight="1">
      <c r="A1566" s="542" t="s">
        <v>2654</v>
      </c>
      <c r="B1566" s="541"/>
      <c r="C1566" s="1029"/>
      <c r="D1566" s="1029"/>
      <c r="E1566" s="1029"/>
      <c r="F1566" s="197"/>
      <c r="G1566" s="197"/>
      <c r="H1566" s="1029"/>
    </row>
    <row r="1567" spans="1:8" ht="14.1" customHeight="1">
      <c r="A1567" s="622" t="s">
        <v>2714</v>
      </c>
      <c r="B1567" s="541">
        <f>(B1565+B1566)*0.245</f>
        <v>14.3276</v>
      </c>
      <c r="C1567" s="1029"/>
      <c r="D1567" s="1029"/>
      <c r="E1567" s="1029"/>
      <c r="F1567" s="197"/>
      <c r="G1567" s="197"/>
      <c r="H1567" s="1029"/>
    </row>
    <row r="1568" spans="1:8" ht="14.1" customHeight="1">
      <c r="A1568" s="515" t="s">
        <v>111</v>
      </c>
      <c r="B1568" s="657">
        <f>SUM(B1565:B1567)</f>
        <v>72.807600000000008</v>
      </c>
      <c r="C1568" s="1029"/>
      <c r="D1568" s="1029"/>
      <c r="E1568" s="1029"/>
      <c r="F1568" s="197"/>
      <c r="G1568" s="197"/>
      <c r="H1568" s="577"/>
    </row>
    <row r="1569" spans="1:8">
      <c r="A1569" s="516"/>
      <c r="B1569" s="517"/>
      <c r="C1569" s="518"/>
      <c r="D1569" s="516"/>
      <c r="E1569" s="517"/>
      <c r="F1569" s="517"/>
      <c r="G1569" s="517"/>
      <c r="H1569" s="516"/>
    </row>
    <row r="1571" spans="1:8">
      <c r="A1571" s="170" t="s">
        <v>1369</v>
      </c>
    </row>
    <row r="1572" spans="1:8">
      <c r="A1572" s="554" t="s">
        <v>2683</v>
      </c>
      <c r="B1572" s="555"/>
      <c r="C1572" s="555"/>
      <c r="D1572" s="555"/>
      <c r="E1572" s="555"/>
      <c r="F1572" s="555"/>
      <c r="G1572" s="555"/>
      <c r="H1572" s="555"/>
    </row>
    <row r="1573" spans="1:8" ht="40.5" customHeight="1">
      <c r="A1573" s="631" t="s">
        <v>1640</v>
      </c>
      <c r="B1573" s="1452" t="s">
        <v>2681</v>
      </c>
      <c r="C1573" s="1452"/>
      <c r="D1573" s="1452"/>
      <c r="E1573" s="592" t="s">
        <v>1538</v>
      </c>
      <c r="F1573" s="555"/>
      <c r="G1573" s="555"/>
      <c r="H1573" s="555"/>
    </row>
    <row r="1574" spans="1:8" ht="22.5">
      <c r="A1574" s="1023" t="s">
        <v>30</v>
      </c>
      <c r="B1574" s="507" t="s">
        <v>19</v>
      </c>
      <c r="C1574" s="430" t="s">
        <v>92</v>
      </c>
      <c r="D1574" s="1026" t="s">
        <v>88</v>
      </c>
      <c r="E1574" s="1026" t="s">
        <v>93</v>
      </c>
      <c r="F1574" s="432" t="s">
        <v>94</v>
      </c>
      <c r="G1574" s="508" t="s">
        <v>95</v>
      </c>
      <c r="H1574" s="1029"/>
    </row>
    <row r="1575" spans="1:8" ht="14.1" customHeight="1">
      <c r="A1575" s="1459">
        <v>88316</v>
      </c>
      <c r="B1575" s="1457" t="s">
        <v>123</v>
      </c>
      <c r="C1575" s="1025" t="s">
        <v>117</v>
      </c>
      <c r="D1575" s="1461" t="s">
        <v>410</v>
      </c>
      <c r="E1575" s="1463">
        <v>1</v>
      </c>
      <c r="F1575" s="758">
        <f>'COMP AUX'!G104</f>
        <v>11.1</v>
      </c>
      <c r="G1575" s="563">
        <f t="shared" ref="G1575" si="95">TRUNC(E1575*F1575,2)</f>
        <v>11.1</v>
      </c>
      <c r="H1575" s="1029"/>
    </row>
    <row r="1576" spans="1:8" ht="14.1" customHeight="1">
      <c r="A1576" s="1460"/>
      <c r="B1576" s="1458"/>
      <c r="C1576" s="1025" t="s">
        <v>99</v>
      </c>
      <c r="D1576" s="1462"/>
      <c r="E1576" s="1464"/>
      <c r="F1576" s="758">
        <f>'COMP AUX'!G105</f>
        <v>4.5600000000000005</v>
      </c>
      <c r="G1576" s="563">
        <f>TRUNC(E1575*F1576,2)</f>
        <v>4.5599999999999996</v>
      </c>
      <c r="H1576" s="1029"/>
    </row>
    <row r="1577" spans="1:8" ht="14.1" customHeight="1">
      <c r="A1577" s="1422">
        <v>88267</v>
      </c>
      <c r="B1577" s="1468" t="s">
        <v>131</v>
      </c>
      <c r="C1577" s="430" t="s">
        <v>117</v>
      </c>
      <c r="D1577" s="1461" t="s">
        <v>410</v>
      </c>
      <c r="E1577" s="1463">
        <v>1</v>
      </c>
      <c r="F1577" s="501">
        <f>'COMP AUX'!G151</f>
        <v>14.93</v>
      </c>
      <c r="G1577" s="511">
        <f>TRUNC(E1577*F1577,2)</f>
        <v>14.93</v>
      </c>
      <c r="H1577" s="1029"/>
    </row>
    <row r="1578" spans="1:8" ht="14.1" customHeight="1">
      <c r="A1578" s="1423"/>
      <c r="B1578" s="1469"/>
      <c r="C1578" s="1025" t="s">
        <v>99</v>
      </c>
      <c r="D1578" s="1462"/>
      <c r="E1578" s="1464"/>
      <c r="F1578" s="573">
        <f>'COMP AUX'!G152</f>
        <v>4.5600000000000005</v>
      </c>
      <c r="G1578" s="563">
        <f>TRUNC(E1577*F1578,2)</f>
        <v>4.5599999999999996</v>
      </c>
      <c r="H1578" s="1029"/>
    </row>
    <row r="1579" spans="1:8" ht="22.5">
      <c r="A1579" s="1058">
        <v>36081</v>
      </c>
      <c r="B1579" s="1031" t="s">
        <v>2682</v>
      </c>
      <c r="C1579" s="1025" t="s">
        <v>99</v>
      </c>
      <c r="D1579" s="1025" t="s">
        <v>1538</v>
      </c>
      <c r="E1579" s="629">
        <v>1</v>
      </c>
      <c r="F1579" s="1059">
        <v>206.99</v>
      </c>
      <c r="G1579" s="606">
        <f>TRUNC(E1579*F1579,2)</f>
        <v>206.99</v>
      </c>
      <c r="H1579" s="1029"/>
    </row>
    <row r="1580" spans="1:8" ht="14.1" customHeight="1">
      <c r="A1580" s="1029"/>
      <c r="B1580" s="1029"/>
      <c r="C1580" s="1029"/>
      <c r="D1580" s="1029"/>
      <c r="E1580" s="1029"/>
      <c r="F1580" s="607" t="s">
        <v>103</v>
      </c>
      <c r="G1580" s="1057">
        <f>G1575+G1577</f>
        <v>26.03</v>
      </c>
      <c r="H1580" s="1029"/>
    </row>
    <row r="1581" spans="1:8" ht="14.1" customHeight="1">
      <c r="A1581" s="1029"/>
      <c r="B1581" s="1029"/>
      <c r="C1581" s="1029"/>
      <c r="D1581" s="1029"/>
      <c r="E1581" s="1029"/>
      <c r="F1581" s="581" t="s">
        <v>105</v>
      </c>
      <c r="G1581" s="606">
        <f>G1576+G1578+G1579</f>
        <v>216.11</v>
      </c>
      <c r="H1581" s="1029"/>
    </row>
    <row r="1582" spans="1:8" ht="14.1" customHeight="1">
      <c r="A1582" s="582" t="s">
        <v>107</v>
      </c>
      <c r="B1582" s="1029"/>
      <c r="C1582" s="1029"/>
      <c r="D1582" s="1029"/>
      <c r="E1582" s="1029"/>
      <c r="F1582" s="581" t="s">
        <v>106</v>
      </c>
      <c r="G1582" s="608">
        <f>SUM(G1580:G1581)</f>
        <v>242.14000000000001</v>
      </c>
      <c r="H1582" s="1029"/>
    </row>
    <row r="1583" spans="1:8" ht="14.1" customHeight="1">
      <c r="A1583" s="515" t="s">
        <v>108</v>
      </c>
      <c r="B1583" s="656">
        <f>G1582</f>
        <v>242.14000000000001</v>
      </c>
      <c r="C1583" s="1029"/>
      <c r="D1583" s="1029"/>
      <c r="E1583" s="1029"/>
      <c r="F1583" s="197"/>
      <c r="G1583" s="197"/>
      <c r="H1583" s="1029"/>
    </row>
    <row r="1584" spans="1:8" ht="14.1" customHeight="1">
      <c r="A1584" s="542" t="s">
        <v>2654</v>
      </c>
      <c r="B1584" s="541"/>
      <c r="C1584" s="1029"/>
      <c r="D1584" s="1029"/>
      <c r="E1584" s="1029"/>
      <c r="F1584" s="197"/>
      <c r="G1584" s="197"/>
      <c r="H1584" s="1029"/>
    </row>
    <row r="1585" spans="1:8" ht="14.1" customHeight="1">
      <c r="A1585" s="622" t="s">
        <v>2714</v>
      </c>
      <c r="B1585" s="541">
        <f>(B1583+B1584)*0.245</f>
        <v>59.324300000000001</v>
      </c>
      <c r="C1585" s="1029"/>
      <c r="D1585" s="1029"/>
      <c r="E1585" s="1029"/>
      <c r="F1585" s="197"/>
      <c r="G1585" s="197"/>
      <c r="H1585" s="1029"/>
    </row>
    <row r="1586" spans="1:8" ht="14.1" customHeight="1">
      <c r="A1586" s="515" t="s">
        <v>111</v>
      </c>
      <c r="B1586" s="657">
        <f>SUM(B1583:B1585)</f>
        <v>301.46430000000004</v>
      </c>
      <c r="C1586" s="1029"/>
      <c r="D1586" s="1029"/>
      <c r="E1586" s="1029"/>
      <c r="F1586" s="197"/>
      <c r="G1586" s="197"/>
      <c r="H1586" s="577"/>
    </row>
    <row r="1587" spans="1:8">
      <c r="A1587" s="516"/>
      <c r="B1587" s="517"/>
      <c r="C1587" s="518"/>
      <c r="D1587" s="516"/>
      <c r="E1587" s="517"/>
      <c r="F1587" s="517"/>
      <c r="G1587" s="517"/>
      <c r="H1587" s="516"/>
    </row>
    <row r="1589" spans="1:8">
      <c r="A1589" s="170" t="s">
        <v>1369</v>
      </c>
    </row>
    <row r="1590" spans="1:8">
      <c r="A1590" s="554" t="s">
        <v>2684</v>
      </c>
      <c r="B1590" s="555"/>
      <c r="C1590" s="555"/>
      <c r="D1590" s="555"/>
      <c r="E1590" s="555"/>
      <c r="F1590" s="555"/>
      <c r="G1590" s="555"/>
      <c r="H1590" s="555"/>
    </row>
    <row r="1591" spans="1:8" ht="38.25" customHeight="1">
      <c r="A1591" s="631" t="s">
        <v>1640</v>
      </c>
      <c r="B1591" s="1452" t="s">
        <v>2685</v>
      </c>
      <c r="C1591" s="1452"/>
      <c r="D1591" s="1452"/>
      <c r="E1591" s="592" t="s">
        <v>1538</v>
      </c>
      <c r="F1591" s="555"/>
      <c r="G1591" s="555"/>
      <c r="H1591" s="555"/>
    </row>
    <row r="1592" spans="1:8" ht="22.5">
      <c r="A1592" s="1023" t="s">
        <v>30</v>
      </c>
      <c r="B1592" s="507" t="s">
        <v>19</v>
      </c>
      <c r="C1592" s="430" t="s">
        <v>92</v>
      </c>
      <c r="D1592" s="1026" t="s">
        <v>88</v>
      </c>
      <c r="E1592" s="1026" t="s">
        <v>93</v>
      </c>
      <c r="F1592" s="432" t="s">
        <v>94</v>
      </c>
      <c r="G1592" s="508" t="s">
        <v>95</v>
      </c>
      <c r="H1592" s="1029"/>
    </row>
    <row r="1593" spans="1:8" ht="14.1" customHeight="1">
      <c r="A1593" s="1459">
        <v>88316</v>
      </c>
      <c r="B1593" s="1457" t="s">
        <v>123</v>
      </c>
      <c r="C1593" s="1025" t="s">
        <v>117</v>
      </c>
      <c r="D1593" s="1461" t="s">
        <v>410</v>
      </c>
      <c r="E1593" s="1463">
        <v>1</v>
      </c>
      <c r="F1593" s="758">
        <f>'COMP AUX'!G104</f>
        <v>11.1</v>
      </c>
      <c r="G1593" s="563">
        <f t="shared" ref="G1593" si="96">TRUNC(E1593*F1593,2)</f>
        <v>11.1</v>
      </c>
      <c r="H1593" s="1029"/>
    </row>
    <row r="1594" spans="1:8" ht="14.1" customHeight="1">
      <c r="A1594" s="1460"/>
      <c r="B1594" s="1458"/>
      <c r="C1594" s="1025" t="s">
        <v>99</v>
      </c>
      <c r="D1594" s="1462"/>
      <c r="E1594" s="1464"/>
      <c r="F1594" s="758">
        <f>'COMP AUX'!G105</f>
        <v>4.5600000000000005</v>
      </c>
      <c r="G1594" s="563">
        <f>TRUNC(E1593*F1594,2)</f>
        <v>4.5599999999999996</v>
      </c>
      <c r="H1594" s="1029"/>
    </row>
    <row r="1595" spans="1:8" ht="14.1" customHeight="1">
      <c r="A1595" s="1422">
        <v>88267</v>
      </c>
      <c r="B1595" s="1468" t="s">
        <v>131</v>
      </c>
      <c r="C1595" s="430" t="s">
        <v>117</v>
      </c>
      <c r="D1595" s="1461" t="s">
        <v>410</v>
      </c>
      <c r="E1595" s="1463">
        <v>1</v>
      </c>
      <c r="F1595" s="501">
        <f>'COMP AUX'!G151</f>
        <v>14.93</v>
      </c>
      <c r="G1595" s="511">
        <f>TRUNC(E1595*F1595,2)</f>
        <v>14.93</v>
      </c>
      <c r="H1595" s="1029"/>
    </row>
    <row r="1596" spans="1:8" ht="14.1" customHeight="1">
      <c r="A1596" s="1423"/>
      <c r="B1596" s="1469"/>
      <c r="C1596" s="1025" t="s">
        <v>99</v>
      </c>
      <c r="D1596" s="1462"/>
      <c r="E1596" s="1464"/>
      <c r="F1596" s="573">
        <f>'COMP AUX'!G152</f>
        <v>4.5600000000000005</v>
      </c>
      <c r="G1596" s="563">
        <f>TRUNC(E1595*F1596,2)</f>
        <v>4.5599999999999996</v>
      </c>
      <c r="H1596" s="1029"/>
    </row>
    <row r="1597" spans="1:8" ht="22.5">
      <c r="A1597" s="1058">
        <v>36205</v>
      </c>
      <c r="B1597" s="1031" t="s">
        <v>2686</v>
      </c>
      <c r="C1597" s="1025" t="s">
        <v>99</v>
      </c>
      <c r="D1597" s="1025" t="s">
        <v>1538</v>
      </c>
      <c r="E1597" s="629">
        <v>1</v>
      </c>
      <c r="F1597" s="1059">
        <v>194.13</v>
      </c>
      <c r="G1597" s="606">
        <f>TRUNC(E1597*F1597,2)</f>
        <v>194.13</v>
      </c>
      <c r="H1597" s="1029"/>
    </row>
    <row r="1598" spans="1:8" ht="14.1" customHeight="1">
      <c r="A1598" s="1029"/>
      <c r="B1598" s="1029"/>
      <c r="C1598" s="1029"/>
      <c r="D1598" s="1029"/>
      <c r="E1598" s="1029"/>
      <c r="F1598" s="607" t="s">
        <v>103</v>
      </c>
      <c r="G1598" s="1057">
        <f>G1593+G1595</f>
        <v>26.03</v>
      </c>
      <c r="H1598" s="1029"/>
    </row>
    <row r="1599" spans="1:8" ht="14.1" customHeight="1">
      <c r="A1599" s="1029"/>
      <c r="B1599" s="1029"/>
      <c r="C1599" s="1029"/>
      <c r="D1599" s="1029"/>
      <c r="E1599" s="1029"/>
      <c r="F1599" s="581" t="s">
        <v>105</v>
      </c>
      <c r="G1599" s="606">
        <f>G1594+G1596+G1597</f>
        <v>203.25</v>
      </c>
      <c r="H1599" s="1029"/>
    </row>
    <row r="1600" spans="1:8" ht="14.1" customHeight="1">
      <c r="A1600" s="582" t="s">
        <v>107</v>
      </c>
      <c r="B1600" s="1029"/>
      <c r="C1600" s="1029"/>
      <c r="D1600" s="1029"/>
      <c r="E1600" s="1029"/>
      <c r="F1600" s="581" t="s">
        <v>106</v>
      </c>
      <c r="G1600" s="608">
        <f>SUM(G1598:G1599)</f>
        <v>229.28</v>
      </c>
      <c r="H1600" s="1029"/>
    </row>
    <row r="1601" spans="1:8" ht="14.1" customHeight="1">
      <c r="A1601" s="515" t="s">
        <v>108</v>
      </c>
      <c r="B1601" s="656">
        <f>G1600</f>
        <v>229.28</v>
      </c>
      <c r="C1601" s="1029"/>
      <c r="D1601" s="1029"/>
      <c r="E1601" s="1029"/>
      <c r="F1601" s="197"/>
      <c r="G1601" s="197"/>
      <c r="H1601" s="1029"/>
    </row>
    <row r="1602" spans="1:8" ht="14.1" customHeight="1">
      <c r="A1602" s="542" t="s">
        <v>2654</v>
      </c>
      <c r="B1602" s="541"/>
      <c r="C1602" s="1029"/>
      <c r="D1602" s="1029"/>
      <c r="E1602" s="1029"/>
      <c r="F1602" s="197"/>
      <c r="G1602" s="197"/>
      <c r="H1602" s="1029"/>
    </row>
    <row r="1603" spans="1:8" ht="14.1" customHeight="1">
      <c r="A1603" s="622" t="s">
        <v>2714</v>
      </c>
      <c r="B1603" s="541">
        <f>(B1601+B1602)*0.245</f>
        <v>56.1736</v>
      </c>
      <c r="C1603" s="1029"/>
      <c r="D1603" s="1029"/>
      <c r="E1603" s="1029"/>
      <c r="F1603" s="197"/>
      <c r="G1603" s="197"/>
      <c r="H1603" s="1029"/>
    </row>
    <row r="1604" spans="1:8" ht="14.1" customHeight="1">
      <c r="A1604" s="515" t="s">
        <v>111</v>
      </c>
      <c r="B1604" s="657">
        <f>SUM(B1601:B1603)</f>
        <v>285.45359999999999</v>
      </c>
      <c r="C1604" s="1029"/>
      <c r="D1604" s="1029"/>
      <c r="E1604" s="1029"/>
      <c r="F1604" s="197"/>
      <c r="G1604" s="197"/>
      <c r="H1604" s="577"/>
    </row>
    <row r="1605" spans="1:8">
      <c r="A1605" s="516"/>
      <c r="B1605" s="517"/>
      <c r="C1605" s="518"/>
      <c r="D1605" s="516"/>
      <c r="E1605" s="517"/>
      <c r="F1605" s="517"/>
      <c r="G1605" s="517"/>
      <c r="H1605" s="516"/>
    </row>
    <row r="1607" spans="1:8">
      <c r="A1607" s="170" t="s">
        <v>1369</v>
      </c>
    </row>
    <row r="1608" spans="1:8">
      <c r="A1608" s="554" t="s">
        <v>2687</v>
      </c>
      <c r="B1608" s="555"/>
      <c r="C1608" s="555"/>
      <c r="D1608" s="555"/>
      <c r="E1608" s="555"/>
      <c r="F1608" s="555"/>
      <c r="G1608" s="555"/>
      <c r="H1608" s="555"/>
    </row>
    <row r="1609" spans="1:8" ht="37.5" customHeight="1">
      <c r="A1609" s="631" t="s">
        <v>1640</v>
      </c>
      <c r="B1609" s="1452" t="s">
        <v>2688</v>
      </c>
      <c r="C1609" s="1452"/>
      <c r="D1609" s="1452"/>
      <c r="E1609" s="592" t="s">
        <v>1538</v>
      </c>
      <c r="F1609" s="555"/>
      <c r="G1609" s="555"/>
      <c r="H1609" s="555"/>
    </row>
    <row r="1610" spans="1:8" ht="22.5">
      <c r="A1610" s="1023" t="s">
        <v>30</v>
      </c>
      <c r="B1610" s="507" t="s">
        <v>19</v>
      </c>
      <c r="C1610" s="430" t="s">
        <v>92</v>
      </c>
      <c r="D1610" s="1026" t="s">
        <v>88</v>
      </c>
      <c r="E1610" s="1026" t="s">
        <v>93</v>
      </c>
      <c r="F1610" s="432" t="s">
        <v>94</v>
      </c>
      <c r="G1610" s="508" t="s">
        <v>95</v>
      </c>
      <c r="H1610" s="1029"/>
    </row>
    <row r="1611" spans="1:8" ht="14.1" customHeight="1">
      <c r="A1611" s="1459">
        <v>88316</v>
      </c>
      <c r="B1611" s="1457" t="s">
        <v>123</v>
      </c>
      <c r="C1611" s="1025" t="s">
        <v>117</v>
      </c>
      <c r="D1611" s="1461" t="s">
        <v>410</v>
      </c>
      <c r="E1611" s="1463">
        <v>1</v>
      </c>
      <c r="F1611" s="758">
        <f>'COMP AUX'!G104</f>
        <v>11.1</v>
      </c>
      <c r="G1611" s="563">
        <f t="shared" ref="G1611" si="97">TRUNC(E1611*F1611,2)</f>
        <v>11.1</v>
      </c>
      <c r="H1611" s="1029"/>
    </row>
    <row r="1612" spans="1:8" ht="14.1" customHeight="1">
      <c r="A1612" s="1460"/>
      <c r="B1612" s="1458"/>
      <c r="C1612" s="1025" t="s">
        <v>99</v>
      </c>
      <c r="D1612" s="1462"/>
      <c r="E1612" s="1464"/>
      <c r="F1612" s="758">
        <f>'COMP AUX'!G105</f>
        <v>4.5600000000000005</v>
      </c>
      <c r="G1612" s="563">
        <f>TRUNC(E1611*F1612,2)</f>
        <v>4.5599999999999996</v>
      </c>
      <c r="H1612" s="1029"/>
    </row>
    <row r="1613" spans="1:8" ht="14.1" customHeight="1">
      <c r="A1613" s="1422">
        <v>88267</v>
      </c>
      <c r="B1613" s="1468" t="s">
        <v>131</v>
      </c>
      <c r="C1613" s="430" t="s">
        <v>117</v>
      </c>
      <c r="D1613" s="1461" t="s">
        <v>410</v>
      </c>
      <c r="E1613" s="1463">
        <v>1</v>
      </c>
      <c r="F1613" s="501">
        <f>'COMP AUX'!G151</f>
        <v>14.93</v>
      </c>
      <c r="G1613" s="511">
        <f>TRUNC(E1613*F1613,2)</f>
        <v>14.93</v>
      </c>
      <c r="H1613" s="1029"/>
    </row>
    <row r="1614" spans="1:8" ht="14.1" customHeight="1">
      <c r="A1614" s="1423"/>
      <c r="B1614" s="1469"/>
      <c r="C1614" s="1025" t="s">
        <v>99</v>
      </c>
      <c r="D1614" s="1462"/>
      <c r="E1614" s="1464"/>
      <c r="F1614" s="573">
        <f>'COMP AUX'!G152</f>
        <v>4.5600000000000005</v>
      </c>
      <c r="G1614" s="563">
        <f>TRUNC(E1613*F1614,2)</f>
        <v>4.5599999999999996</v>
      </c>
      <c r="H1614" s="1029"/>
    </row>
    <row r="1615" spans="1:8" ht="22.5">
      <c r="A1615" s="1058">
        <v>36204</v>
      </c>
      <c r="B1615" s="1031" t="s">
        <v>2689</v>
      </c>
      <c r="C1615" s="1025" t="s">
        <v>99</v>
      </c>
      <c r="D1615" s="1025" t="s">
        <v>1538</v>
      </c>
      <c r="E1615" s="629">
        <v>1</v>
      </c>
      <c r="F1615" s="1059">
        <v>174.8</v>
      </c>
      <c r="G1615" s="606">
        <f>TRUNC(E1615*F1615,2)</f>
        <v>174.8</v>
      </c>
      <c r="H1615" s="1029"/>
    </row>
    <row r="1616" spans="1:8" ht="14.1" customHeight="1">
      <c r="A1616" s="1029"/>
      <c r="B1616" s="1029"/>
      <c r="C1616" s="1029"/>
      <c r="D1616" s="1029"/>
      <c r="E1616" s="1029"/>
      <c r="F1616" s="607" t="s">
        <v>103</v>
      </c>
      <c r="G1616" s="1057">
        <f>G1611+G1613</f>
        <v>26.03</v>
      </c>
      <c r="H1616" s="1029"/>
    </row>
    <row r="1617" spans="1:8" ht="14.1" customHeight="1">
      <c r="A1617" s="1029"/>
      <c r="B1617" s="1029"/>
      <c r="C1617" s="1029"/>
      <c r="D1617" s="1029"/>
      <c r="E1617" s="1029"/>
      <c r="F1617" s="581" t="s">
        <v>105</v>
      </c>
      <c r="G1617" s="606">
        <f>G1612+G1614+G1615</f>
        <v>183.92000000000002</v>
      </c>
      <c r="H1617" s="1029"/>
    </row>
    <row r="1618" spans="1:8" ht="14.1" customHeight="1">
      <c r="A1618" s="582" t="s">
        <v>107</v>
      </c>
      <c r="B1618" s="1029"/>
      <c r="C1618" s="1029"/>
      <c r="D1618" s="1029"/>
      <c r="E1618" s="1029"/>
      <c r="F1618" s="581" t="s">
        <v>106</v>
      </c>
      <c r="G1618" s="608">
        <f>SUM(G1616:G1617)</f>
        <v>209.95000000000002</v>
      </c>
      <c r="H1618" s="1029"/>
    </row>
    <row r="1619" spans="1:8" ht="14.1" customHeight="1">
      <c r="A1619" s="515" t="s">
        <v>108</v>
      </c>
      <c r="B1619" s="656">
        <f>G1618</f>
        <v>209.95000000000002</v>
      </c>
      <c r="C1619" s="1029"/>
      <c r="D1619" s="1029"/>
      <c r="E1619" s="1029"/>
      <c r="F1619" s="197"/>
      <c r="G1619" s="197"/>
      <c r="H1619" s="1029"/>
    </row>
    <row r="1620" spans="1:8" ht="14.1" customHeight="1">
      <c r="A1620" s="542" t="s">
        <v>2654</v>
      </c>
      <c r="B1620" s="541"/>
      <c r="C1620" s="1029"/>
      <c r="D1620" s="1029"/>
      <c r="E1620" s="1029"/>
      <c r="F1620" s="197"/>
      <c r="G1620" s="197"/>
      <c r="H1620" s="1029"/>
    </row>
    <row r="1621" spans="1:8" ht="14.1" customHeight="1">
      <c r="A1621" s="622" t="s">
        <v>2714</v>
      </c>
      <c r="B1621" s="541">
        <f>(B1619+B1620)*0.245</f>
        <v>51.437750000000001</v>
      </c>
      <c r="C1621" s="1029"/>
      <c r="D1621" s="1029"/>
      <c r="E1621" s="1029"/>
      <c r="F1621" s="197"/>
      <c r="G1621" s="197"/>
      <c r="H1621" s="1029"/>
    </row>
    <row r="1622" spans="1:8" ht="14.1" customHeight="1">
      <c r="A1622" s="515" t="s">
        <v>111</v>
      </c>
      <c r="B1622" s="657">
        <f>SUM(B1619:B1621)</f>
        <v>261.38775000000004</v>
      </c>
      <c r="C1622" s="1029"/>
      <c r="D1622" s="1029"/>
      <c r="E1622" s="1029"/>
      <c r="F1622" s="197"/>
      <c r="G1622" s="197"/>
      <c r="H1622" s="577"/>
    </row>
    <row r="1623" spans="1:8">
      <c r="A1623" s="516"/>
      <c r="B1623" s="517"/>
      <c r="C1623" s="518"/>
      <c r="D1623" s="516"/>
      <c r="E1623" s="517"/>
      <c r="F1623" s="517"/>
      <c r="G1623" s="517"/>
      <c r="H1623" s="516"/>
    </row>
    <row r="1625" spans="1:8">
      <c r="A1625" s="170" t="s">
        <v>1369</v>
      </c>
    </row>
    <row r="1626" spans="1:8">
      <c r="A1626" s="554" t="s">
        <v>2690</v>
      </c>
      <c r="B1626" s="555"/>
      <c r="C1626" s="555"/>
      <c r="D1626" s="555"/>
      <c r="E1626" s="555"/>
      <c r="F1626" s="555"/>
      <c r="G1626" s="555"/>
      <c r="H1626" s="555"/>
    </row>
    <row r="1627" spans="1:8" ht="48.75" customHeight="1">
      <c r="A1627" s="631" t="s">
        <v>1640</v>
      </c>
      <c r="B1627" s="1452" t="s">
        <v>2691</v>
      </c>
      <c r="C1627" s="1452"/>
      <c r="D1627" s="1452"/>
      <c r="E1627" s="580" t="s">
        <v>1538</v>
      </c>
      <c r="F1627" s="555"/>
      <c r="G1627" s="555"/>
      <c r="H1627" s="555"/>
    </row>
    <row r="1628" spans="1:8" ht="22.5">
      <c r="A1628" s="1023" t="s">
        <v>30</v>
      </c>
      <c r="B1628" s="507" t="s">
        <v>19</v>
      </c>
      <c r="C1628" s="430" t="s">
        <v>92</v>
      </c>
      <c r="D1628" s="1026" t="s">
        <v>88</v>
      </c>
      <c r="E1628" s="1026" t="s">
        <v>93</v>
      </c>
      <c r="F1628" s="432" t="s">
        <v>94</v>
      </c>
      <c r="G1628" s="508" t="s">
        <v>95</v>
      </c>
      <c r="H1628" s="1029"/>
    </row>
    <row r="1629" spans="1:8" ht="14.1" customHeight="1">
      <c r="A1629" s="1459">
        <v>88316</v>
      </c>
      <c r="B1629" s="1457" t="s">
        <v>123</v>
      </c>
      <c r="C1629" s="1025" t="s">
        <v>117</v>
      </c>
      <c r="D1629" s="1461" t="s">
        <v>410</v>
      </c>
      <c r="E1629" s="1463">
        <v>1</v>
      </c>
      <c r="F1629" s="758">
        <f>'COMP AUX'!G104</f>
        <v>11.1</v>
      </c>
      <c r="G1629" s="563">
        <f t="shared" ref="G1629" si="98">TRUNC(E1629*F1629,2)</f>
        <v>11.1</v>
      </c>
      <c r="H1629" s="1029"/>
    </row>
    <row r="1630" spans="1:8" ht="14.1" customHeight="1">
      <c r="A1630" s="1460"/>
      <c r="B1630" s="1458"/>
      <c r="C1630" s="1025" t="s">
        <v>99</v>
      </c>
      <c r="D1630" s="1462"/>
      <c r="E1630" s="1464"/>
      <c r="F1630" s="758">
        <f>'COMP AUX'!G105</f>
        <v>4.5600000000000005</v>
      </c>
      <c r="G1630" s="563">
        <f>TRUNC(E1629*F1630,2)</f>
        <v>4.5599999999999996</v>
      </c>
      <c r="H1630" s="1029"/>
    </row>
    <row r="1631" spans="1:8" ht="14.1" customHeight="1">
      <c r="A1631" s="1422">
        <v>88267</v>
      </c>
      <c r="B1631" s="1468" t="s">
        <v>131</v>
      </c>
      <c r="C1631" s="430" t="s">
        <v>117</v>
      </c>
      <c r="D1631" s="1461" t="s">
        <v>410</v>
      </c>
      <c r="E1631" s="1463">
        <v>1</v>
      </c>
      <c r="F1631" s="501">
        <f>'COMP AUX'!G151</f>
        <v>14.93</v>
      </c>
      <c r="G1631" s="511">
        <f>TRUNC(E1631*F1631,2)</f>
        <v>14.93</v>
      </c>
      <c r="H1631" s="1029"/>
    </row>
    <row r="1632" spans="1:8" ht="14.1" customHeight="1">
      <c r="A1632" s="1423"/>
      <c r="B1632" s="1469"/>
      <c r="C1632" s="1025" t="s">
        <v>99</v>
      </c>
      <c r="D1632" s="1462"/>
      <c r="E1632" s="1464"/>
      <c r="F1632" s="573">
        <f>'COMP AUX'!G152</f>
        <v>4.5600000000000005</v>
      </c>
      <c r="G1632" s="563">
        <f>TRUNC(E1631*F1632,2)</f>
        <v>4.5599999999999996</v>
      </c>
      <c r="H1632" s="1029"/>
    </row>
    <row r="1633" spans="1:8" ht="22.5">
      <c r="A1633" s="1058">
        <v>36215</v>
      </c>
      <c r="B1633" s="1031" t="s">
        <v>2692</v>
      </c>
      <c r="C1633" s="1025" t="s">
        <v>99</v>
      </c>
      <c r="D1633" s="1025" t="s">
        <v>1538</v>
      </c>
      <c r="E1633" s="629">
        <v>1</v>
      </c>
      <c r="F1633" s="1059">
        <v>896.36</v>
      </c>
      <c r="G1633" s="606">
        <f>TRUNC(E1633*F1633,2)</f>
        <v>896.36</v>
      </c>
      <c r="H1633" s="1029"/>
    </row>
    <row r="1634" spans="1:8" ht="14.1" customHeight="1">
      <c r="A1634" s="1029"/>
      <c r="B1634" s="1029"/>
      <c r="C1634" s="1029"/>
      <c r="D1634" s="1029"/>
      <c r="E1634" s="1029"/>
      <c r="F1634" s="607" t="s">
        <v>103</v>
      </c>
      <c r="G1634" s="1057">
        <f>G1629+G1631</f>
        <v>26.03</v>
      </c>
      <c r="H1634" s="1029"/>
    </row>
    <row r="1635" spans="1:8" ht="14.1" customHeight="1">
      <c r="A1635" s="1029"/>
      <c r="B1635" s="1029"/>
      <c r="C1635" s="1029"/>
      <c r="D1635" s="1029"/>
      <c r="E1635" s="1029"/>
      <c r="F1635" s="581" t="s">
        <v>105</v>
      </c>
      <c r="G1635" s="606">
        <f>G1630+G1632+G1633</f>
        <v>905.48</v>
      </c>
      <c r="H1635" s="1029"/>
    </row>
    <row r="1636" spans="1:8" ht="14.1" customHeight="1">
      <c r="A1636" s="582" t="s">
        <v>107</v>
      </c>
      <c r="B1636" s="1029"/>
      <c r="C1636" s="1029"/>
      <c r="D1636" s="1029"/>
      <c r="E1636" s="1029"/>
      <c r="F1636" s="581" t="s">
        <v>106</v>
      </c>
      <c r="G1636" s="608">
        <f>SUM(G1634:G1635)</f>
        <v>931.51</v>
      </c>
      <c r="H1636" s="1029"/>
    </row>
    <row r="1637" spans="1:8" ht="14.1" customHeight="1">
      <c r="A1637" s="515" t="s">
        <v>108</v>
      </c>
      <c r="B1637" s="656">
        <f>G1636</f>
        <v>931.51</v>
      </c>
      <c r="C1637" s="1029"/>
      <c r="D1637" s="1029"/>
      <c r="E1637" s="1029"/>
      <c r="F1637" s="197"/>
      <c r="G1637" s="197"/>
      <c r="H1637" s="1029"/>
    </row>
    <row r="1638" spans="1:8" ht="14.1" customHeight="1">
      <c r="A1638" s="542" t="s">
        <v>2654</v>
      </c>
      <c r="B1638" s="541"/>
      <c r="C1638" s="1029"/>
      <c r="D1638" s="1029"/>
      <c r="E1638" s="1029"/>
      <c r="F1638" s="197"/>
      <c r="G1638" s="197"/>
      <c r="H1638" s="1029"/>
    </row>
    <row r="1639" spans="1:8" ht="14.1" customHeight="1">
      <c r="A1639" s="622" t="s">
        <v>2714</v>
      </c>
      <c r="B1639" s="541">
        <f>(B1637+B1638)*0.245</f>
        <v>228.21994999999998</v>
      </c>
      <c r="C1639" s="1029"/>
      <c r="D1639" s="1029"/>
      <c r="E1639" s="1029"/>
      <c r="F1639" s="197"/>
      <c r="G1639" s="197"/>
      <c r="H1639" s="1029"/>
    </row>
    <row r="1640" spans="1:8" ht="14.1" customHeight="1">
      <c r="A1640" s="515" t="s">
        <v>111</v>
      </c>
      <c r="B1640" s="657">
        <f>SUM(B1637:B1639)</f>
        <v>1159.7299499999999</v>
      </c>
      <c r="C1640" s="1029"/>
      <c r="D1640" s="1029"/>
      <c r="E1640" s="1029"/>
      <c r="F1640" s="197"/>
      <c r="G1640" s="197"/>
      <c r="H1640" s="577"/>
    </row>
    <row r="1641" spans="1:8">
      <c r="A1641" s="516"/>
      <c r="B1641" s="517"/>
      <c r="C1641" s="518"/>
      <c r="D1641" s="516"/>
      <c r="E1641" s="517"/>
      <c r="F1641" s="517"/>
      <c r="G1641" s="517"/>
      <c r="H1641" s="516"/>
    </row>
    <row r="1645" spans="1:8">
      <c r="A1645" s="170" t="s">
        <v>1369</v>
      </c>
    </row>
    <row r="1646" spans="1:8">
      <c r="A1646" s="554" t="s">
        <v>1596</v>
      </c>
      <c r="B1646" s="555"/>
      <c r="C1646" s="555"/>
      <c r="D1646" s="555"/>
      <c r="E1646" s="555"/>
      <c r="F1646" s="555"/>
      <c r="G1646" s="555"/>
      <c r="H1646" s="555"/>
    </row>
    <row r="1647" spans="1:8" ht="33" customHeight="1">
      <c r="A1647" s="631" t="s">
        <v>1640</v>
      </c>
      <c r="B1647" s="1452" t="s">
        <v>1826</v>
      </c>
      <c r="C1647" s="1452"/>
      <c r="D1647" s="1452"/>
      <c r="E1647" s="592" t="s">
        <v>1538</v>
      </c>
      <c r="F1647" s="555"/>
      <c r="G1647" s="555"/>
      <c r="H1647" s="555"/>
    </row>
    <row r="1648" spans="1:8" ht="22.5">
      <c r="A1648" s="502" t="s">
        <v>30</v>
      </c>
      <c r="B1648" s="507" t="s">
        <v>19</v>
      </c>
      <c r="C1648" s="430" t="s">
        <v>92</v>
      </c>
      <c r="D1648" s="612" t="s">
        <v>88</v>
      </c>
      <c r="E1648" s="612" t="s">
        <v>93</v>
      </c>
      <c r="F1648" s="432" t="s">
        <v>94</v>
      </c>
      <c r="G1648" s="508" t="s">
        <v>95</v>
      </c>
      <c r="H1648" s="201"/>
    </row>
    <row r="1649" spans="1:8" ht="15.95" customHeight="1">
      <c r="A1649" s="1459">
        <v>86887</v>
      </c>
      <c r="B1649" s="1457" t="s">
        <v>1825</v>
      </c>
      <c r="C1649" s="430" t="s">
        <v>117</v>
      </c>
      <c r="D1649" s="1461" t="s">
        <v>5</v>
      </c>
      <c r="E1649" s="1463">
        <v>1</v>
      </c>
      <c r="F1649" s="501">
        <f>'COMP AUX'!G1886</f>
        <v>2.8600000000000003</v>
      </c>
      <c r="G1649" s="511">
        <f>TRUNC(E1649*F1649,2)</f>
        <v>2.86</v>
      </c>
      <c r="H1649" s="747"/>
    </row>
    <row r="1650" spans="1:8" ht="15.95" customHeight="1">
      <c r="A1650" s="1460"/>
      <c r="B1650" s="1458"/>
      <c r="C1650" s="611" t="s">
        <v>99</v>
      </c>
      <c r="D1650" s="1462"/>
      <c r="E1650" s="1464"/>
      <c r="F1650" s="573">
        <f>'COMP AUX'!G1887</f>
        <v>33.83</v>
      </c>
      <c r="G1650" s="563">
        <f>TRUNC(E1649*F1650,2)</f>
        <v>33.83</v>
      </c>
      <c r="H1650" s="201"/>
    </row>
    <row r="1651" spans="1:8" ht="15.95" customHeight="1">
      <c r="A1651" s="1459">
        <v>86888</v>
      </c>
      <c r="B1651" s="1457" t="s">
        <v>1824</v>
      </c>
      <c r="C1651" s="746" t="s">
        <v>117</v>
      </c>
      <c r="D1651" s="1461" t="s">
        <v>5</v>
      </c>
      <c r="E1651" s="1463">
        <v>1</v>
      </c>
      <c r="F1651" s="573">
        <f>'COMP AUX'!G1903</f>
        <v>16.89</v>
      </c>
      <c r="G1651" s="563">
        <f>TRUNC(E1651*F1651,2)</f>
        <v>16.89</v>
      </c>
      <c r="H1651" s="747"/>
    </row>
    <row r="1652" spans="1:8" ht="15.95" customHeight="1">
      <c r="A1652" s="1467"/>
      <c r="B1652" s="1466"/>
      <c r="C1652" s="611" t="s">
        <v>99</v>
      </c>
      <c r="D1652" s="1462"/>
      <c r="E1652" s="1464"/>
      <c r="F1652" s="573">
        <f>'COMP AUX'!G1904</f>
        <v>330.76000000000005</v>
      </c>
      <c r="G1652" s="563">
        <f>TRUNC(E1651*F1652,2)</f>
        <v>330.76</v>
      </c>
      <c r="H1652" s="201"/>
    </row>
    <row r="1653" spans="1:8" ht="15.95" customHeight="1">
      <c r="A1653" s="201"/>
      <c r="B1653" s="201"/>
      <c r="C1653" s="201"/>
      <c r="D1653" s="201"/>
      <c r="E1653" s="201"/>
      <c r="F1653" s="581" t="s">
        <v>103</v>
      </c>
      <c r="G1653" s="563">
        <f>G1649+G1651</f>
        <v>19.75</v>
      </c>
      <c r="H1653" s="201"/>
    </row>
    <row r="1654" spans="1:8" ht="15.95" customHeight="1">
      <c r="A1654" s="201"/>
      <c r="B1654" s="201"/>
      <c r="C1654" s="201"/>
      <c r="D1654" s="201"/>
      <c r="E1654" s="201"/>
      <c r="F1654" s="581" t="s">
        <v>105</v>
      </c>
      <c r="G1654" s="563">
        <f>G1650+G1652</f>
        <v>364.59</v>
      </c>
      <c r="H1654" s="201"/>
    </row>
    <row r="1655" spans="1:8" ht="15.95" customHeight="1">
      <c r="A1655" s="582" t="s">
        <v>107</v>
      </c>
      <c r="B1655" s="609"/>
      <c r="C1655" s="201"/>
      <c r="D1655" s="201"/>
      <c r="E1655" s="201"/>
      <c r="F1655" s="581" t="s">
        <v>106</v>
      </c>
      <c r="G1655" s="759">
        <f>SUM(G1653:G1654)</f>
        <v>384.34</v>
      </c>
      <c r="H1655" s="201"/>
    </row>
    <row r="1656" spans="1:8" ht="15.95" customHeight="1">
      <c r="A1656" s="515" t="s">
        <v>108</v>
      </c>
      <c r="B1656" s="548">
        <f>G1655</f>
        <v>384.34</v>
      </c>
      <c r="C1656" s="201"/>
      <c r="D1656" s="201"/>
      <c r="E1656" s="201"/>
      <c r="F1656" s="197"/>
      <c r="G1656" s="197"/>
      <c r="H1656" s="201"/>
    </row>
    <row r="1657" spans="1:8" ht="15.95" customHeight="1">
      <c r="A1657" s="542" t="s">
        <v>2654</v>
      </c>
      <c r="B1657" s="541"/>
      <c r="C1657" s="201"/>
      <c r="D1657" s="201"/>
      <c r="E1657" s="201"/>
      <c r="F1657" s="197"/>
      <c r="G1657" s="197"/>
      <c r="H1657" s="201"/>
    </row>
    <row r="1658" spans="1:8" ht="15.95" customHeight="1">
      <c r="A1658" s="622" t="s">
        <v>2714</v>
      </c>
      <c r="B1658" s="541">
        <f>(B1656+B1657)*0.245</f>
        <v>94.163299999999992</v>
      </c>
      <c r="C1658" s="201"/>
      <c r="D1658" s="201"/>
      <c r="E1658" s="201"/>
      <c r="F1658" s="197"/>
      <c r="G1658" s="197"/>
      <c r="H1658" s="201"/>
    </row>
    <row r="1659" spans="1:8" ht="15.95" customHeight="1">
      <c r="A1659" s="515" t="s">
        <v>111</v>
      </c>
      <c r="B1659" s="549">
        <f>SUM(B1656:B1658)</f>
        <v>478.50329999999997</v>
      </c>
      <c r="C1659" s="201"/>
      <c r="D1659" s="201"/>
      <c r="E1659" s="201"/>
      <c r="F1659" s="197"/>
      <c r="G1659" s="197"/>
      <c r="H1659" s="577"/>
    </row>
    <row r="1660" spans="1:8">
      <c r="A1660" s="516"/>
      <c r="B1660" s="517"/>
      <c r="C1660" s="518"/>
      <c r="D1660" s="516"/>
      <c r="E1660" s="517"/>
      <c r="F1660" s="517"/>
      <c r="G1660" s="517"/>
      <c r="H1660" s="516"/>
    </row>
    <row r="1661" spans="1:8">
      <c r="A1661" s="424"/>
      <c r="B1661" s="421"/>
      <c r="C1661" s="423"/>
      <c r="D1661" s="424"/>
      <c r="E1661" s="421"/>
      <c r="F1661" s="421"/>
      <c r="G1661" s="421"/>
      <c r="H1661" s="424"/>
    </row>
    <row r="1662" spans="1:8">
      <c r="A1662" s="170" t="s">
        <v>1369</v>
      </c>
    </row>
    <row r="1663" spans="1:8">
      <c r="A1663" s="554" t="s">
        <v>2007</v>
      </c>
      <c r="B1663" s="554"/>
      <c r="C1663" s="554"/>
      <c r="D1663" s="554"/>
      <c r="E1663" s="554"/>
      <c r="F1663" s="554"/>
      <c r="G1663" s="554"/>
      <c r="H1663" s="554"/>
    </row>
    <row r="1664" spans="1:8" ht="40.5" customHeight="1">
      <c r="A1664" s="631" t="s">
        <v>1640</v>
      </c>
      <c r="B1664" s="1452" t="s">
        <v>1896</v>
      </c>
      <c r="C1664" s="1452"/>
      <c r="D1664" s="1452"/>
      <c r="E1664" s="580" t="s">
        <v>1538</v>
      </c>
      <c r="F1664" s="555"/>
      <c r="G1664" s="555"/>
      <c r="H1664" s="555"/>
    </row>
    <row r="1665" spans="1:8" ht="27" customHeight="1">
      <c r="A1665" s="751" t="s">
        <v>30</v>
      </c>
      <c r="B1665" s="507" t="s">
        <v>19</v>
      </c>
      <c r="C1665" s="430" t="s">
        <v>92</v>
      </c>
      <c r="D1665" s="739" t="s">
        <v>88</v>
      </c>
      <c r="E1665" s="739" t="s">
        <v>93</v>
      </c>
      <c r="F1665" s="432" t="s">
        <v>94</v>
      </c>
      <c r="G1665" s="508" t="s">
        <v>95</v>
      </c>
      <c r="H1665" s="747"/>
    </row>
    <row r="1666" spans="1:8" ht="30" customHeight="1">
      <c r="A1666" s="745">
        <v>6142</v>
      </c>
      <c r="B1666" s="786" t="s">
        <v>1897</v>
      </c>
      <c r="C1666" s="755" t="s">
        <v>99</v>
      </c>
      <c r="D1666" s="743" t="s">
        <v>408</v>
      </c>
      <c r="E1666" s="744">
        <v>1</v>
      </c>
      <c r="F1666" s="501">
        <v>5.27</v>
      </c>
      <c r="G1666" s="511">
        <f>TRUNC(E1666*F1666,2)</f>
        <v>5.27</v>
      </c>
      <c r="H1666" s="747"/>
    </row>
    <row r="1667" spans="1:8" ht="18" customHeight="1">
      <c r="A1667" s="1459">
        <v>95469</v>
      </c>
      <c r="B1667" s="1457" t="s">
        <v>1898</v>
      </c>
      <c r="C1667" s="746" t="s">
        <v>117</v>
      </c>
      <c r="D1667" s="1461" t="s">
        <v>408</v>
      </c>
      <c r="E1667" s="1463">
        <v>1</v>
      </c>
      <c r="F1667" s="573">
        <f>'COMP AUX'!G1920</f>
        <v>16.89</v>
      </c>
      <c r="G1667" s="563">
        <f>TRUNC(E1667*F1667,2)</f>
        <v>16.89</v>
      </c>
      <c r="H1667" s="747"/>
    </row>
    <row r="1668" spans="1:8" ht="18" customHeight="1">
      <c r="A1668" s="1460"/>
      <c r="B1668" s="1458"/>
      <c r="C1668" s="746" t="s">
        <v>99</v>
      </c>
      <c r="D1668" s="1462"/>
      <c r="E1668" s="1464"/>
      <c r="F1668" s="573">
        <f>'COMP AUX'!G1921</f>
        <v>147.47</v>
      </c>
      <c r="G1668" s="563">
        <f>TRUNC(E1667*F1668,2)</f>
        <v>147.47</v>
      </c>
      <c r="H1668" s="747"/>
    </row>
    <row r="1669" spans="1:8" ht="15" customHeight="1">
      <c r="A1669" s="747"/>
      <c r="B1669" s="747"/>
      <c r="C1669" s="747"/>
      <c r="D1669" s="747"/>
      <c r="E1669" s="747"/>
      <c r="F1669" s="581" t="s">
        <v>103</v>
      </c>
      <c r="G1669" s="563">
        <f>G1667</f>
        <v>16.89</v>
      </c>
      <c r="H1669" s="747"/>
    </row>
    <row r="1670" spans="1:8" ht="15" customHeight="1">
      <c r="A1670" s="747"/>
      <c r="B1670" s="747"/>
      <c r="C1670" s="747"/>
      <c r="D1670" s="747"/>
      <c r="E1670" s="747"/>
      <c r="F1670" s="581" t="s">
        <v>105</v>
      </c>
      <c r="G1670" s="563">
        <f>G1666+G1668</f>
        <v>152.74</v>
      </c>
      <c r="H1670" s="747"/>
    </row>
    <row r="1671" spans="1:8" ht="15" customHeight="1">
      <c r="A1671" s="582" t="s">
        <v>107</v>
      </c>
      <c r="B1671" s="747"/>
      <c r="C1671" s="747"/>
      <c r="D1671" s="747"/>
      <c r="E1671" s="747"/>
      <c r="F1671" s="581" t="s">
        <v>106</v>
      </c>
      <c r="G1671" s="759">
        <f>SUM(G1669:G1670)</f>
        <v>169.63</v>
      </c>
      <c r="H1671" s="747"/>
    </row>
    <row r="1672" spans="1:8" ht="15" customHeight="1">
      <c r="A1672" s="515" t="s">
        <v>108</v>
      </c>
      <c r="B1672" s="548">
        <f>G1671</f>
        <v>169.63</v>
      </c>
      <c r="C1672" s="747"/>
      <c r="D1672" s="747"/>
      <c r="E1672" s="747"/>
      <c r="F1672" s="197"/>
      <c r="G1672" s="197"/>
      <c r="H1672" s="747"/>
    </row>
    <row r="1673" spans="1:8" ht="15" customHeight="1">
      <c r="A1673" s="542" t="s">
        <v>2654</v>
      </c>
      <c r="B1673" s="541"/>
      <c r="C1673" s="747"/>
      <c r="D1673" s="747"/>
      <c r="E1673" s="747"/>
      <c r="F1673" s="197"/>
      <c r="G1673" s="197"/>
      <c r="H1673" s="747"/>
    </row>
    <row r="1674" spans="1:8" ht="15" customHeight="1">
      <c r="A1674" s="622" t="s">
        <v>2714</v>
      </c>
      <c r="B1674" s="541">
        <f>(B1672+B1673)*0.245</f>
        <v>41.559349999999995</v>
      </c>
      <c r="C1674" s="747"/>
      <c r="D1674" s="747"/>
      <c r="E1674" s="747"/>
      <c r="F1674" s="197"/>
      <c r="G1674" s="197"/>
      <c r="H1674" s="747"/>
    </row>
    <row r="1675" spans="1:8" ht="15" customHeight="1">
      <c r="A1675" s="515" t="s">
        <v>111</v>
      </c>
      <c r="B1675" s="549">
        <f>SUM(B1672:B1674)</f>
        <v>211.18934999999999</v>
      </c>
      <c r="C1675" s="747"/>
      <c r="D1675" s="747"/>
      <c r="E1675" s="747"/>
      <c r="F1675" s="197"/>
      <c r="G1675" s="197"/>
      <c r="H1675" s="577"/>
    </row>
    <row r="1676" spans="1:8">
      <c r="A1676" s="516"/>
      <c r="B1676" s="517"/>
      <c r="C1676" s="518"/>
      <c r="D1676" s="516"/>
      <c r="E1676" s="517"/>
      <c r="F1676" s="517"/>
      <c r="G1676" s="517"/>
      <c r="H1676" s="516"/>
    </row>
    <row r="1677" spans="1:8">
      <c r="A1677" s="424"/>
      <c r="B1677" s="421"/>
      <c r="C1677" s="423"/>
      <c r="D1677" s="424"/>
      <c r="E1677" s="421"/>
      <c r="F1677" s="421"/>
      <c r="G1677" s="421"/>
      <c r="H1677" s="424"/>
    </row>
    <row r="1678" spans="1:8">
      <c r="A1678" s="170" t="s">
        <v>1369</v>
      </c>
    </row>
    <row r="1679" spans="1:8" ht="13.5" customHeight="1">
      <c r="A1679" s="937" t="s">
        <v>2237</v>
      </c>
      <c r="B1679" s="554"/>
      <c r="C1679" s="554"/>
      <c r="D1679" s="554"/>
      <c r="E1679" s="554"/>
      <c r="F1679" s="554"/>
      <c r="G1679" s="554"/>
      <c r="H1679" s="554"/>
    </row>
    <row r="1680" spans="1:8" ht="41.25" customHeight="1">
      <c r="A1680" s="631" t="s">
        <v>1640</v>
      </c>
      <c r="B1680" s="1452" t="s">
        <v>2010</v>
      </c>
      <c r="C1680" s="1452"/>
      <c r="D1680" s="1452"/>
      <c r="E1680" s="580" t="s">
        <v>1538</v>
      </c>
      <c r="F1680" s="555"/>
      <c r="G1680" s="555"/>
      <c r="H1680" s="555"/>
    </row>
    <row r="1681" spans="1:8" ht="22.5">
      <c r="A1681" s="935" t="s">
        <v>30</v>
      </c>
      <c r="B1681" s="507" t="s">
        <v>19</v>
      </c>
      <c r="C1681" s="430" t="s">
        <v>92</v>
      </c>
      <c r="D1681" s="933" t="s">
        <v>88</v>
      </c>
      <c r="E1681" s="933" t="s">
        <v>93</v>
      </c>
      <c r="F1681" s="432" t="s">
        <v>94</v>
      </c>
      <c r="G1681" s="508" t="s">
        <v>95</v>
      </c>
      <c r="H1681" s="938"/>
    </row>
    <row r="1682" spans="1:8" ht="26.25" customHeight="1">
      <c r="A1682" s="927">
        <v>6142</v>
      </c>
      <c r="B1682" s="786" t="s">
        <v>1897</v>
      </c>
      <c r="C1682" s="941" t="s">
        <v>99</v>
      </c>
      <c r="D1682" s="928" t="s">
        <v>408</v>
      </c>
      <c r="E1682" s="929">
        <v>1</v>
      </c>
      <c r="F1682" s="501">
        <v>5.27</v>
      </c>
      <c r="G1682" s="511">
        <f>TRUNC(E1682*F1682,2)</f>
        <v>5.27</v>
      </c>
      <c r="H1682" s="938"/>
    </row>
    <row r="1683" spans="1:8" ht="20.100000000000001" customHeight="1">
      <c r="A1683" s="1459">
        <v>95471</v>
      </c>
      <c r="B1683" s="1457" t="s">
        <v>2238</v>
      </c>
      <c r="C1683" s="939" t="s">
        <v>117</v>
      </c>
      <c r="D1683" s="1461" t="s">
        <v>408</v>
      </c>
      <c r="E1683" s="1463">
        <v>1</v>
      </c>
      <c r="F1683" s="573">
        <f>'COMP AUX'!G1937</f>
        <v>16.89</v>
      </c>
      <c r="G1683" s="563">
        <f>TRUNC(E1683*F1683,2)</f>
        <v>16.89</v>
      </c>
      <c r="H1683" s="938"/>
    </row>
    <row r="1684" spans="1:8" ht="20.100000000000001" customHeight="1">
      <c r="A1684" s="1460"/>
      <c r="B1684" s="1458"/>
      <c r="C1684" s="939" t="s">
        <v>99</v>
      </c>
      <c r="D1684" s="1462"/>
      <c r="E1684" s="1464"/>
      <c r="F1684" s="573">
        <f>'COMP AUX'!G1938</f>
        <v>585.49999999999989</v>
      </c>
      <c r="G1684" s="563">
        <f>TRUNC(E1683*F1684,2)</f>
        <v>585.5</v>
      </c>
      <c r="H1684" s="938"/>
    </row>
    <row r="1685" spans="1:8" ht="15" customHeight="1">
      <c r="A1685" s="938"/>
      <c r="B1685" s="938"/>
      <c r="C1685" s="938"/>
      <c r="D1685" s="938"/>
      <c r="E1685" s="938"/>
      <c r="F1685" s="581" t="s">
        <v>103</v>
      </c>
      <c r="G1685" s="563">
        <f>G1683</f>
        <v>16.89</v>
      </c>
      <c r="H1685" s="938"/>
    </row>
    <row r="1686" spans="1:8" ht="15" customHeight="1">
      <c r="A1686" s="938"/>
      <c r="B1686" s="938"/>
      <c r="C1686" s="938"/>
      <c r="D1686" s="938"/>
      <c r="E1686" s="938"/>
      <c r="F1686" s="581" t="s">
        <v>105</v>
      </c>
      <c r="G1686" s="563">
        <f>G1682+G1684</f>
        <v>590.77</v>
      </c>
      <c r="H1686" s="938"/>
    </row>
    <row r="1687" spans="1:8" ht="15" customHeight="1">
      <c r="A1687" s="582" t="s">
        <v>107</v>
      </c>
      <c r="B1687" s="938"/>
      <c r="C1687" s="938"/>
      <c r="D1687" s="938"/>
      <c r="E1687" s="938"/>
      <c r="F1687" s="581" t="s">
        <v>106</v>
      </c>
      <c r="G1687" s="759">
        <f>SUM(G1685:G1686)</f>
        <v>607.66</v>
      </c>
      <c r="H1687" s="938"/>
    </row>
    <row r="1688" spans="1:8" ht="15" customHeight="1">
      <c r="A1688" s="515" t="s">
        <v>108</v>
      </c>
      <c r="B1688" s="548">
        <f>G1687</f>
        <v>607.66</v>
      </c>
      <c r="C1688" s="938"/>
      <c r="D1688" s="938"/>
      <c r="E1688" s="938"/>
      <c r="F1688" s="197"/>
      <c r="G1688" s="197"/>
      <c r="H1688" s="938"/>
    </row>
    <row r="1689" spans="1:8" ht="15" customHeight="1">
      <c r="A1689" s="542" t="s">
        <v>2654</v>
      </c>
      <c r="B1689" s="541"/>
      <c r="C1689" s="938"/>
      <c r="D1689" s="938"/>
      <c r="E1689" s="938"/>
      <c r="F1689" s="197"/>
      <c r="G1689" s="197"/>
      <c r="H1689" s="938"/>
    </row>
    <row r="1690" spans="1:8" ht="15" customHeight="1">
      <c r="A1690" s="622" t="s">
        <v>2714</v>
      </c>
      <c r="B1690" s="541">
        <f>(B1688+B1689)*0.245</f>
        <v>148.8767</v>
      </c>
      <c r="C1690" s="938"/>
      <c r="D1690" s="938"/>
      <c r="E1690" s="938"/>
      <c r="F1690" s="197"/>
      <c r="G1690" s="197"/>
      <c r="H1690" s="938"/>
    </row>
    <row r="1691" spans="1:8" ht="15" customHeight="1">
      <c r="A1691" s="515" t="s">
        <v>111</v>
      </c>
      <c r="B1691" s="549">
        <f>SUM(B1688:B1690)</f>
        <v>756.5367</v>
      </c>
      <c r="C1691" s="938"/>
      <c r="D1691" s="938"/>
      <c r="E1691" s="938"/>
      <c r="F1691" s="197"/>
      <c r="G1691" s="197"/>
      <c r="H1691" s="577"/>
    </row>
    <row r="1692" spans="1:8">
      <c r="A1692" s="516"/>
      <c r="B1692" s="517"/>
      <c r="C1692" s="518"/>
      <c r="D1692" s="516"/>
      <c r="E1692" s="517"/>
      <c r="F1692" s="517"/>
      <c r="G1692" s="517"/>
      <c r="H1692" s="516"/>
    </row>
    <row r="1693" spans="1:8">
      <c r="A1693" s="424"/>
      <c r="B1693" s="421"/>
      <c r="C1693" s="423"/>
      <c r="D1693" s="424"/>
      <c r="E1693" s="421"/>
      <c r="F1693" s="421"/>
      <c r="G1693" s="421"/>
      <c r="H1693" s="424"/>
    </row>
    <row r="1694" spans="1:8">
      <c r="A1694" s="170" t="s">
        <v>1369</v>
      </c>
    </row>
    <row r="1695" spans="1:8">
      <c r="A1695" s="1377" t="s">
        <v>3205</v>
      </c>
      <c r="B1695" s="554"/>
      <c r="C1695" s="554"/>
      <c r="D1695" s="554"/>
      <c r="E1695" s="554"/>
      <c r="F1695" s="554"/>
      <c r="G1695" s="554"/>
      <c r="H1695" s="554"/>
    </row>
    <row r="1696" spans="1:8" ht="24.75" customHeight="1">
      <c r="A1696" s="631" t="s">
        <v>1640</v>
      </c>
      <c r="B1696" s="631" t="s">
        <v>3196</v>
      </c>
      <c r="C1696" s="615" t="s">
        <v>1538</v>
      </c>
      <c r="D1696" s="631"/>
      <c r="E1696" s="170"/>
      <c r="F1696" s="555"/>
      <c r="G1696" s="555"/>
      <c r="H1696" s="555"/>
    </row>
    <row r="1697" spans="1:11" ht="22.5">
      <c r="A1697" s="1376" t="s">
        <v>30</v>
      </c>
      <c r="B1697" s="507" t="s">
        <v>19</v>
      </c>
      <c r="C1697" s="430" t="s">
        <v>92</v>
      </c>
      <c r="D1697" s="1372" t="s">
        <v>88</v>
      </c>
      <c r="E1697" s="1372" t="s">
        <v>93</v>
      </c>
      <c r="F1697" s="432" t="s">
        <v>94</v>
      </c>
      <c r="G1697" s="508" t="s">
        <v>95</v>
      </c>
      <c r="H1697" s="1378"/>
      <c r="J1697" s="1612" t="s">
        <v>3191</v>
      </c>
      <c r="K1697" s="1612" t="s">
        <v>3192</v>
      </c>
    </row>
    <row r="1698" spans="1:11" ht="22.5">
      <c r="A1698" s="1375" t="s">
        <v>90</v>
      </c>
      <c r="B1698" s="786" t="s">
        <v>3197</v>
      </c>
      <c r="C1698" s="1379" t="s">
        <v>99</v>
      </c>
      <c r="D1698" s="1373" t="s">
        <v>408</v>
      </c>
      <c r="E1698" s="1374">
        <v>1</v>
      </c>
      <c r="F1698" s="501">
        <f>(J1698+K1698)/2</f>
        <v>482.77</v>
      </c>
      <c r="G1698" s="511">
        <f>TRUNC(E1698*F1698,2)</f>
        <v>482.77</v>
      </c>
      <c r="H1698" s="1378"/>
      <c r="J1698" s="1142">
        <v>649.9</v>
      </c>
      <c r="K1698" s="425">
        <v>315.64</v>
      </c>
    </row>
    <row r="1699" spans="1:11" ht="11.25" customHeight="1">
      <c r="A1699" s="1459">
        <v>88316</v>
      </c>
      <c r="B1699" s="1457" t="s">
        <v>3190</v>
      </c>
      <c r="C1699" s="1119" t="s">
        <v>117</v>
      </c>
      <c r="D1699" s="1461" t="s">
        <v>408</v>
      </c>
      <c r="E1699" s="1463">
        <v>0.17</v>
      </c>
      <c r="F1699" s="573">
        <f>'COMP AUX'!G104</f>
        <v>11.1</v>
      </c>
      <c r="G1699" s="563">
        <f>TRUNC(E1699*F1699,2)</f>
        <v>1.88</v>
      </c>
      <c r="H1699" s="1378"/>
      <c r="J1699" s="425" t="s">
        <v>3194</v>
      </c>
      <c r="K1699" s="425" t="s">
        <v>3195</v>
      </c>
    </row>
    <row r="1700" spans="1:11">
      <c r="A1700" s="1460"/>
      <c r="B1700" s="1458"/>
      <c r="C1700" s="1119" t="s">
        <v>99</v>
      </c>
      <c r="D1700" s="1462"/>
      <c r="E1700" s="1464"/>
      <c r="F1700" s="573">
        <f>'COMP AUX'!G105</f>
        <v>4.5600000000000005</v>
      </c>
      <c r="G1700" s="563">
        <f>TRUNC(E1699*F1700,2)</f>
        <v>0.77</v>
      </c>
      <c r="H1700" s="1378"/>
    </row>
    <row r="1701" spans="1:11">
      <c r="A1701" s="1378"/>
      <c r="B1701" s="1378"/>
      <c r="C1701" s="1378"/>
      <c r="D1701" s="1378"/>
      <c r="E1701" s="1378"/>
      <c r="F1701" s="581" t="s">
        <v>103</v>
      </c>
      <c r="G1701" s="563">
        <f>G1699</f>
        <v>1.88</v>
      </c>
      <c r="H1701" s="1378"/>
    </row>
    <row r="1702" spans="1:11">
      <c r="A1702" s="1378"/>
      <c r="B1702" s="1378"/>
      <c r="C1702" s="1378"/>
      <c r="D1702" s="1378"/>
      <c r="E1702" s="1378"/>
      <c r="F1702" s="581" t="s">
        <v>105</v>
      </c>
      <c r="G1702" s="563">
        <f>G1698+G1700</f>
        <v>483.53999999999996</v>
      </c>
      <c r="H1702" s="1378"/>
    </row>
    <row r="1703" spans="1:11">
      <c r="A1703" s="582" t="s">
        <v>107</v>
      </c>
      <c r="B1703" s="1378"/>
      <c r="C1703" s="1378"/>
      <c r="D1703" s="1378"/>
      <c r="E1703" s="1378"/>
      <c r="F1703" s="581" t="s">
        <v>106</v>
      </c>
      <c r="G1703" s="759">
        <f>SUM(G1701:G1702)</f>
        <v>485.41999999999996</v>
      </c>
      <c r="H1703" s="1378"/>
    </row>
    <row r="1704" spans="1:11">
      <c r="A1704" s="515" t="s">
        <v>108</v>
      </c>
      <c r="B1704" s="548">
        <f>G1703</f>
        <v>485.41999999999996</v>
      </c>
      <c r="C1704" s="1378"/>
      <c r="D1704" s="1378"/>
      <c r="E1704" s="1378"/>
      <c r="F1704" s="197"/>
      <c r="G1704" s="197"/>
      <c r="H1704" s="1378"/>
    </row>
    <row r="1705" spans="1:11">
      <c r="A1705" s="542" t="s">
        <v>2654</v>
      </c>
      <c r="B1705" s="541"/>
      <c r="C1705" s="1378"/>
      <c r="D1705" s="1378"/>
      <c r="E1705" s="1378"/>
      <c r="F1705" s="197"/>
      <c r="G1705" s="197"/>
      <c r="H1705" s="1378"/>
    </row>
    <row r="1706" spans="1:11">
      <c r="A1706" s="622" t="s">
        <v>2714</v>
      </c>
      <c r="B1706" s="541">
        <f>(B1704+B1705)*0.245</f>
        <v>118.92789999999999</v>
      </c>
      <c r="C1706" s="1378"/>
      <c r="D1706" s="1378"/>
      <c r="E1706" s="1378"/>
      <c r="F1706" s="197"/>
      <c r="G1706" s="197"/>
      <c r="H1706" s="1378"/>
    </row>
    <row r="1707" spans="1:11">
      <c r="A1707" s="515" t="s">
        <v>111</v>
      </c>
      <c r="B1707" s="549">
        <f>SUM(B1704:B1706)</f>
        <v>604.34789999999998</v>
      </c>
      <c r="C1707" s="1378"/>
      <c r="D1707" s="1378"/>
      <c r="E1707" s="1378"/>
      <c r="F1707" s="197"/>
      <c r="G1707" s="197"/>
      <c r="H1707" s="577"/>
    </row>
    <row r="1708" spans="1:11">
      <c r="A1708" s="516"/>
      <c r="B1708" s="517"/>
      <c r="C1708" s="518"/>
      <c r="D1708" s="516"/>
      <c r="E1708" s="517"/>
      <c r="F1708" s="517"/>
      <c r="G1708" s="517"/>
      <c r="H1708" s="516"/>
    </row>
    <row r="1709" spans="1:11">
      <c r="A1709" s="424"/>
      <c r="B1709" s="421"/>
      <c r="C1709" s="423"/>
      <c r="D1709" s="424"/>
      <c r="E1709" s="421"/>
      <c r="F1709" s="421"/>
      <c r="G1709" s="421"/>
      <c r="H1709" s="424"/>
    </row>
    <row r="1710" spans="1:11">
      <c r="A1710" s="170" t="s">
        <v>1369</v>
      </c>
    </row>
    <row r="1711" spans="1:11">
      <c r="A1711" s="1377" t="s">
        <v>3206</v>
      </c>
      <c r="B1711" s="554"/>
      <c r="C1711" s="554"/>
      <c r="D1711" s="554"/>
      <c r="E1711" s="554"/>
      <c r="F1711" s="554"/>
      <c r="G1711" s="554"/>
      <c r="H1711" s="554"/>
    </row>
    <row r="1712" spans="1:11" ht="23.25" customHeight="1">
      <c r="A1712" s="631" t="s">
        <v>1640</v>
      </c>
      <c r="B1712" s="631" t="s">
        <v>3198</v>
      </c>
      <c r="C1712" s="615" t="s">
        <v>1538</v>
      </c>
      <c r="D1712" s="631"/>
      <c r="E1712" s="170"/>
      <c r="F1712" s="555"/>
      <c r="G1712" s="555"/>
      <c r="H1712" s="555"/>
    </row>
    <row r="1713" spans="1:11" ht="22.5">
      <c r="A1713" s="1376" t="s">
        <v>30</v>
      </c>
      <c r="B1713" s="507" t="s">
        <v>19</v>
      </c>
      <c r="C1713" s="430" t="s">
        <v>92</v>
      </c>
      <c r="D1713" s="1372" t="s">
        <v>88</v>
      </c>
      <c r="E1713" s="1372" t="s">
        <v>93</v>
      </c>
      <c r="F1713" s="432" t="s">
        <v>94</v>
      </c>
      <c r="G1713" s="508" t="s">
        <v>95</v>
      </c>
      <c r="H1713" s="1378"/>
      <c r="J1713" s="1612" t="s">
        <v>3191</v>
      </c>
      <c r="K1713" s="1612" t="s">
        <v>3192</v>
      </c>
    </row>
    <row r="1714" spans="1:11" ht="14.1" customHeight="1">
      <c r="A1714" s="1375" t="s">
        <v>90</v>
      </c>
      <c r="B1714" s="786" t="s">
        <v>3193</v>
      </c>
      <c r="C1714" s="1379" t="s">
        <v>99</v>
      </c>
      <c r="D1714" s="1373" t="s">
        <v>408</v>
      </c>
      <c r="E1714" s="1374">
        <v>1</v>
      </c>
      <c r="F1714" s="501">
        <f>(J1714+K1714)/2</f>
        <v>43.17</v>
      </c>
      <c r="G1714" s="511">
        <f>TRUNC(E1714*F1714,2)</f>
        <v>43.17</v>
      </c>
      <c r="H1714" s="1378"/>
      <c r="J1714" s="1142">
        <v>54.9</v>
      </c>
      <c r="K1714" s="425">
        <v>31.44</v>
      </c>
    </row>
    <row r="1715" spans="1:11" ht="14.1" customHeight="1">
      <c r="A1715" s="1459">
        <v>88316</v>
      </c>
      <c r="B1715" s="1457" t="s">
        <v>3190</v>
      </c>
      <c r="C1715" s="1119" t="s">
        <v>117</v>
      </c>
      <c r="D1715" s="1461" t="s">
        <v>408</v>
      </c>
      <c r="E1715" s="1463">
        <v>0.17</v>
      </c>
      <c r="F1715" s="573">
        <f>'COMP AUX'!G104</f>
        <v>11.1</v>
      </c>
      <c r="G1715" s="563">
        <f>TRUNC(E1715*F1715,2)</f>
        <v>1.88</v>
      </c>
      <c r="H1715" s="1378"/>
      <c r="J1715" s="425" t="s">
        <v>3194</v>
      </c>
      <c r="K1715" s="425" t="s">
        <v>3195</v>
      </c>
    </row>
    <row r="1716" spans="1:11" ht="14.1" customHeight="1">
      <c r="A1716" s="1460"/>
      <c r="B1716" s="1458"/>
      <c r="C1716" s="1119" t="s">
        <v>99</v>
      </c>
      <c r="D1716" s="1462"/>
      <c r="E1716" s="1464"/>
      <c r="F1716" s="573">
        <f>'COMP AUX'!G105</f>
        <v>4.5600000000000005</v>
      </c>
      <c r="G1716" s="563">
        <f>TRUNC(E1715*F1716,2)</f>
        <v>0.77</v>
      </c>
      <c r="H1716" s="1378"/>
    </row>
    <row r="1717" spans="1:11" ht="14.1" customHeight="1">
      <c r="A1717" s="1378"/>
      <c r="B1717" s="1378"/>
      <c r="C1717" s="1378"/>
      <c r="D1717" s="1378"/>
      <c r="E1717" s="1378"/>
      <c r="F1717" s="581" t="s">
        <v>103</v>
      </c>
      <c r="G1717" s="563">
        <f>G1715</f>
        <v>1.88</v>
      </c>
      <c r="H1717" s="1378"/>
    </row>
    <row r="1718" spans="1:11" ht="14.1" customHeight="1">
      <c r="A1718" s="1378"/>
      <c r="B1718" s="1378"/>
      <c r="C1718" s="1378"/>
      <c r="D1718" s="1378"/>
      <c r="E1718" s="1378"/>
      <c r="F1718" s="581" t="s">
        <v>105</v>
      </c>
      <c r="G1718" s="563">
        <f>G1714+G1716</f>
        <v>43.940000000000005</v>
      </c>
      <c r="H1718" s="1378"/>
    </row>
    <row r="1719" spans="1:11" ht="14.1" customHeight="1">
      <c r="A1719" s="582" t="s">
        <v>107</v>
      </c>
      <c r="B1719" s="1378"/>
      <c r="C1719" s="1378"/>
      <c r="D1719" s="1378"/>
      <c r="E1719" s="1378"/>
      <c r="F1719" s="581" t="s">
        <v>106</v>
      </c>
      <c r="G1719" s="759">
        <f>SUM(G1717:G1718)</f>
        <v>45.820000000000007</v>
      </c>
      <c r="H1719" s="1378"/>
    </row>
    <row r="1720" spans="1:11" ht="14.1" customHeight="1">
      <c r="A1720" s="515" t="s">
        <v>108</v>
      </c>
      <c r="B1720" s="548">
        <f>G1719</f>
        <v>45.820000000000007</v>
      </c>
      <c r="C1720" s="1378"/>
      <c r="D1720" s="1378"/>
      <c r="E1720" s="1378"/>
      <c r="F1720" s="197"/>
      <c r="G1720" s="197"/>
      <c r="H1720" s="1378"/>
    </row>
    <row r="1721" spans="1:11" ht="14.1" customHeight="1">
      <c r="A1721" s="542" t="s">
        <v>2654</v>
      </c>
      <c r="B1721" s="541"/>
      <c r="C1721" s="1378"/>
      <c r="D1721" s="1378"/>
      <c r="E1721" s="1378"/>
      <c r="F1721" s="197"/>
      <c r="G1721" s="197"/>
      <c r="H1721" s="1378"/>
    </row>
    <row r="1722" spans="1:11" ht="14.1" customHeight="1">
      <c r="A1722" s="622" t="s">
        <v>2714</v>
      </c>
      <c r="B1722" s="541">
        <f>(B1720+B1721)*0.245</f>
        <v>11.225900000000001</v>
      </c>
      <c r="C1722" s="1378"/>
      <c r="D1722" s="1378"/>
      <c r="E1722" s="1378"/>
      <c r="F1722" s="197"/>
      <c r="G1722" s="197"/>
      <c r="H1722" s="1378"/>
    </row>
    <row r="1723" spans="1:11" ht="14.1" customHeight="1">
      <c r="A1723" s="515" t="s">
        <v>111</v>
      </c>
      <c r="B1723" s="549">
        <f>SUM(B1720:B1722)</f>
        <v>57.04590000000001</v>
      </c>
      <c r="C1723" s="1378"/>
      <c r="D1723" s="1378"/>
      <c r="E1723" s="1378"/>
      <c r="F1723" s="197"/>
      <c r="G1723" s="197"/>
      <c r="H1723" s="577"/>
    </row>
    <row r="1724" spans="1:11">
      <c r="A1724" s="516"/>
      <c r="B1724" s="517"/>
      <c r="C1724" s="518"/>
      <c r="D1724" s="516"/>
      <c r="E1724" s="517"/>
      <c r="F1724" s="517"/>
      <c r="G1724" s="517"/>
      <c r="H1724" s="516"/>
    </row>
    <row r="1725" spans="1:11">
      <c r="A1725" s="424"/>
      <c r="B1725" s="421"/>
      <c r="C1725" s="423"/>
      <c r="D1725" s="424"/>
      <c r="E1725" s="421"/>
      <c r="F1725" s="421"/>
      <c r="G1725" s="421"/>
      <c r="H1725" s="424"/>
    </row>
    <row r="1726" spans="1:11">
      <c r="A1726" s="170" t="s">
        <v>1369</v>
      </c>
    </row>
    <row r="1727" spans="1:11">
      <c r="A1727" s="1129" t="s">
        <v>2887</v>
      </c>
      <c r="B1727" s="554"/>
      <c r="C1727" s="554"/>
      <c r="D1727" s="554"/>
      <c r="E1727" s="554"/>
      <c r="F1727" s="554"/>
      <c r="G1727" s="554"/>
      <c r="H1727" s="554"/>
    </row>
    <row r="1728" spans="1:11" ht="26.25" customHeight="1">
      <c r="A1728" s="631" t="s">
        <v>1640</v>
      </c>
      <c r="B1728" s="1452" t="s">
        <v>1951</v>
      </c>
      <c r="C1728" s="1452"/>
      <c r="D1728" s="615" t="s">
        <v>1538</v>
      </c>
      <c r="E1728" s="170"/>
      <c r="F1728" s="555"/>
      <c r="G1728" s="555"/>
      <c r="H1728" s="555"/>
      <c r="J1728" s="170" t="s">
        <v>2783</v>
      </c>
    </row>
    <row r="1729" spans="1:10" ht="22.5">
      <c r="A1729" s="1103" t="s">
        <v>30</v>
      </c>
      <c r="B1729" s="507" t="s">
        <v>19</v>
      </c>
      <c r="C1729" s="430" t="s">
        <v>92</v>
      </c>
      <c r="D1729" s="1094" t="s">
        <v>88</v>
      </c>
      <c r="E1729" s="1094" t="s">
        <v>93</v>
      </c>
      <c r="F1729" s="432" t="s">
        <v>94</v>
      </c>
      <c r="G1729" s="508" t="s">
        <v>95</v>
      </c>
      <c r="H1729" s="1105"/>
    </row>
    <row r="1730" spans="1:10" ht="14.1" customHeight="1">
      <c r="A1730" s="1102" t="s">
        <v>2784</v>
      </c>
      <c r="B1730" s="728" t="s">
        <v>2785</v>
      </c>
      <c r="C1730" s="1107" t="s">
        <v>99</v>
      </c>
      <c r="D1730" s="1096" t="s">
        <v>1401</v>
      </c>
      <c r="E1730" s="1099">
        <v>0.12</v>
      </c>
      <c r="F1730" s="501">
        <v>16</v>
      </c>
      <c r="G1730" s="511">
        <f>TRUNC(E1730*F1730,2)</f>
        <v>1.92</v>
      </c>
      <c r="H1730" s="1105"/>
    </row>
    <row r="1731" spans="1:10" ht="14.1" customHeight="1">
      <c r="A1731" s="1102" t="s">
        <v>2608</v>
      </c>
      <c r="B1731" s="728" t="s">
        <v>2609</v>
      </c>
      <c r="C1731" s="1107" t="s">
        <v>99</v>
      </c>
      <c r="D1731" s="1096" t="s">
        <v>1276</v>
      </c>
      <c r="E1731" s="1099">
        <v>0.08</v>
      </c>
      <c r="F1731" s="432">
        <v>20.55</v>
      </c>
      <c r="G1731" s="511">
        <f t="shared" ref="G1731:G1732" si="99">TRUNC(E1731*F1731,2)</f>
        <v>1.64</v>
      </c>
      <c r="H1731" s="1105"/>
    </row>
    <row r="1732" spans="1:10" ht="14.1" customHeight="1">
      <c r="A1732" s="1102" t="s">
        <v>2787</v>
      </c>
      <c r="B1732" s="1093" t="s">
        <v>2786</v>
      </c>
      <c r="C1732" s="1107" t="s">
        <v>99</v>
      </c>
      <c r="D1732" s="1096" t="s">
        <v>408</v>
      </c>
      <c r="E1732" s="1099">
        <v>1</v>
      </c>
      <c r="F1732" s="1130">
        <v>3499</v>
      </c>
      <c r="G1732" s="1131">
        <f t="shared" si="99"/>
        <v>3499</v>
      </c>
      <c r="H1732" s="1105"/>
      <c r="J1732" s="170" t="s">
        <v>2795</v>
      </c>
    </row>
    <row r="1733" spans="1:10" ht="14.1" customHeight="1">
      <c r="A1733" s="1436">
        <v>88242</v>
      </c>
      <c r="B1733" s="1457" t="s">
        <v>2788</v>
      </c>
      <c r="C1733" s="1107" t="s">
        <v>117</v>
      </c>
      <c r="D1733" s="1461" t="s">
        <v>408</v>
      </c>
      <c r="E1733" s="1463">
        <v>0.7</v>
      </c>
      <c r="F1733" s="501">
        <f>'COMP AUX'!G70</f>
        <v>11.02</v>
      </c>
      <c r="G1733" s="511">
        <f>TRUNC(E1733*F1733,2)</f>
        <v>7.71</v>
      </c>
      <c r="H1733" s="1105"/>
    </row>
    <row r="1734" spans="1:10" ht="14.1" customHeight="1">
      <c r="A1734" s="1437"/>
      <c r="B1734" s="1458"/>
      <c r="C1734" s="1107" t="s">
        <v>99</v>
      </c>
      <c r="D1734" s="1462"/>
      <c r="E1734" s="1464"/>
      <c r="F1734" s="501">
        <f>'COMP AUX'!G71</f>
        <v>4.5600000000000005</v>
      </c>
      <c r="G1734" s="511">
        <f>TRUNC(E1733*F1734,2)</f>
        <v>3.19</v>
      </c>
      <c r="H1734" s="1105"/>
    </row>
    <row r="1735" spans="1:10" ht="14.1" customHeight="1">
      <c r="A1735" s="1459">
        <v>88267</v>
      </c>
      <c r="B1735" s="1457" t="s">
        <v>298</v>
      </c>
      <c r="C1735" s="1106" t="s">
        <v>117</v>
      </c>
      <c r="D1735" s="1461" t="s">
        <v>408</v>
      </c>
      <c r="E1735" s="1463">
        <v>0.5</v>
      </c>
      <c r="F1735" s="573">
        <f>'COMP AUX'!G338</f>
        <v>15.41</v>
      </c>
      <c r="G1735" s="563">
        <f>TRUNC(E1735*F1735,2)</f>
        <v>7.7</v>
      </c>
      <c r="H1735" s="1105"/>
    </row>
    <row r="1736" spans="1:10" ht="14.1" customHeight="1">
      <c r="A1736" s="1460"/>
      <c r="B1736" s="1458"/>
      <c r="C1736" s="1106" t="s">
        <v>99</v>
      </c>
      <c r="D1736" s="1462"/>
      <c r="E1736" s="1464"/>
      <c r="F1736" s="573">
        <f>'COMP AUX'!G339</f>
        <v>4.5600000000000005</v>
      </c>
      <c r="G1736" s="563">
        <f>TRUNC(E1735*F1736,2)</f>
        <v>2.2799999999999998</v>
      </c>
      <c r="H1736" s="1105"/>
    </row>
    <row r="1737" spans="1:10" ht="14.1" customHeight="1">
      <c r="A1737" s="1105"/>
      <c r="B1737" s="1105"/>
      <c r="C1737" s="1105"/>
      <c r="D1737" s="1105"/>
      <c r="E1737" s="1105"/>
      <c r="F1737" s="581" t="s">
        <v>103</v>
      </c>
      <c r="G1737" s="563">
        <f>G1733+G1735</f>
        <v>15.41</v>
      </c>
      <c r="H1737" s="1105"/>
    </row>
    <row r="1738" spans="1:10" ht="14.1" customHeight="1">
      <c r="A1738" s="1105"/>
      <c r="B1738" s="1105"/>
      <c r="C1738" s="1105"/>
      <c r="D1738" s="1105"/>
      <c r="E1738" s="1105"/>
      <c r="F1738" s="581" t="s">
        <v>105</v>
      </c>
      <c r="G1738" s="606">
        <f>G1730+G1731+G1732+G1734+G1736</f>
        <v>3508.03</v>
      </c>
      <c r="H1738" s="1105"/>
    </row>
    <row r="1739" spans="1:10" ht="14.1" customHeight="1">
      <c r="A1739" s="582" t="s">
        <v>107</v>
      </c>
      <c r="B1739" s="1105"/>
      <c r="C1739" s="1105"/>
      <c r="D1739" s="1105"/>
      <c r="E1739" s="1105"/>
      <c r="F1739" s="581" t="s">
        <v>106</v>
      </c>
      <c r="G1739" s="608">
        <f>SUM(G1737:G1738)</f>
        <v>3523.44</v>
      </c>
      <c r="H1739" s="1105"/>
    </row>
    <row r="1740" spans="1:10" ht="14.1" customHeight="1">
      <c r="A1740" s="515" t="s">
        <v>108</v>
      </c>
      <c r="B1740" s="656">
        <f>G1739</f>
        <v>3523.44</v>
      </c>
      <c r="C1740" s="1105"/>
      <c r="D1740" s="1105"/>
      <c r="E1740" s="1105"/>
      <c r="F1740" s="197"/>
      <c r="G1740" s="197"/>
      <c r="H1740" s="1105"/>
    </row>
    <row r="1741" spans="1:10" ht="14.1" customHeight="1">
      <c r="A1741" s="542" t="s">
        <v>2654</v>
      </c>
      <c r="B1741" s="541"/>
      <c r="C1741" s="1105"/>
      <c r="D1741" s="1105"/>
      <c r="E1741" s="1105"/>
      <c r="F1741" s="197"/>
      <c r="G1741" s="197"/>
      <c r="H1741" s="1105"/>
    </row>
    <row r="1742" spans="1:10" ht="14.1" customHeight="1">
      <c r="A1742" s="622" t="s">
        <v>2714</v>
      </c>
      <c r="B1742" s="541">
        <f>(B1740+B1741)*0.245</f>
        <v>863.24279999999999</v>
      </c>
      <c r="C1742" s="1105"/>
      <c r="D1742" s="1105"/>
      <c r="E1742" s="1105"/>
      <c r="F1742" s="197"/>
      <c r="G1742" s="197"/>
      <c r="H1742" s="1105"/>
    </row>
    <row r="1743" spans="1:10" ht="14.1" customHeight="1">
      <c r="A1743" s="515" t="s">
        <v>111</v>
      </c>
      <c r="B1743" s="657">
        <f>SUM(B1740:B1742)</f>
        <v>4386.6828000000005</v>
      </c>
      <c r="C1743" s="1105"/>
      <c r="D1743" s="1105"/>
      <c r="E1743" s="1105"/>
      <c r="F1743" s="197"/>
      <c r="G1743" s="197"/>
      <c r="H1743" s="577"/>
    </row>
    <row r="1744" spans="1:10">
      <c r="A1744" s="516"/>
      <c r="B1744" s="517"/>
      <c r="C1744" s="518"/>
      <c r="D1744" s="516"/>
      <c r="E1744" s="517"/>
      <c r="F1744" s="517"/>
      <c r="G1744" s="517"/>
      <c r="H1744" s="516"/>
    </row>
    <row r="1745" spans="1:8">
      <c r="A1745" s="424"/>
      <c r="B1745" s="421"/>
      <c r="C1745" s="423"/>
      <c r="D1745" s="424"/>
      <c r="E1745" s="421"/>
      <c r="F1745" s="421"/>
      <c r="G1745" s="421"/>
      <c r="H1745" s="424"/>
    </row>
    <row r="1746" spans="1:8">
      <c r="A1746" s="170" t="s">
        <v>1369</v>
      </c>
    </row>
    <row r="1747" spans="1:8">
      <c r="A1747" s="1450" t="s">
        <v>2236</v>
      </c>
      <c r="B1747" s="1451"/>
      <c r="C1747" s="1451"/>
      <c r="D1747" s="1451"/>
      <c r="E1747" s="1451"/>
      <c r="F1747" s="1451"/>
      <c r="G1747" s="1451"/>
      <c r="H1747" s="1451"/>
    </row>
    <row r="1748" spans="1:8" ht="42" customHeight="1">
      <c r="A1748" s="707" t="s">
        <v>1640</v>
      </c>
      <c r="B1748" s="1465" t="s">
        <v>2221</v>
      </c>
      <c r="C1748" s="1465"/>
      <c r="D1748" s="1465"/>
      <c r="E1748" s="591" t="s">
        <v>1538</v>
      </c>
      <c r="F1748" s="587"/>
      <c r="G1748" s="587"/>
      <c r="H1748" s="587"/>
    </row>
    <row r="1749" spans="1:8" ht="26.25" customHeight="1">
      <c r="A1749" s="935" t="s">
        <v>30</v>
      </c>
      <c r="B1749" s="507" t="s">
        <v>19</v>
      </c>
      <c r="C1749" s="430" t="s">
        <v>92</v>
      </c>
      <c r="D1749" s="933" t="s">
        <v>88</v>
      </c>
      <c r="E1749" s="933" t="s">
        <v>93</v>
      </c>
      <c r="F1749" s="432" t="s">
        <v>94</v>
      </c>
      <c r="G1749" s="508" t="s">
        <v>95</v>
      </c>
    </row>
    <row r="1750" spans="1:8" ht="15" customHeight="1">
      <c r="A1750" s="627" t="s">
        <v>2222</v>
      </c>
      <c r="B1750" s="632" t="s">
        <v>788</v>
      </c>
      <c r="C1750" s="926" t="s">
        <v>99</v>
      </c>
      <c r="D1750" s="926" t="s">
        <v>1401</v>
      </c>
      <c r="E1750" s="870">
        <v>0.25</v>
      </c>
      <c r="F1750" s="926">
        <v>2.92</v>
      </c>
      <c r="G1750" s="583">
        <f t="shared" ref="G1750:G1757" si="100">TRUNC(E1750*F1750,2)</f>
        <v>0.73</v>
      </c>
      <c r="H1750" s="936"/>
    </row>
    <row r="1751" spans="1:8" ht="15" customHeight="1">
      <c r="A1751" s="627" t="s">
        <v>1892</v>
      </c>
      <c r="B1751" s="632" t="s">
        <v>2223</v>
      </c>
      <c r="C1751" s="926" t="s">
        <v>99</v>
      </c>
      <c r="D1751" s="926" t="s">
        <v>408</v>
      </c>
      <c r="E1751" s="870">
        <v>1</v>
      </c>
      <c r="F1751" s="926">
        <v>1.54</v>
      </c>
      <c r="G1751" s="583">
        <f t="shared" si="100"/>
        <v>1.54</v>
      </c>
      <c r="H1751" s="936"/>
    </row>
    <row r="1752" spans="1:8" ht="25.5" customHeight="1">
      <c r="A1752" s="627" t="s">
        <v>2224</v>
      </c>
      <c r="B1752" s="632" t="s">
        <v>2225</v>
      </c>
      <c r="C1752" s="926" t="s">
        <v>99</v>
      </c>
      <c r="D1752" s="926" t="s">
        <v>408</v>
      </c>
      <c r="E1752" s="870">
        <v>1</v>
      </c>
      <c r="F1752" s="926">
        <v>2.42</v>
      </c>
      <c r="G1752" s="583">
        <f t="shared" si="100"/>
        <v>2.42</v>
      </c>
      <c r="H1752" s="936"/>
    </row>
    <row r="1753" spans="1:8" ht="33.75">
      <c r="A1753" s="627" t="s">
        <v>2226</v>
      </c>
      <c r="B1753" s="632" t="s">
        <v>2227</v>
      </c>
      <c r="C1753" s="926" t="s">
        <v>99</v>
      </c>
      <c r="D1753" s="926" t="s">
        <v>408</v>
      </c>
      <c r="E1753" s="870">
        <v>1</v>
      </c>
      <c r="F1753" s="926">
        <v>7.31</v>
      </c>
      <c r="G1753" s="583">
        <f t="shared" si="100"/>
        <v>7.31</v>
      </c>
      <c r="H1753" s="936"/>
    </row>
    <row r="1754" spans="1:8" ht="15" customHeight="1">
      <c r="A1754" s="627" t="s">
        <v>2228</v>
      </c>
      <c r="B1754" s="632" t="s">
        <v>2229</v>
      </c>
      <c r="C1754" s="926" t="s">
        <v>99</v>
      </c>
      <c r="D1754" s="926" t="s">
        <v>408</v>
      </c>
      <c r="E1754" s="870">
        <v>1</v>
      </c>
      <c r="F1754" s="926">
        <v>47.35</v>
      </c>
      <c r="G1754" s="583">
        <f t="shared" si="100"/>
        <v>47.35</v>
      </c>
      <c r="H1754" s="936"/>
    </row>
    <row r="1755" spans="1:8" ht="15" customHeight="1">
      <c r="A1755" s="627" t="s">
        <v>2230</v>
      </c>
      <c r="B1755" s="632" t="s">
        <v>2231</v>
      </c>
      <c r="C1755" s="926" t="s">
        <v>99</v>
      </c>
      <c r="D1755" s="926" t="s">
        <v>408</v>
      </c>
      <c r="E1755" s="870">
        <v>1</v>
      </c>
      <c r="F1755" s="926">
        <v>247.76</v>
      </c>
      <c r="G1755" s="583">
        <f t="shared" si="100"/>
        <v>247.76</v>
      </c>
      <c r="H1755" s="936"/>
    </row>
    <row r="1756" spans="1:8" ht="33.75">
      <c r="A1756" s="627" t="s">
        <v>2232</v>
      </c>
      <c r="B1756" s="632" t="s">
        <v>2233</v>
      </c>
      <c r="C1756" s="926" t="s">
        <v>99</v>
      </c>
      <c r="D1756" s="926" t="s">
        <v>408</v>
      </c>
      <c r="E1756" s="870">
        <v>2</v>
      </c>
      <c r="F1756" s="926">
        <v>2.35</v>
      </c>
      <c r="G1756" s="583">
        <f t="shared" si="100"/>
        <v>4.7</v>
      </c>
      <c r="H1756" s="936"/>
    </row>
    <row r="1757" spans="1:8" ht="15" customHeight="1">
      <c r="A1757" s="1444">
        <v>88267</v>
      </c>
      <c r="B1757" s="1446" t="s">
        <v>298</v>
      </c>
      <c r="C1757" s="926" t="s">
        <v>117</v>
      </c>
      <c r="D1757" s="1432" t="s">
        <v>410</v>
      </c>
      <c r="E1757" s="1448">
        <v>0.1</v>
      </c>
      <c r="F1757" s="584">
        <f>'COMP AUX'!G338</f>
        <v>15.41</v>
      </c>
      <c r="G1757" s="620">
        <f t="shared" si="100"/>
        <v>1.54</v>
      </c>
      <c r="H1757" s="936"/>
    </row>
    <row r="1758" spans="1:8" ht="15" customHeight="1">
      <c r="A1758" s="1445"/>
      <c r="B1758" s="1447"/>
      <c r="C1758" s="926" t="s">
        <v>99</v>
      </c>
      <c r="D1758" s="1433"/>
      <c r="E1758" s="1449"/>
      <c r="F1758" s="584">
        <f>'COMP AUX'!G339</f>
        <v>4.5600000000000005</v>
      </c>
      <c r="G1758" s="620">
        <f>TRUNC(E1757*F1758,2)</f>
        <v>0.45</v>
      </c>
      <c r="H1758" s="936"/>
    </row>
    <row r="1759" spans="1:8" ht="15" customHeight="1">
      <c r="A1759" s="1444">
        <v>88316</v>
      </c>
      <c r="B1759" s="1446" t="s">
        <v>123</v>
      </c>
      <c r="C1759" s="926" t="s">
        <v>117</v>
      </c>
      <c r="D1759" s="1432" t="s">
        <v>410</v>
      </c>
      <c r="E1759" s="1448">
        <v>0.03</v>
      </c>
      <c r="F1759" s="584">
        <f>'COMP AUX'!G104</f>
        <v>11.1</v>
      </c>
      <c r="G1759" s="620">
        <f t="shared" ref="G1759" si="101">TRUNC(E1759*F1759,2)</f>
        <v>0.33</v>
      </c>
      <c r="H1759" s="936"/>
    </row>
    <row r="1760" spans="1:8" ht="15" customHeight="1">
      <c r="A1760" s="1445"/>
      <c r="B1760" s="1447"/>
      <c r="C1760" s="926" t="s">
        <v>99</v>
      </c>
      <c r="D1760" s="1433"/>
      <c r="E1760" s="1449"/>
      <c r="F1760" s="584">
        <f>'COMP AUX'!G105</f>
        <v>4.5600000000000005</v>
      </c>
      <c r="G1760" s="620">
        <f>TRUNC(E1759*F1760,2)</f>
        <v>0.13</v>
      </c>
      <c r="H1760" s="936"/>
    </row>
    <row r="1761" spans="1:10" ht="15" customHeight="1">
      <c r="A1761" s="936"/>
      <c r="B1761" s="936"/>
      <c r="C1761" s="936"/>
      <c r="D1761" s="936"/>
      <c r="E1761" s="936"/>
      <c r="F1761" s="585" t="s">
        <v>103</v>
      </c>
      <c r="G1761" s="620">
        <f>G1757+G1759</f>
        <v>1.87</v>
      </c>
      <c r="H1761" s="936"/>
    </row>
    <row r="1762" spans="1:10" ht="15" customHeight="1">
      <c r="A1762" s="936"/>
      <c r="B1762" s="936"/>
      <c r="C1762" s="936"/>
      <c r="D1762" s="936"/>
      <c r="E1762" s="936"/>
      <c r="F1762" s="585" t="s">
        <v>105</v>
      </c>
      <c r="G1762" s="583">
        <f>G1750+G1751+G1752+G1753+G1754+G1755+G1756+G1758+G1760</f>
        <v>312.39</v>
      </c>
      <c r="H1762" s="936"/>
    </row>
    <row r="1763" spans="1:10" ht="15" customHeight="1">
      <c r="A1763" s="582" t="s">
        <v>107</v>
      </c>
      <c r="B1763" s="938"/>
      <c r="C1763" s="936"/>
      <c r="D1763" s="936"/>
      <c r="E1763" s="936"/>
      <c r="F1763" s="585" t="s">
        <v>106</v>
      </c>
      <c r="G1763" s="586">
        <f>SUM(G1761:G1762)</f>
        <v>314.26</v>
      </c>
      <c r="H1763" s="936"/>
    </row>
    <row r="1764" spans="1:10" ht="15" customHeight="1">
      <c r="A1764" s="515" t="s">
        <v>108</v>
      </c>
      <c r="B1764" s="548">
        <f>G1763</f>
        <v>314.26</v>
      </c>
      <c r="C1764" s="936"/>
      <c r="D1764" s="936"/>
      <c r="E1764" s="936"/>
      <c r="F1764" s="191"/>
      <c r="G1764" s="191"/>
      <c r="H1764" s="936"/>
    </row>
    <row r="1765" spans="1:10" ht="15" customHeight="1">
      <c r="A1765" s="542" t="s">
        <v>2654</v>
      </c>
      <c r="B1765" s="541"/>
      <c r="C1765" s="936"/>
      <c r="D1765" s="936"/>
      <c r="E1765" s="936"/>
      <c r="F1765" s="191"/>
      <c r="G1765" s="191"/>
      <c r="H1765" s="936"/>
    </row>
    <row r="1766" spans="1:10" ht="15" customHeight="1">
      <c r="A1766" s="622" t="s">
        <v>2714</v>
      </c>
      <c r="B1766" s="541">
        <f>(B1764+B1765)*0.245</f>
        <v>76.99369999999999</v>
      </c>
      <c r="C1766" s="936"/>
      <c r="D1766" s="936"/>
      <c r="E1766" s="936"/>
      <c r="F1766" s="191"/>
      <c r="G1766" s="191"/>
      <c r="H1766" s="936"/>
    </row>
    <row r="1767" spans="1:10" ht="15" customHeight="1">
      <c r="A1767" s="515" t="s">
        <v>111</v>
      </c>
      <c r="B1767" s="549">
        <f>SUM(B1764:B1766)</f>
        <v>391.25369999999998</v>
      </c>
      <c r="C1767" s="936"/>
      <c r="D1767" s="936"/>
      <c r="E1767" s="936"/>
      <c r="F1767" s="191"/>
      <c r="G1767" s="191"/>
      <c r="H1767" s="589"/>
    </row>
    <row r="1768" spans="1:10">
      <c r="A1768" s="516"/>
      <c r="B1768" s="517"/>
      <c r="C1768" s="518"/>
      <c r="D1768" s="516"/>
      <c r="E1768" s="517"/>
      <c r="F1768" s="517"/>
      <c r="G1768" s="517"/>
      <c r="H1768" s="516"/>
    </row>
    <row r="1769" spans="1:10">
      <c r="A1769" s="424"/>
      <c r="B1769" s="421"/>
      <c r="C1769" s="423"/>
      <c r="D1769" s="424"/>
      <c r="E1769" s="421"/>
      <c r="F1769" s="421"/>
      <c r="G1769" s="421"/>
      <c r="H1769" s="424"/>
    </row>
    <row r="1770" spans="1:10">
      <c r="A1770" s="170" t="s">
        <v>1369</v>
      </c>
    </row>
    <row r="1771" spans="1:10">
      <c r="A1771" s="554" t="s">
        <v>2889</v>
      </c>
      <c r="B1771" s="554"/>
      <c r="C1771" s="554"/>
      <c r="D1771" s="554"/>
      <c r="E1771" s="554"/>
      <c r="F1771" s="554"/>
      <c r="G1771" s="554"/>
      <c r="H1771" s="554"/>
    </row>
    <row r="1772" spans="1:10" ht="15.75" customHeight="1">
      <c r="A1772" s="631" t="s">
        <v>1640</v>
      </c>
      <c r="B1772" s="631" t="s">
        <v>2808</v>
      </c>
      <c r="C1772" s="615" t="s">
        <v>1538</v>
      </c>
      <c r="D1772" s="631"/>
      <c r="E1772" s="170"/>
      <c r="F1772" s="555"/>
      <c r="G1772" s="555"/>
      <c r="H1772" s="555"/>
      <c r="I1772" s="170">
        <v>9535</v>
      </c>
    </row>
    <row r="1773" spans="1:10" ht="22.5">
      <c r="A1773" s="1117" t="s">
        <v>30</v>
      </c>
      <c r="B1773" s="507" t="s">
        <v>19</v>
      </c>
      <c r="C1773" s="430" t="s">
        <v>92</v>
      </c>
      <c r="D1773" s="1118" t="s">
        <v>88</v>
      </c>
      <c r="E1773" s="1118" t="s">
        <v>93</v>
      </c>
      <c r="F1773" s="432" t="s">
        <v>94</v>
      </c>
      <c r="G1773" s="508" t="s">
        <v>95</v>
      </c>
      <c r="H1773" s="1120"/>
    </row>
    <row r="1774" spans="1:10" ht="15" customHeight="1">
      <c r="A1774" s="1114" t="s">
        <v>90</v>
      </c>
      <c r="B1774" s="1113" t="s">
        <v>2808</v>
      </c>
      <c r="C1774" s="1121" t="s">
        <v>99</v>
      </c>
      <c r="D1774" s="1116" t="s">
        <v>408</v>
      </c>
      <c r="E1774" s="1115">
        <v>1</v>
      </c>
      <c r="F1774" s="1130">
        <v>2134.4299999999998</v>
      </c>
      <c r="G1774" s="1131">
        <f>TRUNC(E1774*F1774,2)</f>
        <v>2134.4299999999998</v>
      </c>
      <c r="H1774" s="1120"/>
      <c r="J1774" s="170" t="s">
        <v>2809</v>
      </c>
    </row>
    <row r="1775" spans="1:10" ht="15" customHeight="1">
      <c r="A1775" s="1114" t="s">
        <v>2806</v>
      </c>
      <c r="B1775" s="728" t="s">
        <v>2807</v>
      </c>
      <c r="C1775" s="1121" t="s">
        <v>99</v>
      </c>
      <c r="D1775" s="1116" t="s">
        <v>408</v>
      </c>
      <c r="E1775" s="1115">
        <v>0.01</v>
      </c>
      <c r="F1775" s="501">
        <v>12.5</v>
      </c>
      <c r="G1775" s="511">
        <f>TRUNC(E1775*F1775,2)</f>
        <v>0.12</v>
      </c>
      <c r="H1775" s="1120"/>
    </row>
    <row r="1776" spans="1:10" ht="15" customHeight="1">
      <c r="A1776" s="1436">
        <v>88264</v>
      </c>
      <c r="B1776" s="1457" t="s">
        <v>306</v>
      </c>
      <c r="C1776" s="1121" t="s">
        <v>117</v>
      </c>
      <c r="D1776" s="1461" t="s">
        <v>408</v>
      </c>
      <c r="E1776" s="1463">
        <v>0.45</v>
      </c>
      <c r="F1776" s="501">
        <f>'COMP AUX'!G253</f>
        <v>15.639999999999999</v>
      </c>
      <c r="G1776" s="511">
        <f>TRUNC(E1776*F1776,2)</f>
        <v>7.03</v>
      </c>
      <c r="H1776" s="1120"/>
    </row>
    <row r="1777" spans="1:8" ht="15" customHeight="1">
      <c r="A1777" s="1437"/>
      <c r="B1777" s="1458"/>
      <c r="C1777" s="1121" t="s">
        <v>99</v>
      </c>
      <c r="D1777" s="1462"/>
      <c r="E1777" s="1464"/>
      <c r="F1777" s="501">
        <f>'COMP AUX'!G254</f>
        <v>4.5600000000000005</v>
      </c>
      <c r="G1777" s="511">
        <f>TRUNC(E1776*F1777,2)</f>
        <v>2.0499999999999998</v>
      </c>
      <c r="H1777" s="1120"/>
    </row>
    <row r="1778" spans="1:8" ht="15" customHeight="1">
      <c r="A1778" s="1459">
        <v>88316</v>
      </c>
      <c r="B1778" s="1457" t="s">
        <v>123</v>
      </c>
      <c r="C1778" s="1119" t="s">
        <v>117</v>
      </c>
      <c r="D1778" s="1461" t="s">
        <v>408</v>
      </c>
      <c r="E1778" s="1463">
        <v>0.3</v>
      </c>
      <c r="F1778" s="573">
        <f>'COMP AUX'!G104</f>
        <v>11.1</v>
      </c>
      <c r="G1778" s="563">
        <f>TRUNC(E1778*F1778,2)</f>
        <v>3.33</v>
      </c>
      <c r="H1778" s="1120"/>
    </row>
    <row r="1779" spans="1:8" ht="15" customHeight="1">
      <c r="A1779" s="1460"/>
      <c r="B1779" s="1458"/>
      <c r="C1779" s="1119" t="s">
        <v>99</v>
      </c>
      <c r="D1779" s="1462"/>
      <c r="E1779" s="1464"/>
      <c r="F1779" s="573">
        <f>'COMP AUX'!G105</f>
        <v>4.5600000000000005</v>
      </c>
      <c r="G1779" s="563">
        <f>TRUNC(E1778*F1779,2)</f>
        <v>1.36</v>
      </c>
      <c r="H1779" s="1120"/>
    </row>
    <row r="1780" spans="1:8" ht="15" customHeight="1">
      <c r="A1780" s="1120"/>
      <c r="B1780" s="1120"/>
      <c r="C1780" s="1120"/>
      <c r="D1780" s="1120"/>
      <c r="E1780" s="1120"/>
      <c r="F1780" s="581" t="s">
        <v>103</v>
      </c>
      <c r="G1780" s="606">
        <f>G1776+G1778</f>
        <v>10.36</v>
      </c>
      <c r="H1780" s="1120"/>
    </row>
    <row r="1781" spans="1:8" ht="15" customHeight="1">
      <c r="A1781" s="1120"/>
      <c r="B1781" s="1120"/>
      <c r="C1781" s="1120"/>
      <c r="D1781" s="1120"/>
      <c r="E1781" s="1120"/>
      <c r="F1781" s="581" t="s">
        <v>105</v>
      </c>
      <c r="G1781" s="606">
        <f>G1774+G1775+G1777+G1779</f>
        <v>2137.96</v>
      </c>
      <c r="H1781" s="1120"/>
    </row>
    <row r="1782" spans="1:8" ht="15" customHeight="1">
      <c r="A1782" s="582" t="s">
        <v>107</v>
      </c>
      <c r="B1782" s="1120"/>
      <c r="C1782" s="1120"/>
      <c r="D1782" s="1120"/>
      <c r="E1782" s="1120"/>
      <c r="F1782" s="581" t="s">
        <v>106</v>
      </c>
      <c r="G1782" s="608">
        <f>SUM(G1780:G1781)</f>
        <v>2148.3200000000002</v>
      </c>
      <c r="H1782" s="1120"/>
    </row>
    <row r="1783" spans="1:8" ht="15" customHeight="1">
      <c r="A1783" s="515" t="s">
        <v>108</v>
      </c>
      <c r="B1783" s="656">
        <f>G1782</f>
        <v>2148.3200000000002</v>
      </c>
      <c r="C1783" s="1120"/>
      <c r="D1783" s="1120"/>
      <c r="E1783" s="1120"/>
      <c r="F1783" s="197"/>
      <c r="G1783" s="197"/>
      <c r="H1783" s="1120"/>
    </row>
    <row r="1784" spans="1:8" ht="15" customHeight="1">
      <c r="A1784" s="542" t="s">
        <v>2654</v>
      </c>
      <c r="B1784" s="1111"/>
      <c r="C1784" s="1120"/>
      <c r="D1784" s="1120"/>
      <c r="E1784" s="1120"/>
      <c r="F1784" s="197"/>
      <c r="G1784" s="197"/>
      <c r="H1784" s="1120"/>
    </row>
    <row r="1785" spans="1:8" ht="15" customHeight="1">
      <c r="A1785" s="622" t="s">
        <v>2714</v>
      </c>
      <c r="B1785" s="1111">
        <f>(B1783+B1784)*0.245</f>
        <v>526.33839999999998</v>
      </c>
      <c r="C1785" s="1120"/>
      <c r="D1785" s="1120"/>
      <c r="E1785" s="1120"/>
      <c r="F1785" s="197"/>
      <c r="G1785" s="197"/>
      <c r="H1785" s="1120"/>
    </row>
    <row r="1786" spans="1:8" ht="15" customHeight="1">
      <c r="A1786" s="515" t="s">
        <v>111</v>
      </c>
      <c r="B1786" s="657">
        <f>SUM(B1783:B1785)</f>
        <v>2674.6584000000003</v>
      </c>
      <c r="C1786" s="1120"/>
      <c r="D1786" s="1120"/>
      <c r="E1786" s="1120"/>
      <c r="F1786" s="197"/>
      <c r="G1786" s="197"/>
      <c r="H1786" s="577"/>
    </row>
    <row r="1787" spans="1:8">
      <c r="A1787" s="516"/>
      <c r="B1787" s="517"/>
      <c r="C1787" s="518"/>
      <c r="D1787" s="516"/>
      <c r="E1787" s="517"/>
      <c r="F1787" s="517"/>
      <c r="G1787" s="517"/>
      <c r="H1787" s="516"/>
    </row>
    <row r="1788" spans="1:8">
      <c r="A1788" s="424"/>
      <c r="B1788" s="421"/>
      <c r="C1788" s="423"/>
      <c r="D1788" s="424"/>
      <c r="E1788" s="421"/>
      <c r="F1788" s="421"/>
      <c r="G1788" s="421"/>
      <c r="H1788" s="424"/>
    </row>
    <row r="1789" spans="1:8">
      <c r="A1789" s="170" t="s">
        <v>1369</v>
      </c>
    </row>
    <row r="1790" spans="1:8" ht="14.25" customHeight="1">
      <c r="A1790" s="554" t="s">
        <v>1958</v>
      </c>
      <c r="B1790" s="554"/>
      <c r="C1790" s="554"/>
      <c r="D1790" s="554"/>
      <c r="E1790" s="554"/>
      <c r="F1790" s="554"/>
      <c r="G1790" s="554"/>
      <c r="H1790" s="554"/>
    </row>
    <row r="1791" spans="1:8" ht="17.25" customHeight="1">
      <c r="A1791" s="631" t="s">
        <v>1640</v>
      </c>
      <c r="B1791" s="1452" t="s">
        <v>1959</v>
      </c>
      <c r="C1791" s="1452"/>
      <c r="D1791" s="1452"/>
      <c r="E1791" s="580" t="s">
        <v>1538</v>
      </c>
      <c r="F1791" s="555"/>
      <c r="G1791" s="555"/>
      <c r="H1791" s="555"/>
    </row>
    <row r="1792" spans="1:8" ht="22.5">
      <c r="A1792" s="849" t="s">
        <v>30</v>
      </c>
      <c r="B1792" s="507" t="s">
        <v>19</v>
      </c>
      <c r="C1792" s="430" t="s">
        <v>92</v>
      </c>
      <c r="D1792" s="844" t="s">
        <v>88</v>
      </c>
      <c r="E1792" s="844" t="s">
        <v>93</v>
      </c>
      <c r="F1792" s="432" t="s">
        <v>94</v>
      </c>
      <c r="G1792" s="508" t="s">
        <v>95</v>
      </c>
      <c r="H1792" s="851"/>
    </row>
    <row r="1793" spans="1:13" ht="26.25" customHeight="1">
      <c r="A1793" s="848">
        <v>38190</v>
      </c>
      <c r="B1793" s="1113" t="s">
        <v>2810</v>
      </c>
      <c r="C1793" s="855" t="s">
        <v>99</v>
      </c>
      <c r="D1793" s="845" t="s">
        <v>408</v>
      </c>
      <c r="E1793" s="846">
        <v>1</v>
      </c>
      <c r="F1793" s="432">
        <v>401.45</v>
      </c>
      <c r="G1793" s="511">
        <f>TRUNC(E1793*F1793,2)</f>
        <v>401.45</v>
      </c>
      <c r="H1793" s="851"/>
    </row>
    <row r="1794" spans="1:13" ht="15" customHeight="1">
      <c r="A1794" s="1436">
        <v>88267</v>
      </c>
      <c r="B1794" s="1457" t="s">
        <v>1589</v>
      </c>
      <c r="C1794" s="855" t="s">
        <v>117</v>
      </c>
      <c r="D1794" s="1461" t="s">
        <v>408</v>
      </c>
      <c r="E1794" s="1463">
        <v>0.5</v>
      </c>
      <c r="F1794" s="501">
        <f>'COMP AUX'!G338</f>
        <v>15.41</v>
      </c>
      <c r="G1794" s="511">
        <f>TRUNC(E1794*F1794,2)</f>
        <v>7.7</v>
      </c>
      <c r="H1794" s="851"/>
    </row>
    <row r="1795" spans="1:13" ht="15" customHeight="1">
      <c r="A1795" s="1437"/>
      <c r="B1795" s="1458"/>
      <c r="C1795" s="855" t="s">
        <v>99</v>
      </c>
      <c r="D1795" s="1462"/>
      <c r="E1795" s="1464"/>
      <c r="F1795" s="501">
        <f>'COMP AUX'!G339</f>
        <v>4.5600000000000005</v>
      </c>
      <c r="G1795" s="511">
        <f>TRUNC(E1794*F1795,2)</f>
        <v>2.2799999999999998</v>
      </c>
      <c r="H1795" s="851"/>
    </row>
    <row r="1796" spans="1:13" ht="15" customHeight="1">
      <c r="A1796" s="1459">
        <v>88248</v>
      </c>
      <c r="B1796" s="1457" t="s">
        <v>334</v>
      </c>
      <c r="C1796" s="853" t="s">
        <v>117</v>
      </c>
      <c r="D1796" s="1461" t="s">
        <v>408</v>
      </c>
      <c r="E1796" s="1463">
        <v>0.5</v>
      </c>
      <c r="F1796" s="573">
        <f>'COMP AUX'!G338</f>
        <v>15.41</v>
      </c>
      <c r="G1796" s="563">
        <f>TRUNC(E1796*F1796,2)</f>
        <v>7.7</v>
      </c>
      <c r="H1796" s="851"/>
    </row>
    <row r="1797" spans="1:13" ht="15" customHeight="1">
      <c r="A1797" s="1460"/>
      <c r="B1797" s="1458"/>
      <c r="C1797" s="853" t="s">
        <v>99</v>
      </c>
      <c r="D1797" s="1462"/>
      <c r="E1797" s="1464"/>
      <c r="F1797" s="573">
        <f>'COMP AUX'!G339</f>
        <v>4.5600000000000005</v>
      </c>
      <c r="G1797" s="563">
        <f>TRUNC(E1796*F1797,2)</f>
        <v>2.2799999999999998</v>
      </c>
      <c r="H1797" s="851"/>
    </row>
    <row r="1798" spans="1:13" ht="15" customHeight="1">
      <c r="A1798" s="851"/>
      <c r="B1798" s="851"/>
      <c r="C1798" s="851"/>
      <c r="D1798" s="851"/>
      <c r="E1798" s="851"/>
      <c r="F1798" s="581" t="s">
        <v>103</v>
      </c>
      <c r="G1798" s="563">
        <f>G1794+G1796</f>
        <v>15.4</v>
      </c>
      <c r="H1798" s="851"/>
    </row>
    <row r="1799" spans="1:13" ht="15" customHeight="1">
      <c r="A1799" s="851"/>
      <c r="B1799" s="851"/>
      <c r="C1799" s="851"/>
      <c r="D1799" s="851"/>
      <c r="E1799" s="851"/>
      <c r="F1799" s="581" t="s">
        <v>105</v>
      </c>
      <c r="G1799" s="563">
        <f>G1793+G1795+G1797</f>
        <v>406.00999999999993</v>
      </c>
      <c r="H1799" s="851"/>
    </row>
    <row r="1800" spans="1:13" ht="15" customHeight="1">
      <c r="A1800" s="582" t="s">
        <v>107</v>
      </c>
      <c r="B1800" s="851"/>
      <c r="C1800" s="851"/>
      <c r="D1800" s="851"/>
      <c r="E1800" s="851"/>
      <c r="F1800" s="581" t="s">
        <v>106</v>
      </c>
      <c r="G1800" s="759">
        <f>SUM(G1798:G1799)</f>
        <v>421.40999999999991</v>
      </c>
      <c r="H1800" s="851"/>
    </row>
    <row r="1801" spans="1:13" ht="15" customHeight="1">
      <c r="A1801" s="515" t="s">
        <v>108</v>
      </c>
      <c r="B1801" s="548">
        <f>G1800</f>
        <v>421.40999999999991</v>
      </c>
      <c r="C1801" s="851"/>
      <c r="D1801" s="851"/>
      <c r="E1801" s="851"/>
      <c r="F1801" s="197"/>
      <c r="G1801" s="197"/>
      <c r="H1801" s="851"/>
    </row>
    <row r="1802" spans="1:13" ht="15" customHeight="1">
      <c r="A1802" s="542" t="s">
        <v>2654</v>
      </c>
      <c r="B1802" s="541"/>
      <c r="C1802" s="851"/>
      <c r="D1802" s="851"/>
      <c r="E1802" s="851"/>
      <c r="F1802" s="197"/>
      <c r="G1802" s="197"/>
      <c r="H1802" s="851"/>
    </row>
    <row r="1803" spans="1:13" ht="15" customHeight="1">
      <c r="A1803" s="622" t="s">
        <v>2714</v>
      </c>
      <c r="B1803" s="541">
        <f>(B1801+B1802)*0.245</f>
        <v>103.24544999999998</v>
      </c>
      <c r="C1803" s="851"/>
      <c r="D1803" s="851"/>
      <c r="E1803" s="851"/>
      <c r="F1803" s="197"/>
      <c r="G1803" s="197"/>
      <c r="H1803" s="851"/>
    </row>
    <row r="1804" spans="1:13" ht="15" customHeight="1">
      <c r="A1804" s="515" t="s">
        <v>111</v>
      </c>
      <c r="B1804" s="549">
        <f>SUM(B1801:B1803)</f>
        <v>524.65544999999986</v>
      </c>
      <c r="C1804" s="851"/>
      <c r="D1804" s="851"/>
      <c r="E1804" s="851"/>
      <c r="F1804" s="197"/>
      <c r="G1804" s="197"/>
      <c r="H1804" s="577"/>
    </row>
    <row r="1805" spans="1:13">
      <c r="A1805" s="516"/>
      <c r="B1805" s="517"/>
      <c r="C1805" s="518"/>
      <c r="D1805" s="516"/>
      <c r="E1805" s="517"/>
      <c r="F1805" s="517"/>
      <c r="G1805" s="517"/>
      <c r="H1805" s="516"/>
    </row>
    <row r="1806" spans="1:13">
      <c r="A1806" s="424"/>
      <c r="B1806" s="421"/>
      <c r="C1806" s="423"/>
      <c r="D1806" s="424"/>
      <c r="E1806" s="421"/>
      <c r="F1806" s="421"/>
      <c r="G1806" s="421"/>
      <c r="H1806" s="424"/>
    </row>
    <row r="1807" spans="1:13">
      <c r="A1807" s="170" t="s">
        <v>1369</v>
      </c>
      <c r="J1807" s="170" t="s">
        <v>1972</v>
      </c>
    </row>
    <row r="1808" spans="1:13" ht="15.75" customHeight="1">
      <c r="A1808" s="1139" t="s">
        <v>2881</v>
      </c>
      <c r="B1808" s="1140"/>
      <c r="C1808" s="1140"/>
      <c r="D1808" s="1140"/>
      <c r="E1808" s="1140"/>
      <c r="F1808" s="1140"/>
      <c r="G1808" s="1140"/>
      <c r="H1808" s="1140"/>
      <c r="J1808" s="170">
        <v>86895</v>
      </c>
      <c r="K1808" s="868" t="s">
        <v>1973</v>
      </c>
      <c r="M1808" s="868" t="s">
        <v>1973</v>
      </c>
    </row>
    <row r="1809" spans="1:13" ht="30" customHeight="1">
      <c r="A1809" s="631" t="s">
        <v>1640</v>
      </c>
      <c r="B1809" s="1452" t="s">
        <v>2776</v>
      </c>
      <c r="C1809" s="1452"/>
      <c r="D1809" s="631" t="s">
        <v>1538</v>
      </c>
      <c r="E1809" s="555"/>
      <c r="F1809" s="555"/>
      <c r="G1809" s="555"/>
      <c r="H1809" s="555"/>
      <c r="J1809" s="868" t="s">
        <v>1971</v>
      </c>
      <c r="K1809" s="868" t="s">
        <v>2777</v>
      </c>
      <c r="M1809" s="868" t="s">
        <v>2747</v>
      </c>
    </row>
    <row r="1810" spans="1:13" ht="28.5" customHeight="1">
      <c r="A1810" s="502" t="s">
        <v>30</v>
      </c>
      <c r="B1810" s="507" t="s">
        <v>19</v>
      </c>
      <c r="C1810" s="430" t="s">
        <v>92</v>
      </c>
      <c r="D1810" s="612" t="s">
        <v>88</v>
      </c>
      <c r="E1810" s="612" t="s">
        <v>93</v>
      </c>
      <c r="F1810" s="432" t="s">
        <v>94</v>
      </c>
      <c r="G1810" s="508" t="s">
        <v>95</v>
      </c>
      <c r="H1810" s="201"/>
      <c r="J1810" s="865">
        <f>0.5*0.6</f>
        <v>0.3</v>
      </c>
      <c r="K1810" s="1127">
        <v>3.9125000000000001</v>
      </c>
      <c r="L1810" s="170" t="s">
        <v>113</v>
      </c>
      <c r="M1810" s="865">
        <f>2.38*0.4</f>
        <v>0.95199999999999996</v>
      </c>
    </row>
    <row r="1811" spans="1:13" ht="42" customHeight="1">
      <c r="A1811" s="628" t="s">
        <v>258</v>
      </c>
      <c r="B1811" s="630" t="s">
        <v>1960</v>
      </c>
      <c r="C1811" s="611" t="s">
        <v>99</v>
      </c>
      <c r="D1811" s="611" t="s">
        <v>113</v>
      </c>
      <c r="E1811" s="1124">
        <f>15.65/4</f>
        <v>3.9125000000000001</v>
      </c>
      <c r="F1811" s="1059">
        <v>586.45000000000005</v>
      </c>
      <c r="G1811" s="606">
        <f t="shared" ref="G1811:G1820" si="102">TRUNC(E1811*F1811,2)</f>
        <v>2294.48</v>
      </c>
      <c r="H1811" s="201"/>
      <c r="J1811" s="868">
        <v>0.377</v>
      </c>
      <c r="K1811" s="869">
        <v>2.0015000000000001</v>
      </c>
      <c r="M1811" s="869">
        <f>($M$1810*J1811)/$J$1810</f>
        <v>1.1963466666666667</v>
      </c>
    </row>
    <row r="1812" spans="1:13" ht="15" customHeight="1">
      <c r="A1812" s="628" t="s">
        <v>259</v>
      </c>
      <c r="B1812" s="630" t="s">
        <v>260</v>
      </c>
      <c r="C1812" s="611" t="s">
        <v>99</v>
      </c>
      <c r="D1812" s="611" t="s">
        <v>115</v>
      </c>
      <c r="E1812" s="611">
        <v>0.33500000000000002</v>
      </c>
      <c r="F1812" s="573">
        <v>44.3</v>
      </c>
      <c r="G1812" s="606">
        <f t="shared" si="102"/>
        <v>14.84</v>
      </c>
      <c r="H1812" s="201"/>
      <c r="J1812" s="866" t="s">
        <v>261</v>
      </c>
      <c r="K1812" s="869">
        <f t="shared" ref="K1812:K1822" si="103">($K$1810*J1812)/$J$1810</f>
        <v>0.33517083333333336</v>
      </c>
      <c r="M1812" s="869">
        <f>($M$1810*J1812)/$J$1810</f>
        <v>8.1554666666666664E-2</v>
      </c>
    </row>
    <row r="1813" spans="1:13" ht="24.75" customHeight="1">
      <c r="A1813" s="628" t="s">
        <v>262</v>
      </c>
      <c r="B1813" s="630" t="s">
        <v>263</v>
      </c>
      <c r="C1813" s="611" t="s">
        <v>99</v>
      </c>
      <c r="D1813" s="611" t="s">
        <v>5</v>
      </c>
      <c r="E1813" s="573">
        <v>6</v>
      </c>
      <c r="F1813" s="611">
        <v>28.07</v>
      </c>
      <c r="G1813" s="606">
        <f t="shared" si="102"/>
        <v>168.42</v>
      </c>
      <c r="H1813" s="201"/>
      <c r="J1813" s="867">
        <v>2</v>
      </c>
      <c r="K1813" s="869">
        <f t="shared" si="103"/>
        <v>26.083333333333336</v>
      </c>
      <c r="M1813" s="869">
        <f>($M$1810*J1813)/$J$1810</f>
        <v>6.3466666666666667</v>
      </c>
    </row>
    <row r="1814" spans="1:13" ht="16.5" customHeight="1">
      <c r="A1814" s="628" t="s">
        <v>264</v>
      </c>
      <c r="B1814" s="630" t="s">
        <v>265</v>
      </c>
      <c r="C1814" s="611" t="s">
        <v>99</v>
      </c>
      <c r="D1814" s="611" t="s">
        <v>115</v>
      </c>
      <c r="E1814" s="611">
        <v>5.0129999999999999</v>
      </c>
      <c r="F1814" s="611">
        <v>28.09</v>
      </c>
      <c r="G1814" s="606">
        <f t="shared" si="102"/>
        <v>140.81</v>
      </c>
      <c r="H1814" s="201"/>
      <c r="J1814" s="866" t="s">
        <v>266</v>
      </c>
      <c r="K1814" s="869">
        <f t="shared" si="103"/>
        <v>5.0132166666666675</v>
      </c>
      <c r="M1814" s="869">
        <f>($M$1810*J1814)/$J$1810</f>
        <v>1.2198293333333334</v>
      </c>
    </row>
    <row r="1815" spans="1:13" ht="36.75" customHeight="1">
      <c r="A1815" s="628" t="s">
        <v>267</v>
      </c>
      <c r="B1815" s="625" t="s">
        <v>268</v>
      </c>
      <c r="C1815" s="611" t="s">
        <v>99</v>
      </c>
      <c r="D1815" s="611" t="s">
        <v>1538</v>
      </c>
      <c r="E1815" s="573">
        <v>18</v>
      </c>
      <c r="F1815" s="611">
        <v>0.61</v>
      </c>
      <c r="G1815" s="606">
        <f t="shared" si="102"/>
        <v>10.98</v>
      </c>
      <c r="H1815" s="201"/>
      <c r="J1815" s="867">
        <v>6</v>
      </c>
      <c r="K1815" s="869">
        <f t="shared" si="103"/>
        <v>78.250000000000014</v>
      </c>
      <c r="M1815" s="869">
        <f>($M$1810*J1815)/$J$1810</f>
        <v>19.04</v>
      </c>
    </row>
    <row r="1816" spans="1:13" ht="15" customHeight="1">
      <c r="A1816" s="1459" t="s">
        <v>2748</v>
      </c>
      <c r="B1816" s="1457" t="s">
        <v>2749</v>
      </c>
      <c r="C1816" s="1106" t="s">
        <v>117</v>
      </c>
      <c r="D1816" s="1461" t="s">
        <v>1538</v>
      </c>
      <c r="E1816" s="1440">
        <v>1</v>
      </c>
      <c r="F1816" s="573">
        <f>'COMP AUX'!G1952</f>
        <v>3.16</v>
      </c>
      <c r="G1816" s="606">
        <f t="shared" si="102"/>
        <v>3.16</v>
      </c>
      <c r="H1816" s="1105"/>
      <c r="J1816" s="867"/>
      <c r="K1816" s="869"/>
      <c r="M1816" s="869"/>
    </row>
    <row r="1817" spans="1:13" ht="15" customHeight="1">
      <c r="A1817" s="1460"/>
      <c r="B1817" s="1458"/>
      <c r="C1817" s="1106" t="s">
        <v>99</v>
      </c>
      <c r="D1817" s="1462"/>
      <c r="E1817" s="1441"/>
      <c r="F1817" s="573">
        <f>'COMP AUX'!G1953</f>
        <v>3</v>
      </c>
      <c r="G1817" s="606">
        <f>TRUNC(E1816*F1817,2)</f>
        <v>3</v>
      </c>
      <c r="H1817" s="1105"/>
      <c r="J1817" s="867"/>
      <c r="K1817" s="869"/>
      <c r="M1817" s="869"/>
    </row>
    <row r="1818" spans="1:13" ht="15" customHeight="1">
      <c r="A1818" s="1459" t="s">
        <v>2750</v>
      </c>
      <c r="B1818" s="1457" t="s">
        <v>2751</v>
      </c>
      <c r="C1818" s="1106" t="s">
        <v>117</v>
      </c>
      <c r="D1818" s="1461" t="s">
        <v>1538</v>
      </c>
      <c r="E1818" s="1440">
        <v>1</v>
      </c>
      <c r="F1818" s="573">
        <f>'COMP AUX'!G1967</f>
        <v>1.56</v>
      </c>
      <c r="G1818" s="606">
        <f t="shared" si="102"/>
        <v>1.56</v>
      </c>
      <c r="H1818" s="1105"/>
      <c r="J1818" s="867"/>
      <c r="K1818" s="869"/>
      <c r="M1818" s="869"/>
    </row>
    <row r="1819" spans="1:13" ht="15" customHeight="1">
      <c r="A1819" s="1460"/>
      <c r="B1819" s="1458"/>
      <c r="C1819" s="1106" t="s">
        <v>99</v>
      </c>
      <c r="D1819" s="1462"/>
      <c r="E1819" s="1441"/>
      <c r="F1819" s="573">
        <f>'COMP AUX'!G1968</f>
        <v>7.5</v>
      </c>
      <c r="G1819" s="606">
        <f>TRUNC(E1818*F1819,2)</f>
        <v>7.5</v>
      </c>
      <c r="H1819" s="1105"/>
      <c r="J1819" s="867"/>
      <c r="K1819" s="869"/>
      <c r="M1819" s="869"/>
    </row>
    <row r="1820" spans="1:13" ht="15" customHeight="1">
      <c r="A1820" s="1459">
        <v>88274</v>
      </c>
      <c r="B1820" s="1457" t="s">
        <v>271</v>
      </c>
      <c r="C1820" s="853" t="s">
        <v>117</v>
      </c>
      <c r="D1820" s="1461" t="s">
        <v>410</v>
      </c>
      <c r="E1820" s="1440">
        <v>9.6</v>
      </c>
      <c r="F1820" s="573">
        <f>'COMP AUX'!G406</f>
        <v>15.18</v>
      </c>
      <c r="G1820" s="606">
        <f t="shared" si="102"/>
        <v>145.72</v>
      </c>
      <c r="H1820" s="851"/>
      <c r="J1820" s="866" t="s">
        <v>272</v>
      </c>
      <c r="K1820" s="869">
        <f t="shared" si="103"/>
        <v>25.04</v>
      </c>
      <c r="M1820" s="869">
        <f>($M$1810*J1820)/$J$1810</f>
        <v>6.0927999999999995</v>
      </c>
    </row>
    <row r="1821" spans="1:13" ht="15" customHeight="1">
      <c r="A1821" s="1460"/>
      <c r="B1821" s="1458"/>
      <c r="C1821" s="611" t="s">
        <v>99</v>
      </c>
      <c r="D1821" s="1462"/>
      <c r="E1821" s="1441"/>
      <c r="F1821" s="573">
        <f>'COMP AUX'!G407</f>
        <v>4.5600000000000005</v>
      </c>
      <c r="G1821" s="606">
        <f>TRUNC(E1820*F1821,2)</f>
        <v>43.77</v>
      </c>
      <c r="H1821" s="201"/>
      <c r="J1821" s="866"/>
      <c r="K1821" s="869"/>
      <c r="M1821" s="869"/>
    </row>
    <row r="1822" spans="1:13" ht="15" customHeight="1">
      <c r="A1822" s="1459">
        <v>88316</v>
      </c>
      <c r="B1822" s="1457" t="s">
        <v>123</v>
      </c>
      <c r="C1822" s="853" t="s">
        <v>117</v>
      </c>
      <c r="D1822" s="1461" t="s">
        <v>410</v>
      </c>
      <c r="E1822" s="1440">
        <v>4.9000000000000004</v>
      </c>
      <c r="F1822" s="573">
        <f>'COMP AUX'!G104</f>
        <v>11.1</v>
      </c>
      <c r="G1822" s="606">
        <f>TRUNC(E1822*F1822,2)</f>
        <v>54.39</v>
      </c>
      <c r="H1822" s="851"/>
      <c r="J1822" s="866" t="s">
        <v>274</v>
      </c>
      <c r="K1822" s="869">
        <f t="shared" si="103"/>
        <v>12.780833333333334</v>
      </c>
      <c r="M1822" s="869">
        <f>($M$1810*J1822)/$J$1810</f>
        <v>3.1098666666666666</v>
      </c>
    </row>
    <row r="1823" spans="1:13" ht="15" customHeight="1">
      <c r="A1823" s="1460"/>
      <c r="B1823" s="1458"/>
      <c r="C1823" s="611" t="s">
        <v>99</v>
      </c>
      <c r="D1823" s="1462"/>
      <c r="E1823" s="1441"/>
      <c r="F1823" s="573">
        <f>'COMP AUX'!G105</f>
        <v>4.5600000000000005</v>
      </c>
      <c r="G1823" s="606">
        <f>TRUNC(E1822*F1823,2)</f>
        <v>22.34</v>
      </c>
      <c r="H1823" s="201"/>
      <c r="J1823" s="866"/>
      <c r="K1823" s="869"/>
    </row>
    <row r="1824" spans="1:13" ht="15" customHeight="1">
      <c r="A1824" s="201"/>
      <c r="B1824" s="201"/>
      <c r="C1824" s="201"/>
      <c r="D1824" s="201"/>
      <c r="E1824" s="201"/>
      <c r="F1824" s="581" t="s">
        <v>103</v>
      </c>
      <c r="G1824" s="606">
        <f>G1820+G1822+G1818+G1816</f>
        <v>204.83</v>
      </c>
      <c r="H1824" s="201"/>
    </row>
    <row r="1825" spans="1:11" ht="15" customHeight="1">
      <c r="A1825" s="201"/>
      <c r="B1825" s="201"/>
      <c r="C1825" s="201"/>
      <c r="D1825" s="201"/>
      <c r="E1825" s="201"/>
      <c r="F1825" s="581" t="s">
        <v>105</v>
      </c>
      <c r="G1825" s="606">
        <f>G1811+G1812+G1813+G1814+G1815++G1817+G1819+G1821+G1823</f>
        <v>2706.1400000000003</v>
      </c>
      <c r="H1825" s="201"/>
      <c r="K1825" s="170">
        <f>2.5*0.6*4</f>
        <v>6</v>
      </c>
    </row>
    <row r="1826" spans="1:11" ht="15" customHeight="1">
      <c r="A1826" s="582" t="s">
        <v>107</v>
      </c>
      <c r="B1826" s="609"/>
      <c r="C1826" s="201"/>
      <c r="D1826" s="201"/>
      <c r="E1826" s="201"/>
      <c r="F1826" s="581" t="s">
        <v>106</v>
      </c>
      <c r="G1826" s="608">
        <f>SUM(G1824:G1825)</f>
        <v>2910.9700000000003</v>
      </c>
      <c r="H1826" s="201"/>
      <c r="K1826" s="170">
        <f>2.38*0.4*4</f>
        <v>3.8079999999999998</v>
      </c>
    </row>
    <row r="1827" spans="1:11" ht="15" customHeight="1">
      <c r="A1827" s="515" t="s">
        <v>108</v>
      </c>
      <c r="B1827" s="656">
        <f>G1826</f>
        <v>2910.9700000000003</v>
      </c>
      <c r="C1827" s="201"/>
      <c r="D1827" s="201"/>
      <c r="E1827" s="201"/>
      <c r="F1827" s="197"/>
      <c r="G1827" s="197"/>
      <c r="H1827" s="201"/>
    </row>
    <row r="1828" spans="1:11" ht="15" customHeight="1">
      <c r="A1828" s="542" t="s">
        <v>2654</v>
      </c>
      <c r="B1828" s="541"/>
      <c r="C1828" s="201"/>
      <c r="D1828" s="201"/>
      <c r="E1828" s="201"/>
      <c r="F1828" s="197"/>
      <c r="G1828" s="197"/>
      <c r="H1828" s="201"/>
    </row>
    <row r="1829" spans="1:11" ht="15" customHeight="1">
      <c r="A1829" s="622" t="s">
        <v>2714</v>
      </c>
      <c r="B1829" s="541">
        <f>(B1827+B1828)*0.245</f>
        <v>713.18765000000008</v>
      </c>
      <c r="C1829" s="201"/>
      <c r="D1829" s="201"/>
      <c r="E1829" s="201"/>
      <c r="F1829" s="197">
        <f>9177.78/15.65</f>
        <v>586.43961661341859</v>
      </c>
      <c r="G1829" s="197"/>
      <c r="H1829" s="201"/>
    </row>
    <row r="1830" spans="1:11" ht="15" customHeight="1">
      <c r="A1830" s="515" t="s">
        <v>111</v>
      </c>
      <c r="B1830" s="657">
        <f>SUM(B1827:B1829)</f>
        <v>3624.1576500000001</v>
      </c>
      <c r="C1830" s="201"/>
      <c r="D1830" s="201"/>
      <c r="E1830" s="201"/>
      <c r="F1830" s="197"/>
      <c r="G1830" s="197"/>
      <c r="H1830" s="577"/>
      <c r="I1830" s="170" t="s">
        <v>2655</v>
      </c>
    </row>
    <row r="1831" spans="1:11">
      <c r="A1831" s="516"/>
      <c r="B1831" s="517"/>
      <c r="C1831" s="518"/>
      <c r="D1831" s="516"/>
      <c r="E1831" s="517"/>
      <c r="F1831" s="517"/>
      <c r="G1831" s="517"/>
      <c r="H1831" s="516"/>
    </row>
    <row r="1833" spans="1:11">
      <c r="A1833" s="170" t="s">
        <v>1369</v>
      </c>
    </row>
    <row r="1834" spans="1:11">
      <c r="A1834" s="1442" t="s">
        <v>2769</v>
      </c>
      <c r="B1834" s="1443"/>
      <c r="C1834" s="1443"/>
      <c r="D1834" s="1443"/>
      <c r="E1834" s="1443"/>
      <c r="F1834" s="1443"/>
      <c r="G1834" s="1443"/>
      <c r="H1834" s="1443"/>
    </row>
    <row r="1835" spans="1:11" ht="22.5" customHeight="1">
      <c r="A1835" s="631" t="s">
        <v>1640</v>
      </c>
      <c r="B1835" s="1122" t="s">
        <v>2759</v>
      </c>
      <c r="C1835" s="1123" t="s">
        <v>1574</v>
      </c>
      <c r="E1835" s="555"/>
      <c r="F1835" s="555"/>
      <c r="G1835" s="555"/>
      <c r="H1835" s="555"/>
    </row>
    <row r="1836" spans="1:11" ht="25.5" customHeight="1">
      <c r="A1836" s="1103" t="s">
        <v>30</v>
      </c>
      <c r="B1836" s="507" t="s">
        <v>19</v>
      </c>
      <c r="C1836" s="430" t="s">
        <v>92</v>
      </c>
      <c r="D1836" s="1094" t="s">
        <v>88</v>
      </c>
      <c r="E1836" s="1094" t="s">
        <v>93</v>
      </c>
      <c r="F1836" s="432" t="s">
        <v>94</v>
      </c>
      <c r="G1836" s="508" t="s">
        <v>95</v>
      </c>
      <c r="H1836" s="1105"/>
      <c r="J1836" s="170">
        <v>86895</v>
      </c>
    </row>
    <row r="1837" spans="1:11" ht="36.75" customHeight="1">
      <c r="A1837" s="852">
        <v>4350</v>
      </c>
      <c r="B1837" s="630" t="s">
        <v>2763</v>
      </c>
      <c r="C1837" s="1106" t="s">
        <v>99</v>
      </c>
      <c r="D1837" s="1106" t="s">
        <v>408</v>
      </c>
      <c r="E1837" s="573">
        <v>4</v>
      </c>
      <c r="F1837" s="1106">
        <v>0.34</v>
      </c>
      <c r="G1837" s="606">
        <f t="shared" ref="G1837:G1839" si="104">TRUNC(E1837*F1837,2)</f>
        <v>1.36</v>
      </c>
      <c r="H1837" s="1105"/>
    </row>
    <row r="1838" spans="1:11" ht="21.75" customHeight="1">
      <c r="A1838" s="852">
        <v>34666</v>
      </c>
      <c r="B1838" s="630" t="s">
        <v>2768</v>
      </c>
      <c r="C1838" s="1106" t="s">
        <v>99</v>
      </c>
      <c r="D1838" s="1106" t="s">
        <v>1574</v>
      </c>
      <c r="E1838" s="1106">
        <v>1.05</v>
      </c>
      <c r="F1838" s="573">
        <v>42.31</v>
      </c>
      <c r="G1838" s="606">
        <f t="shared" si="104"/>
        <v>44.42</v>
      </c>
      <c r="H1838" s="1105"/>
    </row>
    <row r="1839" spans="1:11" ht="14.1" customHeight="1">
      <c r="A1839" s="1550">
        <v>88262</v>
      </c>
      <c r="B1839" s="1457" t="s">
        <v>1882</v>
      </c>
      <c r="C1839" s="1106" t="s">
        <v>117</v>
      </c>
      <c r="D1839" s="1461" t="s">
        <v>410</v>
      </c>
      <c r="E1839" s="1565">
        <v>1.35</v>
      </c>
      <c r="F1839" s="573">
        <f>'COMP AUX'!G87</f>
        <v>14.81</v>
      </c>
      <c r="G1839" s="606">
        <f t="shared" si="104"/>
        <v>19.989999999999998</v>
      </c>
      <c r="H1839" s="1105"/>
    </row>
    <row r="1840" spans="1:11" ht="14.1" customHeight="1">
      <c r="A1840" s="1551"/>
      <c r="B1840" s="1458"/>
      <c r="C1840" s="1106" t="s">
        <v>99</v>
      </c>
      <c r="D1840" s="1462"/>
      <c r="E1840" s="1566"/>
      <c r="F1840" s="573">
        <f>'COMP AUX'!G88</f>
        <v>4.5600000000000005</v>
      </c>
      <c r="G1840" s="606">
        <f>TRUNC(E1839*F1840,2)</f>
        <v>6.15</v>
      </c>
      <c r="H1840" s="1105"/>
    </row>
    <row r="1841" spans="1:8" ht="14.1" customHeight="1">
      <c r="A1841" s="1550">
        <v>88241</v>
      </c>
      <c r="B1841" s="1457" t="s">
        <v>2744</v>
      </c>
      <c r="C1841" s="1106" t="s">
        <v>117</v>
      </c>
      <c r="D1841" s="1461" t="s">
        <v>410</v>
      </c>
      <c r="E1841" s="1440">
        <v>1.35</v>
      </c>
      <c r="F1841" s="573">
        <f>'COMP AUX'!G53</f>
        <v>10.74</v>
      </c>
      <c r="G1841" s="606">
        <f>TRUNC(E1841*F1841,2)</f>
        <v>14.49</v>
      </c>
      <c r="H1841" s="1105"/>
    </row>
    <row r="1842" spans="1:8" ht="14.1" customHeight="1">
      <c r="A1842" s="1551"/>
      <c r="B1842" s="1458"/>
      <c r="C1842" s="1106" t="s">
        <v>99</v>
      </c>
      <c r="D1842" s="1462"/>
      <c r="E1842" s="1441"/>
      <c r="F1842" s="573">
        <f>'COMP AUX'!G54</f>
        <v>4.5600000000000005</v>
      </c>
      <c r="G1842" s="606">
        <f>TRUNC(E1841*F1842,2)</f>
        <v>6.15</v>
      </c>
      <c r="H1842" s="1105"/>
    </row>
    <row r="1843" spans="1:8" ht="14.1" customHeight="1">
      <c r="A1843" s="1105"/>
      <c r="B1843" s="1105"/>
      <c r="C1843" s="1105"/>
      <c r="D1843" s="1105"/>
      <c r="E1843" s="1105"/>
      <c r="F1843" s="581" t="s">
        <v>103</v>
      </c>
      <c r="G1843" s="606">
        <f>G1839+G1841</f>
        <v>34.479999999999997</v>
      </c>
      <c r="H1843" s="1105"/>
    </row>
    <row r="1844" spans="1:8" ht="14.1" customHeight="1">
      <c r="A1844" s="1105"/>
      <c r="B1844" s="1105"/>
      <c r="C1844" s="1105"/>
      <c r="D1844" s="1105"/>
      <c r="E1844" s="1105"/>
      <c r="F1844" s="581" t="s">
        <v>105</v>
      </c>
      <c r="G1844" s="606">
        <f>G1837+G1838+G1840+G1842</f>
        <v>58.08</v>
      </c>
      <c r="H1844" s="1105"/>
    </row>
    <row r="1845" spans="1:8" ht="14.1" customHeight="1">
      <c r="A1845" s="582" t="s">
        <v>107</v>
      </c>
      <c r="B1845" s="1105"/>
      <c r="C1845" s="1105"/>
      <c r="D1845" s="1105"/>
      <c r="E1845" s="1105"/>
      <c r="F1845" s="581" t="s">
        <v>106</v>
      </c>
      <c r="G1845" s="608">
        <f>SUM(G1843:G1844)</f>
        <v>92.56</v>
      </c>
      <c r="H1845" s="1105"/>
    </row>
    <row r="1846" spans="1:8" ht="14.1" customHeight="1">
      <c r="A1846" s="515" t="s">
        <v>108</v>
      </c>
      <c r="B1846" s="656">
        <f>G1845</f>
        <v>92.56</v>
      </c>
      <c r="C1846" s="1105"/>
      <c r="D1846" s="1105"/>
      <c r="E1846" s="1105"/>
      <c r="F1846" s="197"/>
      <c r="G1846" s="197"/>
      <c r="H1846" s="1105"/>
    </row>
    <row r="1847" spans="1:8" ht="14.1" customHeight="1">
      <c r="A1847" s="542" t="s">
        <v>2654</v>
      </c>
      <c r="B1847" s="541"/>
      <c r="C1847" s="1105"/>
      <c r="D1847" s="1105"/>
      <c r="E1847" s="1105"/>
      <c r="F1847" s="197"/>
      <c r="G1847" s="197"/>
      <c r="H1847" s="1105"/>
    </row>
    <row r="1848" spans="1:8" ht="14.1" customHeight="1">
      <c r="A1848" s="622" t="s">
        <v>2714</v>
      </c>
      <c r="B1848" s="541">
        <f>(B1846+B1847)*0.245</f>
        <v>22.677199999999999</v>
      </c>
      <c r="C1848" s="1105"/>
      <c r="D1848" s="1105"/>
      <c r="E1848" s="1105"/>
      <c r="F1848" s="197"/>
      <c r="G1848" s="197"/>
      <c r="H1848" s="1105"/>
    </row>
    <row r="1849" spans="1:8" ht="14.1" customHeight="1">
      <c r="A1849" s="515" t="s">
        <v>111</v>
      </c>
      <c r="B1849" s="657">
        <f>SUM(B1846:B1848)</f>
        <v>115.2372</v>
      </c>
      <c r="C1849" s="1105"/>
      <c r="D1849" s="1105"/>
      <c r="E1849" s="1105"/>
      <c r="F1849" s="197"/>
      <c r="G1849" s="197"/>
      <c r="H1849" s="577"/>
    </row>
    <row r="1850" spans="1:8">
      <c r="A1850" s="516"/>
      <c r="B1850" s="517"/>
      <c r="C1850" s="518"/>
      <c r="D1850" s="516"/>
      <c r="E1850" s="517"/>
      <c r="F1850" s="517"/>
      <c r="G1850" s="517"/>
      <c r="H1850" s="516"/>
    </row>
    <row r="1852" spans="1:8">
      <c r="A1852" s="170" t="s">
        <v>1369</v>
      </c>
    </row>
    <row r="1853" spans="1:8">
      <c r="A1853" s="1442" t="s">
        <v>2883</v>
      </c>
      <c r="B1853" s="1443"/>
      <c r="C1853" s="1443"/>
      <c r="D1853" s="1443"/>
      <c r="E1853" s="1443"/>
      <c r="F1853" s="1443"/>
      <c r="G1853" s="1443"/>
      <c r="H1853" s="1443"/>
    </row>
    <row r="1854" spans="1:8" ht="35.25" customHeight="1">
      <c r="A1854" s="631" t="s">
        <v>1640</v>
      </c>
      <c r="B1854" s="1567" t="s">
        <v>2771</v>
      </c>
      <c r="C1854" s="1567"/>
      <c r="D1854" s="1104" t="s">
        <v>1538</v>
      </c>
      <c r="E1854" s="555"/>
      <c r="F1854" s="555"/>
      <c r="G1854" s="555"/>
      <c r="H1854" s="555"/>
    </row>
    <row r="1855" spans="1:8" ht="22.5">
      <c r="A1855" s="1103" t="s">
        <v>30</v>
      </c>
      <c r="B1855" s="507" t="s">
        <v>19</v>
      </c>
      <c r="C1855" s="430" t="s">
        <v>92</v>
      </c>
      <c r="D1855" s="1094" t="s">
        <v>88</v>
      </c>
      <c r="E1855" s="1094" t="s">
        <v>93</v>
      </c>
      <c r="F1855" s="432" t="s">
        <v>94</v>
      </c>
      <c r="G1855" s="508" t="s">
        <v>95</v>
      </c>
      <c r="H1855" s="1105"/>
    </row>
    <row r="1856" spans="1:8" ht="15" customHeight="1">
      <c r="A1856" s="1459" t="s">
        <v>2748</v>
      </c>
      <c r="B1856" s="1457" t="s">
        <v>2749</v>
      </c>
      <c r="C1856" s="1106" t="s">
        <v>117</v>
      </c>
      <c r="D1856" s="1461" t="s">
        <v>408</v>
      </c>
      <c r="E1856" s="1565">
        <v>1</v>
      </c>
      <c r="F1856" s="573">
        <f>'COMP AUX'!G1952</f>
        <v>3.16</v>
      </c>
      <c r="G1856" s="606">
        <f t="shared" ref="G1856:G1860" si="105">TRUNC(E1856*F1856,2)</f>
        <v>3.16</v>
      </c>
      <c r="H1856" s="1105"/>
    </row>
    <row r="1857" spans="1:8" ht="15" customHeight="1">
      <c r="A1857" s="1460"/>
      <c r="B1857" s="1458"/>
      <c r="C1857" s="1106" t="s">
        <v>99</v>
      </c>
      <c r="D1857" s="1462"/>
      <c r="E1857" s="1566"/>
      <c r="F1857" s="573">
        <f>'COMP AUX'!G1953</f>
        <v>3</v>
      </c>
      <c r="G1857" s="606">
        <f>TRUNC(E1856*F1857,2)</f>
        <v>3</v>
      </c>
      <c r="H1857" s="1105"/>
    </row>
    <row r="1858" spans="1:8" ht="15" customHeight="1">
      <c r="A1858" s="1459" t="s">
        <v>2750</v>
      </c>
      <c r="B1858" s="1457" t="s">
        <v>2751</v>
      </c>
      <c r="C1858" s="1106" t="s">
        <v>117</v>
      </c>
      <c r="D1858" s="1461" t="s">
        <v>408</v>
      </c>
      <c r="E1858" s="1565">
        <v>1</v>
      </c>
      <c r="F1858" s="573">
        <f>'COMP AUX'!G1967</f>
        <v>1.56</v>
      </c>
      <c r="G1858" s="606">
        <f t="shared" si="105"/>
        <v>1.56</v>
      </c>
      <c r="H1858" s="1105"/>
    </row>
    <row r="1859" spans="1:8" ht="15" customHeight="1">
      <c r="A1859" s="1460"/>
      <c r="B1859" s="1458"/>
      <c r="C1859" s="1106" t="s">
        <v>99</v>
      </c>
      <c r="D1859" s="1462"/>
      <c r="E1859" s="1566"/>
      <c r="F1859" s="573">
        <f>'COMP AUX'!G1968</f>
        <v>7.5</v>
      </c>
      <c r="G1859" s="606">
        <f>TRUNC(E1858*F1859,2)</f>
        <v>7.5</v>
      </c>
      <c r="H1859" s="1105"/>
    </row>
    <row r="1860" spans="1:8" ht="15" customHeight="1">
      <c r="A1860" s="1459" t="s">
        <v>2884</v>
      </c>
      <c r="B1860" s="1457" t="s">
        <v>2772</v>
      </c>
      <c r="C1860" s="1106" t="s">
        <v>117</v>
      </c>
      <c r="D1860" s="1461" t="s">
        <v>408</v>
      </c>
      <c r="E1860" s="1565">
        <v>1</v>
      </c>
      <c r="F1860" s="573">
        <f>'COMP AUX'!G1982</f>
        <v>1.56</v>
      </c>
      <c r="G1860" s="606">
        <f t="shared" si="105"/>
        <v>1.56</v>
      </c>
      <c r="H1860" s="1105"/>
    </row>
    <row r="1861" spans="1:8" ht="15" customHeight="1">
      <c r="A1861" s="1460"/>
      <c r="B1861" s="1458"/>
      <c r="C1861" s="1106" t="s">
        <v>99</v>
      </c>
      <c r="D1861" s="1462"/>
      <c r="E1861" s="1566"/>
      <c r="F1861" s="573">
        <f>'COMP AUX'!G1983</f>
        <v>615.18999999999994</v>
      </c>
      <c r="G1861" s="606">
        <f>TRUNC(E1860*F1861,2)</f>
        <v>615.19000000000005</v>
      </c>
      <c r="H1861" s="1105"/>
    </row>
    <row r="1862" spans="1:8" ht="15" customHeight="1">
      <c r="A1862" s="1105"/>
      <c r="B1862" s="1105"/>
      <c r="C1862" s="1105"/>
      <c r="D1862" s="1105"/>
      <c r="E1862" s="1105"/>
      <c r="F1862" s="581" t="s">
        <v>103</v>
      </c>
      <c r="G1862" s="606">
        <f>G1856+G1858+G1860</f>
        <v>6.2800000000000011</v>
      </c>
      <c r="H1862" s="1105"/>
    </row>
    <row r="1863" spans="1:8" ht="15" customHeight="1">
      <c r="A1863" s="1105"/>
      <c r="B1863" s="1105"/>
      <c r="C1863" s="1105"/>
      <c r="D1863" s="1105"/>
      <c r="E1863" s="1105"/>
      <c r="F1863" s="581" t="s">
        <v>105</v>
      </c>
      <c r="G1863" s="606">
        <f>G1857+G1859+G1861</f>
        <v>625.69000000000005</v>
      </c>
      <c r="H1863" s="1105"/>
    </row>
    <row r="1864" spans="1:8" ht="15" customHeight="1">
      <c r="A1864" s="582" t="s">
        <v>107</v>
      </c>
      <c r="B1864" s="1105"/>
      <c r="C1864" s="1105"/>
      <c r="D1864" s="1105"/>
      <c r="E1864" s="1105"/>
      <c r="F1864" s="581" t="s">
        <v>106</v>
      </c>
      <c r="G1864" s="608">
        <f>SUM(G1862:G1863)</f>
        <v>631.97</v>
      </c>
      <c r="H1864" s="1105"/>
    </row>
    <row r="1865" spans="1:8" ht="15" customHeight="1">
      <c r="A1865" s="515" t="s">
        <v>108</v>
      </c>
      <c r="B1865" s="656">
        <f>G1864</f>
        <v>631.97</v>
      </c>
      <c r="C1865" s="1105"/>
      <c r="D1865" s="1105"/>
      <c r="E1865" s="1105"/>
      <c r="F1865" s="197"/>
      <c r="G1865" s="197"/>
      <c r="H1865" s="1105"/>
    </row>
    <row r="1866" spans="1:8" ht="15" customHeight="1">
      <c r="A1866" s="542" t="s">
        <v>2654</v>
      </c>
      <c r="B1866" s="541"/>
      <c r="C1866" s="1105"/>
      <c r="D1866" s="1105"/>
      <c r="E1866" s="1105"/>
      <c r="F1866" s="197"/>
      <c r="G1866" s="197"/>
      <c r="H1866" s="1105"/>
    </row>
    <row r="1867" spans="1:8" ht="15" customHeight="1">
      <c r="A1867" s="622" t="s">
        <v>2714</v>
      </c>
      <c r="B1867" s="541">
        <f>(B1865+B1866)*0.245</f>
        <v>154.83265</v>
      </c>
      <c r="C1867" s="1105"/>
      <c r="D1867" s="1105"/>
      <c r="E1867" s="1105"/>
      <c r="F1867" s="197"/>
      <c r="G1867" s="197"/>
      <c r="H1867" s="1105"/>
    </row>
    <row r="1868" spans="1:8" ht="15" customHeight="1">
      <c r="A1868" s="515" t="s">
        <v>111</v>
      </c>
      <c r="B1868" s="657">
        <f>SUM(B1865:B1867)</f>
        <v>786.80265000000009</v>
      </c>
      <c r="C1868" s="1105"/>
      <c r="D1868" s="1105"/>
      <c r="E1868" s="1105"/>
      <c r="F1868" s="197"/>
      <c r="G1868" s="197"/>
      <c r="H1868" s="577"/>
    </row>
    <row r="1869" spans="1:8">
      <c r="A1869" s="516"/>
      <c r="B1869" s="517"/>
      <c r="C1869" s="518"/>
      <c r="D1869" s="516"/>
      <c r="E1869" s="517"/>
      <c r="F1869" s="517"/>
      <c r="G1869" s="517"/>
      <c r="H1869" s="516"/>
    </row>
    <row r="1871" spans="1:8" ht="14.25" customHeight="1">
      <c r="A1871" s="170" t="s">
        <v>1369</v>
      </c>
    </row>
    <row r="1872" spans="1:8" ht="15" customHeight="1">
      <c r="A1872" s="1032" t="s">
        <v>2695</v>
      </c>
      <c r="B1872" s="1033"/>
      <c r="C1872" s="1033"/>
      <c r="D1872" s="1033"/>
      <c r="E1872" s="1033"/>
      <c r="F1872" s="1033"/>
      <c r="G1872" s="1033"/>
      <c r="H1872" s="1033"/>
    </row>
    <row r="1873" spans="1:8" ht="49.5" customHeight="1">
      <c r="A1873" s="631" t="s">
        <v>1640</v>
      </c>
      <c r="B1873" s="1452" t="s">
        <v>1974</v>
      </c>
      <c r="C1873" s="1452"/>
      <c r="D1873" s="1452"/>
      <c r="E1873" s="580" t="s">
        <v>1538</v>
      </c>
      <c r="F1873" s="555"/>
      <c r="G1873" s="555"/>
      <c r="H1873" s="555"/>
    </row>
    <row r="1874" spans="1:8" ht="22.5">
      <c r="A1874" s="502" t="s">
        <v>30</v>
      </c>
      <c r="B1874" s="507" t="s">
        <v>19</v>
      </c>
      <c r="C1874" s="430" t="s">
        <v>92</v>
      </c>
      <c r="D1874" s="612" t="s">
        <v>88</v>
      </c>
      <c r="E1874" s="612" t="s">
        <v>93</v>
      </c>
      <c r="F1874" s="432" t="s">
        <v>94</v>
      </c>
      <c r="G1874" s="508" t="s">
        <v>95</v>
      </c>
      <c r="H1874" s="201"/>
    </row>
    <row r="1875" spans="1:8" ht="22.5">
      <c r="A1875" s="628" t="s">
        <v>275</v>
      </c>
      <c r="B1875" s="630" t="s">
        <v>276</v>
      </c>
      <c r="C1875" s="611" t="s">
        <v>121</v>
      </c>
      <c r="D1875" s="611" t="s">
        <v>5</v>
      </c>
      <c r="E1875" s="611" t="s">
        <v>114</v>
      </c>
      <c r="F1875" s="611" t="s">
        <v>277</v>
      </c>
      <c r="G1875" s="624">
        <f t="shared" ref="G1875:G1879" si="106">TRUNC(E1875*F1875,2)</f>
        <v>5.35</v>
      </c>
      <c r="H1875" s="201"/>
    </row>
    <row r="1876" spans="1:8" ht="22.5">
      <c r="A1876" s="628" t="s">
        <v>278</v>
      </c>
      <c r="B1876" s="630" t="s">
        <v>279</v>
      </c>
      <c r="C1876" s="611" t="s">
        <v>121</v>
      </c>
      <c r="D1876" s="611" t="s">
        <v>5</v>
      </c>
      <c r="E1876" s="611" t="s">
        <v>114</v>
      </c>
      <c r="F1876" s="611" t="s">
        <v>280</v>
      </c>
      <c r="G1876" s="624">
        <f t="shared" si="106"/>
        <v>10.25</v>
      </c>
      <c r="H1876" s="201"/>
    </row>
    <row r="1877" spans="1:8" ht="22.5">
      <c r="A1877" s="628" t="s">
        <v>281</v>
      </c>
      <c r="B1877" s="630" t="s">
        <v>282</v>
      </c>
      <c r="C1877" s="611" t="s">
        <v>121</v>
      </c>
      <c r="D1877" s="611" t="s">
        <v>5</v>
      </c>
      <c r="E1877" s="611" t="s">
        <v>114</v>
      </c>
      <c r="F1877" s="611" t="s">
        <v>283</v>
      </c>
      <c r="G1877" s="624">
        <f t="shared" si="106"/>
        <v>6.64</v>
      </c>
      <c r="H1877" s="201"/>
    </row>
    <row r="1878" spans="1:8" ht="33.75">
      <c r="A1878" s="628" t="s">
        <v>284</v>
      </c>
      <c r="B1878" s="630" t="s">
        <v>285</v>
      </c>
      <c r="C1878" s="611" t="s">
        <v>121</v>
      </c>
      <c r="D1878" s="611" t="s">
        <v>5</v>
      </c>
      <c r="E1878" s="611" t="s">
        <v>114</v>
      </c>
      <c r="F1878" s="611" t="s">
        <v>286</v>
      </c>
      <c r="G1878" s="624">
        <f t="shared" si="106"/>
        <v>113.01</v>
      </c>
      <c r="H1878" s="201"/>
    </row>
    <row r="1879" spans="1:8" ht="22.5">
      <c r="A1879" s="852">
        <v>86906</v>
      </c>
      <c r="B1879" s="630" t="s">
        <v>287</v>
      </c>
      <c r="C1879" s="611" t="s">
        <v>121</v>
      </c>
      <c r="D1879" s="611" t="s">
        <v>5</v>
      </c>
      <c r="E1879" s="611" t="s">
        <v>114</v>
      </c>
      <c r="F1879" s="611" t="s">
        <v>288</v>
      </c>
      <c r="G1879" s="624">
        <f t="shared" si="106"/>
        <v>36.01</v>
      </c>
      <c r="H1879" s="201"/>
    </row>
    <row r="1880" spans="1:8" ht="14.1" customHeight="1">
      <c r="A1880" s="201"/>
      <c r="B1880" s="201"/>
      <c r="C1880" s="201"/>
      <c r="D1880" s="201"/>
      <c r="E1880" s="201"/>
      <c r="F1880" s="626" t="s">
        <v>103</v>
      </c>
      <c r="G1880" s="623" t="s">
        <v>289</v>
      </c>
      <c r="H1880" s="201"/>
    </row>
    <row r="1881" spans="1:8" ht="14.1" customHeight="1">
      <c r="A1881" s="201"/>
      <c r="B1881" s="201"/>
      <c r="C1881" s="201"/>
      <c r="D1881" s="201"/>
      <c r="E1881" s="201"/>
      <c r="F1881" s="626" t="s">
        <v>105</v>
      </c>
      <c r="G1881" s="623" t="s">
        <v>290</v>
      </c>
      <c r="H1881" s="201"/>
    </row>
    <row r="1882" spans="1:8" ht="14.1" customHeight="1">
      <c r="A1882" s="582" t="s">
        <v>107</v>
      </c>
      <c r="B1882" s="609"/>
      <c r="C1882" s="201"/>
      <c r="D1882" s="201"/>
      <c r="E1882" s="201"/>
      <c r="F1882" s="626" t="s">
        <v>106</v>
      </c>
      <c r="G1882" s="623" t="s">
        <v>291</v>
      </c>
      <c r="H1882" s="201"/>
    </row>
    <row r="1883" spans="1:8" ht="14.1" customHeight="1">
      <c r="A1883" s="515" t="s">
        <v>108</v>
      </c>
      <c r="B1883" s="548" t="str">
        <f>G1882</f>
        <v>171,26</v>
      </c>
      <c r="C1883" s="201"/>
      <c r="D1883" s="201"/>
      <c r="E1883" s="201"/>
      <c r="F1883" s="197"/>
      <c r="G1883" s="197"/>
      <c r="H1883" s="201"/>
    </row>
    <row r="1884" spans="1:8" ht="14.1" customHeight="1">
      <c r="A1884" s="542" t="s">
        <v>2654</v>
      </c>
      <c r="B1884" s="541"/>
      <c r="C1884" s="201"/>
      <c r="D1884" s="201"/>
      <c r="E1884" s="201"/>
      <c r="F1884" s="197"/>
      <c r="G1884" s="197"/>
      <c r="H1884" s="201"/>
    </row>
    <row r="1885" spans="1:8" ht="14.1" customHeight="1">
      <c r="A1885" s="622" t="s">
        <v>2714</v>
      </c>
      <c r="B1885" s="541">
        <f>(B1883+B1884)*0.245</f>
        <v>41.9587</v>
      </c>
      <c r="C1885" s="201"/>
      <c r="D1885" s="201"/>
      <c r="E1885" s="201"/>
      <c r="F1885" s="197"/>
      <c r="G1885" s="197"/>
      <c r="H1885" s="201"/>
    </row>
    <row r="1886" spans="1:8" ht="14.1" customHeight="1">
      <c r="A1886" s="515" t="s">
        <v>111</v>
      </c>
      <c r="B1886" s="549">
        <f>SUM(B1883:B1885)</f>
        <v>41.9587</v>
      </c>
      <c r="C1886" s="201"/>
      <c r="D1886" s="201"/>
      <c r="E1886" s="201"/>
      <c r="F1886" s="197"/>
      <c r="G1886" s="197"/>
      <c r="H1886" s="201"/>
    </row>
    <row r="1887" spans="1:8">
      <c r="A1887" s="516"/>
      <c r="B1887" s="517"/>
      <c r="C1887" s="518"/>
      <c r="D1887" s="516"/>
      <c r="E1887" s="517"/>
      <c r="F1887" s="517"/>
      <c r="G1887" s="517"/>
      <c r="H1887" s="516"/>
    </row>
    <row r="1889" spans="1:8" ht="12.75" customHeight="1">
      <c r="A1889" s="170" t="s">
        <v>1369</v>
      </c>
    </row>
    <row r="1890" spans="1:8" ht="15.75" customHeight="1">
      <c r="A1890" s="1450" t="s">
        <v>1597</v>
      </c>
      <c r="B1890" s="1451"/>
      <c r="C1890" s="1451"/>
      <c r="D1890" s="1451"/>
      <c r="E1890" s="1451"/>
      <c r="F1890" s="1451"/>
      <c r="G1890" s="1451"/>
      <c r="H1890" s="1451"/>
    </row>
    <row r="1891" spans="1:8" ht="26.25" customHeight="1">
      <c r="A1891" s="707" t="s">
        <v>1640</v>
      </c>
      <c r="B1891" s="1465" t="s">
        <v>1975</v>
      </c>
      <c r="C1891" s="1465"/>
      <c r="D1891" s="1465"/>
      <c r="E1891" s="591" t="s">
        <v>1538</v>
      </c>
      <c r="F1891" s="587"/>
      <c r="G1891" s="587"/>
      <c r="H1891" s="587"/>
    </row>
    <row r="1892" spans="1:8" ht="22.5">
      <c r="A1892" s="502" t="s">
        <v>30</v>
      </c>
      <c r="B1892" s="507" t="s">
        <v>19</v>
      </c>
      <c r="C1892" s="430" t="s">
        <v>92</v>
      </c>
      <c r="D1892" s="612" t="s">
        <v>88</v>
      </c>
      <c r="E1892" s="612" t="s">
        <v>93</v>
      </c>
      <c r="F1892" s="432" t="s">
        <v>94</v>
      </c>
      <c r="G1892" s="508" t="s">
        <v>95</v>
      </c>
    </row>
    <row r="1893" spans="1:8" ht="15.75" customHeight="1">
      <c r="A1893" s="627" t="s">
        <v>292</v>
      </c>
      <c r="B1893" s="632" t="s">
        <v>293</v>
      </c>
      <c r="C1893" s="613" t="s">
        <v>99</v>
      </c>
      <c r="D1893" s="613" t="s">
        <v>5</v>
      </c>
      <c r="E1893" s="613" t="s">
        <v>294</v>
      </c>
      <c r="F1893" s="613">
        <v>3.39</v>
      </c>
      <c r="G1893" s="583">
        <f t="shared" ref="G1893:G1897" si="107">TRUNC(E1893*F1893,2)</f>
        <v>0.1</v>
      </c>
      <c r="H1893" s="199"/>
    </row>
    <row r="1894" spans="1:8" ht="27.75" customHeight="1">
      <c r="A1894" s="646">
        <v>36796</v>
      </c>
      <c r="B1894" s="632" t="s">
        <v>1976</v>
      </c>
      <c r="C1894" s="613" t="s">
        <v>99</v>
      </c>
      <c r="D1894" s="613" t="s">
        <v>5</v>
      </c>
      <c r="E1894" s="870">
        <v>1</v>
      </c>
      <c r="F1894" s="613">
        <v>153.59</v>
      </c>
      <c r="G1894" s="620">
        <f t="shared" si="107"/>
        <v>153.59</v>
      </c>
      <c r="H1894" s="199"/>
    </row>
    <row r="1895" spans="1:8" ht="15" customHeight="1">
      <c r="A1895" s="1444">
        <v>88267</v>
      </c>
      <c r="B1895" s="1446" t="s">
        <v>298</v>
      </c>
      <c r="C1895" s="854" t="s">
        <v>117</v>
      </c>
      <c r="D1895" s="1432" t="s">
        <v>410</v>
      </c>
      <c r="E1895" s="1448">
        <v>0.1</v>
      </c>
      <c r="F1895" s="584">
        <f>'COMP AUX'!G338</f>
        <v>15.41</v>
      </c>
      <c r="G1895" s="620">
        <f t="shared" si="107"/>
        <v>1.54</v>
      </c>
      <c r="H1895" s="850"/>
    </row>
    <row r="1896" spans="1:8" ht="15" customHeight="1">
      <c r="A1896" s="1445"/>
      <c r="B1896" s="1447"/>
      <c r="C1896" s="613" t="s">
        <v>99</v>
      </c>
      <c r="D1896" s="1433"/>
      <c r="E1896" s="1449"/>
      <c r="F1896" s="584">
        <f>'COMP AUX'!G339</f>
        <v>4.5600000000000005</v>
      </c>
      <c r="G1896" s="620">
        <f>TRUNC(E1895*F1896,2)</f>
        <v>0.45</v>
      </c>
      <c r="H1896" s="199"/>
    </row>
    <row r="1897" spans="1:8" ht="15" customHeight="1">
      <c r="A1897" s="1444">
        <v>88316</v>
      </c>
      <c r="B1897" s="1446" t="s">
        <v>123</v>
      </c>
      <c r="C1897" s="854" t="s">
        <v>117</v>
      </c>
      <c r="D1897" s="1432" t="s">
        <v>410</v>
      </c>
      <c r="E1897" s="1448">
        <v>0.03</v>
      </c>
      <c r="F1897" s="584">
        <f>'COMP AUX'!G104</f>
        <v>11.1</v>
      </c>
      <c r="G1897" s="620">
        <f t="shared" si="107"/>
        <v>0.33</v>
      </c>
      <c r="H1897" s="850"/>
    </row>
    <row r="1898" spans="1:8" ht="15" customHeight="1">
      <c r="A1898" s="1445"/>
      <c r="B1898" s="1447"/>
      <c r="C1898" s="613" t="s">
        <v>99</v>
      </c>
      <c r="D1898" s="1433"/>
      <c r="E1898" s="1449"/>
      <c r="F1898" s="584">
        <f>'COMP AUX'!G105</f>
        <v>4.5600000000000005</v>
      </c>
      <c r="G1898" s="620">
        <f>TRUNC(E1897*F1898,2)</f>
        <v>0.13</v>
      </c>
      <c r="H1898" s="199"/>
    </row>
    <row r="1899" spans="1:8" ht="15" customHeight="1">
      <c r="A1899" s="199"/>
      <c r="B1899" s="199"/>
      <c r="C1899" s="199"/>
      <c r="D1899" s="199"/>
      <c r="E1899" s="199"/>
      <c r="F1899" s="585" t="s">
        <v>103</v>
      </c>
      <c r="G1899" s="620">
        <f>G1895+G1897</f>
        <v>1.87</v>
      </c>
      <c r="H1899" s="199"/>
    </row>
    <row r="1900" spans="1:8" ht="15" customHeight="1">
      <c r="A1900" s="199"/>
      <c r="B1900" s="199"/>
      <c r="C1900" s="199"/>
      <c r="D1900" s="199"/>
      <c r="E1900" s="199"/>
      <c r="F1900" s="585" t="s">
        <v>105</v>
      </c>
      <c r="G1900" s="583">
        <f>G1893+G1894+G1896+G1898</f>
        <v>154.26999999999998</v>
      </c>
      <c r="H1900" s="199"/>
    </row>
    <row r="1901" spans="1:8" ht="15" customHeight="1">
      <c r="A1901" s="582" t="s">
        <v>107</v>
      </c>
      <c r="B1901" s="609"/>
      <c r="C1901" s="199"/>
      <c r="D1901" s="199"/>
      <c r="E1901" s="199"/>
      <c r="F1901" s="585" t="s">
        <v>106</v>
      </c>
      <c r="G1901" s="586">
        <f>SUM(G1899:G1900)</f>
        <v>156.13999999999999</v>
      </c>
      <c r="H1901" s="199"/>
    </row>
    <row r="1902" spans="1:8" ht="15" customHeight="1">
      <c r="A1902" s="515" t="s">
        <v>108</v>
      </c>
      <c r="B1902" s="548">
        <f>G1901</f>
        <v>156.13999999999999</v>
      </c>
      <c r="C1902" s="199"/>
      <c r="D1902" s="199"/>
      <c r="E1902" s="199"/>
      <c r="F1902" s="191"/>
      <c r="G1902" s="191"/>
      <c r="H1902" s="199"/>
    </row>
    <row r="1903" spans="1:8" ht="15" customHeight="1">
      <c r="A1903" s="542" t="s">
        <v>2654</v>
      </c>
      <c r="B1903" s="541"/>
      <c r="C1903" s="199"/>
      <c r="D1903" s="199"/>
      <c r="E1903" s="199"/>
      <c r="F1903" s="191"/>
      <c r="G1903" s="191"/>
      <c r="H1903" s="199"/>
    </row>
    <row r="1904" spans="1:8" ht="15" customHeight="1">
      <c r="A1904" s="622" t="s">
        <v>2714</v>
      </c>
      <c r="B1904" s="541">
        <f>(B1902+B1903)*0.245</f>
        <v>38.254299999999994</v>
      </c>
      <c r="C1904" s="199"/>
      <c r="D1904" s="199"/>
      <c r="E1904" s="199"/>
      <c r="F1904" s="191"/>
      <c r="G1904" s="191"/>
      <c r="H1904" s="199"/>
    </row>
    <row r="1905" spans="1:8" ht="15" customHeight="1">
      <c r="A1905" s="515" t="s">
        <v>111</v>
      </c>
      <c r="B1905" s="549">
        <f>SUM(B1902:B1904)</f>
        <v>194.39429999999999</v>
      </c>
      <c r="C1905" s="199"/>
      <c r="D1905" s="199"/>
      <c r="E1905" s="199"/>
      <c r="F1905" s="191"/>
      <c r="G1905" s="191"/>
      <c r="H1905" s="589"/>
    </row>
    <row r="1906" spans="1:8">
      <c r="A1906" s="516"/>
      <c r="B1906" s="517"/>
      <c r="C1906" s="518"/>
      <c r="D1906" s="516"/>
      <c r="E1906" s="517"/>
      <c r="F1906" s="517"/>
      <c r="G1906" s="517"/>
      <c r="H1906" s="516"/>
    </row>
    <row r="1909" spans="1:8">
      <c r="A1909" s="170" t="s">
        <v>1369</v>
      </c>
    </row>
    <row r="1910" spans="1:8">
      <c r="A1910" s="1450" t="s">
        <v>1597</v>
      </c>
      <c r="B1910" s="1451"/>
      <c r="C1910" s="1451"/>
      <c r="D1910" s="1451"/>
      <c r="E1910" s="1451"/>
      <c r="F1910" s="1451"/>
      <c r="G1910" s="1451"/>
      <c r="H1910" s="1451"/>
    </row>
    <row r="1911" spans="1:8" ht="26.25" customHeight="1">
      <c r="A1911" s="707" t="s">
        <v>1640</v>
      </c>
      <c r="B1911" s="1465" t="s">
        <v>1975</v>
      </c>
      <c r="C1911" s="1465"/>
      <c r="D1911" s="1465"/>
      <c r="E1911" s="591" t="s">
        <v>1538</v>
      </c>
      <c r="F1911" s="587"/>
      <c r="G1911" s="587"/>
      <c r="H1911" s="587"/>
    </row>
    <row r="1912" spans="1:8" ht="22.5">
      <c r="A1912" s="849" t="s">
        <v>30</v>
      </c>
      <c r="B1912" s="507" t="s">
        <v>19</v>
      </c>
      <c r="C1912" s="430" t="s">
        <v>92</v>
      </c>
      <c r="D1912" s="844" t="s">
        <v>88</v>
      </c>
      <c r="E1912" s="844" t="s">
        <v>93</v>
      </c>
      <c r="F1912" s="432" t="s">
        <v>94</v>
      </c>
      <c r="G1912" s="508" t="s">
        <v>95</v>
      </c>
    </row>
    <row r="1913" spans="1:8" ht="16.5" customHeight="1">
      <c r="A1913" s="627" t="s">
        <v>292</v>
      </c>
      <c r="B1913" s="632" t="s">
        <v>293</v>
      </c>
      <c r="C1913" s="854" t="s">
        <v>99</v>
      </c>
      <c r="D1913" s="854" t="s">
        <v>5</v>
      </c>
      <c r="E1913" s="854" t="s">
        <v>294</v>
      </c>
      <c r="F1913" s="854">
        <v>3.39</v>
      </c>
      <c r="G1913" s="583">
        <f t="shared" ref="G1913:G1915" si="108">TRUNC(E1913*F1913,2)</f>
        <v>0.1</v>
      </c>
      <c r="H1913" s="850"/>
    </row>
    <row r="1914" spans="1:8" ht="22.5">
      <c r="A1914" s="646">
        <v>36795</v>
      </c>
      <c r="B1914" s="632" t="s">
        <v>1978</v>
      </c>
      <c r="C1914" s="854" t="s">
        <v>99</v>
      </c>
      <c r="D1914" s="854" t="s">
        <v>5</v>
      </c>
      <c r="E1914" s="870">
        <v>1</v>
      </c>
      <c r="F1914" s="854">
        <v>596.54999999999995</v>
      </c>
      <c r="G1914" s="620">
        <f t="shared" si="108"/>
        <v>596.54999999999995</v>
      </c>
      <c r="H1914" s="850"/>
    </row>
    <row r="1915" spans="1:8" ht="15" customHeight="1">
      <c r="A1915" s="1444">
        <v>88267</v>
      </c>
      <c r="B1915" s="1446" t="s">
        <v>298</v>
      </c>
      <c r="C1915" s="854" t="s">
        <v>117</v>
      </c>
      <c r="D1915" s="1432" t="s">
        <v>410</v>
      </c>
      <c r="E1915" s="1448">
        <v>0.1</v>
      </c>
      <c r="F1915" s="584">
        <f>'COMP AUX'!G355</f>
        <v>14.85</v>
      </c>
      <c r="G1915" s="620">
        <f t="shared" si="108"/>
        <v>1.48</v>
      </c>
      <c r="H1915" s="850"/>
    </row>
    <row r="1916" spans="1:8" ht="15" customHeight="1">
      <c r="A1916" s="1445"/>
      <c r="B1916" s="1447"/>
      <c r="C1916" s="854" t="s">
        <v>99</v>
      </c>
      <c r="D1916" s="1433"/>
      <c r="E1916" s="1449"/>
      <c r="F1916" s="584">
        <f>'COMP AUX'!G356</f>
        <v>4.5600000000000005</v>
      </c>
      <c r="G1916" s="620">
        <f>TRUNC(E1915*F1916,2)</f>
        <v>0.45</v>
      </c>
      <c r="H1916" s="850"/>
    </row>
    <row r="1917" spans="1:8" ht="15" customHeight="1">
      <c r="A1917" s="1444">
        <v>88316</v>
      </c>
      <c r="B1917" s="1446" t="s">
        <v>123</v>
      </c>
      <c r="C1917" s="854" t="s">
        <v>117</v>
      </c>
      <c r="D1917" s="1432" t="s">
        <v>410</v>
      </c>
      <c r="E1917" s="1448">
        <v>0.03</v>
      </c>
      <c r="F1917" s="584">
        <f>'COMP AUX'!G104</f>
        <v>11.1</v>
      </c>
      <c r="G1917" s="620">
        <f t="shared" ref="G1917:G1921" si="109">TRUNC(E1917*F1917,2)</f>
        <v>0.33</v>
      </c>
      <c r="H1917" s="850"/>
    </row>
    <row r="1918" spans="1:8" ht="15" customHeight="1">
      <c r="A1918" s="1445"/>
      <c r="B1918" s="1447"/>
      <c r="C1918" s="854" t="s">
        <v>99</v>
      </c>
      <c r="D1918" s="1433"/>
      <c r="E1918" s="1449"/>
      <c r="F1918" s="584">
        <f>'COMP AUX'!G105</f>
        <v>4.5600000000000005</v>
      </c>
      <c r="G1918" s="620">
        <f>TRUNC(E1917*F1918,2)</f>
        <v>0.13</v>
      </c>
      <c r="H1918" s="850"/>
    </row>
    <row r="1919" spans="1:8" ht="15" customHeight="1">
      <c r="A1919" s="1558" t="s">
        <v>1979</v>
      </c>
      <c r="B1919" s="1557" t="s">
        <v>1068</v>
      </c>
      <c r="C1919" s="854" t="s">
        <v>117</v>
      </c>
      <c r="D1919" s="1559" t="s">
        <v>410</v>
      </c>
      <c r="E1919" s="1563">
        <v>0.15659999999999999</v>
      </c>
      <c r="F1919" s="584">
        <f>'COMP AUX'!G287</f>
        <v>10.98</v>
      </c>
      <c r="G1919" s="583">
        <f t="shared" si="109"/>
        <v>1.71</v>
      </c>
      <c r="H1919" s="850"/>
    </row>
    <row r="1920" spans="1:8" ht="15" customHeight="1">
      <c r="A1920" s="1558"/>
      <c r="B1920" s="1557"/>
      <c r="C1920" s="854" t="s">
        <v>99</v>
      </c>
      <c r="D1920" s="1560"/>
      <c r="E1920" s="1564"/>
      <c r="F1920" s="584">
        <f>'COMP AUX'!G288</f>
        <v>4.5600000000000005</v>
      </c>
      <c r="G1920" s="583">
        <f>TRUNC(E1919*F1920,2)</f>
        <v>0.71</v>
      </c>
      <c r="H1920" s="850"/>
    </row>
    <row r="1921" spans="1:8" ht="15" customHeight="1">
      <c r="A1921" s="1558" t="s">
        <v>1980</v>
      </c>
      <c r="B1921" s="1561" t="s">
        <v>306</v>
      </c>
      <c r="C1921" s="854" t="s">
        <v>117</v>
      </c>
      <c r="D1921" s="1559" t="s">
        <v>410</v>
      </c>
      <c r="E1921" s="1563">
        <v>0.37580000000000002</v>
      </c>
      <c r="F1921" s="584">
        <f>'COMP AUX'!G253</f>
        <v>15.639999999999999</v>
      </c>
      <c r="G1921" s="583">
        <f t="shared" si="109"/>
        <v>5.87</v>
      </c>
      <c r="H1921" s="850"/>
    </row>
    <row r="1922" spans="1:8" ht="15" customHeight="1">
      <c r="A1922" s="1484"/>
      <c r="B1922" s="1562"/>
      <c r="C1922" s="854" t="s">
        <v>99</v>
      </c>
      <c r="D1922" s="1560"/>
      <c r="E1922" s="1564"/>
      <c r="F1922" s="584">
        <f>'COMP AUX'!G254</f>
        <v>4.5600000000000005</v>
      </c>
      <c r="G1922" s="583">
        <f>TRUNC(E1921*F1922,2)</f>
        <v>1.71</v>
      </c>
      <c r="H1922" s="850"/>
    </row>
    <row r="1923" spans="1:8" ht="15" customHeight="1">
      <c r="A1923" s="850"/>
      <c r="B1923" s="850"/>
      <c r="C1923" s="850"/>
      <c r="D1923" s="850"/>
      <c r="E1923" s="850"/>
      <c r="F1923" s="871" t="s">
        <v>103</v>
      </c>
      <c r="G1923" s="872">
        <f>G1915+G1917+G1919+G1921</f>
        <v>9.39</v>
      </c>
      <c r="H1923" s="850"/>
    </row>
    <row r="1924" spans="1:8" ht="15" customHeight="1">
      <c r="A1924" s="850"/>
      <c r="B1924" s="850"/>
      <c r="C1924" s="850"/>
      <c r="D1924" s="850"/>
      <c r="E1924" s="850"/>
      <c r="F1924" s="585" t="s">
        <v>105</v>
      </c>
      <c r="G1924" s="583">
        <f>G1913+G1914+G1916+G1918+G1920+G1922</f>
        <v>599.65000000000009</v>
      </c>
      <c r="H1924" s="850"/>
    </row>
    <row r="1925" spans="1:8" ht="15" customHeight="1">
      <c r="A1925" s="582" t="s">
        <v>107</v>
      </c>
      <c r="B1925" s="851"/>
      <c r="C1925" s="850"/>
      <c r="D1925" s="850"/>
      <c r="E1925" s="850"/>
      <c r="F1925" s="585" t="s">
        <v>106</v>
      </c>
      <c r="G1925" s="586">
        <f>SUM(G1923:G1924)</f>
        <v>609.04000000000008</v>
      </c>
      <c r="H1925" s="850"/>
    </row>
    <row r="1926" spans="1:8" ht="15" customHeight="1">
      <c r="A1926" s="515" t="s">
        <v>108</v>
      </c>
      <c r="B1926" s="548">
        <f>G1925</f>
        <v>609.04000000000008</v>
      </c>
      <c r="C1926" s="850"/>
      <c r="D1926" s="850"/>
      <c r="E1926" s="850"/>
      <c r="F1926" s="191"/>
      <c r="G1926" s="191"/>
      <c r="H1926" s="850"/>
    </row>
    <row r="1927" spans="1:8" ht="15" customHeight="1">
      <c r="A1927" s="542" t="s">
        <v>2654</v>
      </c>
      <c r="B1927" s="541"/>
      <c r="C1927" s="850"/>
      <c r="D1927" s="850"/>
      <c r="E1927" s="850"/>
      <c r="F1927" s="191"/>
      <c r="G1927" s="191"/>
      <c r="H1927" s="850"/>
    </row>
    <row r="1928" spans="1:8" ht="15" customHeight="1">
      <c r="A1928" s="622" t="s">
        <v>2714</v>
      </c>
      <c r="B1928" s="541">
        <f>(B1926+B1927)*0.245</f>
        <v>149.21480000000003</v>
      </c>
      <c r="C1928" s="850"/>
      <c r="D1928" s="850"/>
      <c r="E1928" s="850"/>
      <c r="F1928" s="191"/>
      <c r="G1928" s="191"/>
      <c r="H1928" s="850"/>
    </row>
    <row r="1929" spans="1:8" ht="15" customHeight="1">
      <c r="A1929" s="515" t="s">
        <v>111</v>
      </c>
      <c r="B1929" s="549">
        <f>SUM(B1926:B1928)</f>
        <v>758.25480000000016</v>
      </c>
      <c r="C1929" s="850"/>
      <c r="D1929" s="850"/>
      <c r="E1929" s="850"/>
      <c r="F1929" s="191"/>
      <c r="G1929" s="191"/>
      <c r="H1929" s="589"/>
    </row>
    <row r="1930" spans="1:8">
      <c r="A1930" s="516"/>
      <c r="B1930" s="517"/>
      <c r="C1930" s="518"/>
      <c r="D1930" s="516"/>
      <c r="E1930" s="517"/>
      <c r="F1930" s="517"/>
      <c r="G1930" s="517"/>
      <c r="H1930" s="516"/>
    </row>
    <row r="1933" spans="1:8">
      <c r="A1933" s="170" t="s">
        <v>1369</v>
      </c>
    </row>
    <row r="1934" spans="1:8">
      <c r="A1934" s="1450" t="s">
        <v>2626</v>
      </c>
      <c r="B1934" s="1451"/>
      <c r="C1934" s="1451"/>
      <c r="D1934" s="1451"/>
      <c r="E1934" s="1451"/>
      <c r="F1934" s="1451"/>
      <c r="G1934" s="1451"/>
      <c r="H1934" s="1451"/>
    </row>
    <row r="1935" spans="1:8" ht="22.5" customHeight="1">
      <c r="A1935" s="707" t="s">
        <v>1640</v>
      </c>
      <c r="B1935" s="1465" t="s">
        <v>2627</v>
      </c>
      <c r="C1935" s="1465"/>
      <c r="D1935" s="1465"/>
      <c r="E1935" s="1041" t="s">
        <v>1538</v>
      </c>
      <c r="F1935" s="587"/>
      <c r="G1935" s="587"/>
      <c r="H1935" s="587"/>
    </row>
    <row r="1936" spans="1:8" ht="22.5">
      <c r="A1936" s="1003" t="s">
        <v>30</v>
      </c>
      <c r="B1936" s="507" t="s">
        <v>19</v>
      </c>
      <c r="C1936" s="430" t="s">
        <v>92</v>
      </c>
      <c r="D1936" s="1005" t="s">
        <v>88</v>
      </c>
      <c r="E1936" s="1005" t="s">
        <v>93</v>
      </c>
      <c r="F1936" s="432" t="s">
        <v>94</v>
      </c>
      <c r="G1936" s="508" t="s">
        <v>95</v>
      </c>
    </row>
    <row r="1937" spans="1:8" ht="14.1" customHeight="1">
      <c r="A1937" s="627" t="s">
        <v>292</v>
      </c>
      <c r="B1937" s="632" t="s">
        <v>293</v>
      </c>
      <c r="C1937" s="1011" t="s">
        <v>99</v>
      </c>
      <c r="D1937" s="1011" t="s">
        <v>5</v>
      </c>
      <c r="E1937" s="1011" t="s">
        <v>294</v>
      </c>
      <c r="F1937" s="1011">
        <v>3.39</v>
      </c>
      <c r="G1937" s="583">
        <f t="shared" ref="G1937:G1939" si="110">TRUNC(E1937*F1937,2)</f>
        <v>0.1</v>
      </c>
      <c r="H1937" s="1013"/>
    </row>
    <row r="1938" spans="1:8" ht="22.5">
      <c r="A1938" s="1010" t="s">
        <v>2628</v>
      </c>
      <c r="B1938" s="632" t="s">
        <v>2629</v>
      </c>
      <c r="C1938" s="1011" t="s">
        <v>99</v>
      </c>
      <c r="D1938" s="1011" t="s">
        <v>5</v>
      </c>
      <c r="E1938" s="870">
        <v>1</v>
      </c>
      <c r="F1938" s="584">
        <v>33.6</v>
      </c>
      <c r="G1938" s="620">
        <f t="shared" si="110"/>
        <v>33.6</v>
      </c>
      <c r="H1938" s="1013"/>
    </row>
    <row r="1939" spans="1:8" ht="14.1" customHeight="1">
      <c r="A1939" s="1444">
        <v>88267</v>
      </c>
      <c r="B1939" s="1446" t="s">
        <v>298</v>
      </c>
      <c r="C1939" s="1011" t="s">
        <v>117</v>
      </c>
      <c r="D1939" s="1432" t="s">
        <v>410</v>
      </c>
      <c r="E1939" s="1448">
        <v>0.15</v>
      </c>
      <c r="F1939" s="584">
        <f>'COMP AUX'!G338</f>
        <v>15.41</v>
      </c>
      <c r="G1939" s="620">
        <f t="shared" si="110"/>
        <v>2.31</v>
      </c>
      <c r="H1939" s="1013"/>
    </row>
    <row r="1940" spans="1:8" ht="14.1" customHeight="1">
      <c r="A1940" s="1445"/>
      <c r="B1940" s="1447"/>
      <c r="C1940" s="1011" t="s">
        <v>99</v>
      </c>
      <c r="D1940" s="1433"/>
      <c r="E1940" s="1449"/>
      <c r="F1940" s="584">
        <f>'COMP AUX'!G339</f>
        <v>4.5600000000000005</v>
      </c>
      <c r="G1940" s="620">
        <f>TRUNC(E1939*F1940,2)</f>
        <v>0.68</v>
      </c>
      <c r="H1940" s="1013"/>
    </row>
    <row r="1941" spans="1:8" ht="14.1" customHeight="1">
      <c r="A1941" s="1444">
        <v>88316</v>
      </c>
      <c r="B1941" s="1446" t="s">
        <v>123</v>
      </c>
      <c r="C1941" s="1011" t="s">
        <v>117</v>
      </c>
      <c r="D1941" s="1432" t="s">
        <v>410</v>
      </c>
      <c r="E1941" s="1448">
        <v>0.05</v>
      </c>
      <c r="F1941" s="584">
        <f>'COMP AUX'!G104</f>
        <v>11.1</v>
      </c>
      <c r="G1941" s="583">
        <f t="shared" ref="G1941" si="111">TRUNC(E1941*F1941,2)</f>
        <v>0.55000000000000004</v>
      </c>
      <c r="H1941" s="1013"/>
    </row>
    <row r="1942" spans="1:8" ht="14.1" customHeight="1">
      <c r="A1942" s="1445"/>
      <c r="B1942" s="1447"/>
      <c r="C1942" s="1011" t="s">
        <v>99</v>
      </c>
      <c r="D1942" s="1433"/>
      <c r="E1942" s="1449"/>
      <c r="F1942" s="584">
        <f>'COMP AUX'!G105</f>
        <v>4.5600000000000005</v>
      </c>
      <c r="G1942" s="620">
        <f>TRUNC(E1941*F1942,2)</f>
        <v>0.22</v>
      </c>
      <c r="H1942" s="1013"/>
    </row>
    <row r="1943" spans="1:8" ht="14.1" customHeight="1">
      <c r="A1943" s="1013"/>
      <c r="B1943" s="1013"/>
      <c r="C1943" s="1013"/>
      <c r="D1943" s="1013"/>
      <c r="E1943" s="1013"/>
      <c r="F1943" s="585" t="s">
        <v>103</v>
      </c>
      <c r="G1943" s="583">
        <f>G1939+G1941</f>
        <v>2.8600000000000003</v>
      </c>
      <c r="H1943" s="1013"/>
    </row>
    <row r="1944" spans="1:8" ht="14.1" customHeight="1">
      <c r="A1944" s="1013"/>
      <c r="B1944" s="1013"/>
      <c r="C1944" s="1013"/>
      <c r="D1944" s="1013"/>
      <c r="E1944" s="1013"/>
      <c r="F1944" s="585" t="s">
        <v>105</v>
      </c>
      <c r="G1944" s="583">
        <f>G1937+G1938+G1940+G1942</f>
        <v>34.6</v>
      </c>
      <c r="H1944" s="1013"/>
    </row>
    <row r="1945" spans="1:8" ht="14.1" customHeight="1">
      <c r="A1945" s="582" t="s">
        <v>107</v>
      </c>
      <c r="B1945" s="1015"/>
      <c r="C1945" s="1013"/>
      <c r="D1945" s="1013"/>
      <c r="E1945" s="1013"/>
      <c r="F1945" s="585" t="s">
        <v>106</v>
      </c>
      <c r="G1945" s="586">
        <f>SUM(G1943:G1944)</f>
        <v>37.46</v>
      </c>
      <c r="H1945" s="1013"/>
    </row>
    <row r="1946" spans="1:8" ht="14.1" customHeight="1">
      <c r="A1946" s="515" t="s">
        <v>108</v>
      </c>
      <c r="B1946" s="548">
        <f>G1945</f>
        <v>37.46</v>
      </c>
      <c r="C1946" s="1013"/>
      <c r="D1946" s="1013"/>
      <c r="E1946" s="1013"/>
      <c r="F1946" s="191"/>
      <c r="G1946" s="191"/>
      <c r="H1946" s="1013"/>
    </row>
    <row r="1947" spans="1:8" ht="14.1" customHeight="1">
      <c r="A1947" s="542" t="s">
        <v>2654</v>
      </c>
      <c r="B1947" s="541"/>
      <c r="C1947" s="1013"/>
      <c r="D1947" s="1013"/>
      <c r="E1947" s="1013"/>
      <c r="F1947" s="191"/>
      <c r="G1947" s="191"/>
      <c r="H1947" s="1013"/>
    </row>
    <row r="1948" spans="1:8" ht="14.1" customHeight="1">
      <c r="A1948" s="622" t="s">
        <v>2714</v>
      </c>
      <c r="B1948" s="541">
        <f>(B1946+B1947)*0.245</f>
        <v>9.1776999999999997</v>
      </c>
      <c r="C1948" s="1013"/>
      <c r="D1948" s="1013"/>
      <c r="E1948" s="1013"/>
      <c r="F1948" s="191"/>
      <c r="G1948" s="191"/>
      <c r="H1948" s="1013"/>
    </row>
    <row r="1949" spans="1:8" ht="14.1" customHeight="1">
      <c r="A1949" s="515" t="s">
        <v>111</v>
      </c>
      <c r="B1949" s="549">
        <f>SUM(B1946:B1948)</f>
        <v>46.637700000000002</v>
      </c>
      <c r="C1949" s="1013"/>
      <c r="D1949" s="1013"/>
      <c r="E1949" s="1013"/>
      <c r="F1949" s="191"/>
      <c r="G1949" s="191"/>
      <c r="H1949" s="589"/>
    </row>
    <row r="1950" spans="1:8">
      <c r="A1950" s="516"/>
      <c r="B1950" s="517"/>
      <c r="C1950" s="518"/>
      <c r="D1950" s="516"/>
      <c r="E1950" s="517"/>
      <c r="F1950" s="517"/>
      <c r="G1950" s="517"/>
      <c r="H1950" s="516"/>
    </row>
    <row r="1952" spans="1:8">
      <c r="A1952" s="170" t="s">
        <v>1369</v>
      </c>
    </row>
    <row r="1953" spans="1:8">
      <c r="A1953" s="1032" t="s">
        <v>2696</v>
      </c>
      <c r="B1953" s="592" t="s">
        <v>2697</v>
      </c>
      <c r="C1953" s="1033"/>
      <c r="D1953" s="1033"/>
      <c r="E1953" s="1033"/>
      <c r="F1953" s="1033"/>
      <c r="G1953" s="1033"/>
      <c r="H1953" s="1033"/>
    </row>
    <row r="1954" spans="1:8" ht="18" customHeight="1">
      <c r="A1954" s="631" t="s">
        <v>1640</v>
      </c>
      <c r="B1954" s="1063" t="s">
        <v>2700</v>
      </c>
      <c r="C1954" s="580" t="s">
        <v>1538</v>
      </c>
      <c r="D1954" s="631"/>
      <c r="E1954" s="170"/>
      <c r="F1954" s="555"/>
      <c r="G1954" s="555"/>
      <c r="H1954" s="555"/>
    </row>
    <row r="1955" spans="1:8" ht="22.5">
      <c r="A1955" s="1023" t="s">
        <v>30</v>
      </c>
      <c r="B1955" s="507" t="s">
        <v>19</v>
      </c>
      <c r="C1955" s="430" t="s">
        <v>92</v>
      </c>
      <c r="D1955" s="1026" t="s">
        <v>88</v>
      </c>
      <c r="E1955" s="1026" t="s">
        <v>93</v>
      </c>
      <c r="F1955" s="432" t="s">
        <v>94</v>
      </c>
      <c r="G1955" s="508" t="s">
        <v>95</v>
      </c>
      <c r="H1955" s="1029"/>
    </row>
    <row r="1956" spans="1:8" ht="14.1" customHeight="1">
      <c r="A1956" s="1444">
        <v>88267</v>
      </c>
      <c r="B1956" s="1446" t="s">
        <v>298</v>
      </c>
      <c r="C1956" s="1027" t="s">
        <v>117</v>
      </c>
      <c r="D1956" s="1432" t="s">
        <v>410</v>
      </c>
      <c r="E1956" s="1448">
        <v>3</v>
      </c>
      <c r="F1956" s="584">
        <f>'COMP AUX'!G338</f>
        <v>15.41</v>
      </c>
      <c r="G1956" s="620">
        <f t="shared" ref="G1956" si="112">TRUNC(E1956*F1956,2)</f>
        <v>46.23</v>
      </c>
      <c r="H1956" s="1029"/>
    </row>
    <row r="1957" spans="1:8" ht="14.1" customHeight="1">
      <c r="A1957" s="1445"/>
      <c r="B1957" s="1447"/>
      <c r="C1957" s="1027" t="s">
        <v>99</v>
      </c>
      <c r="D1957" s="1433"/>
      <c r="E1957" s="1449"/>
      <c r="F1957" s="584">
        <f>'COMP AUX'!G339</f>
        <v>4.5600000000000005</v>
      </c>
      <c r="G1957" s="620">
        <f>TRUNC(E1956*F1957,2)</f>
        <v>13.68</v>
      </c>
      <c r="H1957" s="1029"/>
    </row>
    <row r="1958" spans="1:8" ht="14.1" customHeight="1">
      <c r="A1958" s="1444">
        <v>88316</v>
      </c>
      <c r="B1958" s="1446" t="s">
        <v>123</v>
      </c>
      <c r="C1958" s="1027" t="s">
        <v>117</v>
      </c>
      <c r="D1958" s="1432" t="s">
        <v>410</v>
      </c>
      <c r="E1958" s="1448">
        <v>3</v>
      </c>
      <c r="F1958" s="584">
        <f>'COMP AUX'!G104</f>
        <v>11.1</v>
      </c>
      <c r="G1958" s="583">
        <f t="shared" ref="G1958" si="113">TRUNC(E1958*F1958,2)</f>
        <v>33.299999999999997</v>
      </c>
      <c r="H1958" s="1029"/>
    </row>
    <row r="1959" spans="1:8" ht="14.1" customHeight="1">
      <c r="A1959" s="1445"/>
      <c r="B1959" s="1447"/>
      <c r="C1959" s="1027" t="s">
        <v>99</v>
      </c>
      <c r="D1959" s="1433"/>
      <c r="E1959" s="1449"/>
      <c r="F1959" s="584">
        <f>'COMP AUX'!G105</f>
        <v>4.5600000000000005</v>
      </c>
      <c r="G1959" s="620">
        <f>TRUNC(E1958*F1959,2)</f>
        <v>13.68</v>
      </c>
      <c r="H1959" s="1029"/>
    </row>
    <row r="1960" spans="1:8" ht="30" customHeight="1">
      <c r="A1960" s="1035">
        <v>11688</v>
      </c>
      <c r="B1960" s="1036" t="s">
        <v>2702</v>
      </c>
      <c r="C1960" s="1027" t="s">
        <v>99</v>
      </c>
      <c r="D1960" s="1028" t="s">
        <v>1538</v>
      </c>
      <c r="E1960" s="1037">
        <v>1</v>
      </c>
      <c r="F1960" s="584">
        <v>294.92</v>
      </c>
      <c r="G1960" s="620">
        <f>TRUNC(E1960*F1960,2)</f>
        <v>294.92</v>
      </c>
      <c r="H1960" s="1029"/>
    </row>
    <row r="1961" spans="1:8" ht="33.75">
      <c r="A1961" s="1035" t="s">
        <v>2698</v>
      </c>
      <c r="B1961" s="1036" t="s">
        <v>2699</v>
      </c>
      <c r="C1961" s="1027" t="s">
        <v>99</v>
      </c>
      <c r="D1961" s="1028" t="s">
        <v>1538</v>
      </c>
      <c r="E1961" s="1037">
        <v>6</v>
      </c>
      <c r="F1961" s="584">
        <v>8.85</v>
      </c>
      <c r="G1961" s="583">
        <f>TRUNC(E1961*F1961,2)</f>
        <v>53.1</v>
      </c>
      <c r="H1961" s="1029"/>
    </row>
    <row r="1962" spans="1:8" ht="14.1" customHeight="1">
      <c r="A1962" s="627" t="s">
        <v>292</v>
      </c>
      <c r="B1962" s="632" t="s">
        <v>293</v>
      </c>
      <c r="C1962" s="1027" t="s">
        <v>99</v>
      </c>
      <c r="D1962" s="1028" t="s">
        <v>1538</v>
      </c>
      <c r="E1962" s="1037">
        <v>0.75</v>
      </c>
      <c r="F1962" s="584">
        <v>3.39</v>
      </c>
      <c r="G1962" s="583">
        <f t="shared" ref="G1962:G1963" si="114">TRUNC(E1962*F1962,2)</f>
        <v>2.54</v>
      </c>
      <c r="H1962" s="1029"/>
    </row>
    <row r="1963" spans="1:8" ht="14.1" customHeight="1">
      <c r="A1963" s="852">
        <v>38638</v>
      </c>
      <c r="B1963" s="630" t="s">
        <v>2701</v>
      </c>
      <c r="C1963" s="1025" t="s">
        <v>99</v>
      </c>
      <c r="D1963" s="1025" t="s">
        <v>1538</v>
      </c>
      <c r="E1963" s="573">
        <v>1</v>
      </c>
      <c r="F1963" s="1025">
        <v>138.74</v>
      </c>
      <c r="G1963" s="583">
        <f t="shared" si="114"/>
        <v>138.74</v>
      </c>
      <c r="H1963" s="1029"/>
    </row>
    <row r="1964" spans="1:8" ht="14.1" customHeight="1">
      <c r="A1964" s="1029"/>
      <c r="B1964" s="1029"/>
      <c r="C1964" s="1029"/>
      <c r="D1964" s="1029"/>
      <c r="E1964" s="1029"/>
      <c r="F1964" s="626" t="s">
        <v>103</v>
      </c>
      <c r="G1964" s="1064">
        <f>G1956+G1958</f>
        <v>79.53</v>
      </c>
      <c r="H1964" s="1029"/>
    </row>
    <row r="1965" spans="1:8" ht="14.1" customHeight="1">
      <c r="A1965" s="1029"/>
      <c r="B1965" s="1029"/>
      <c r="C1965" s="1029"/>
      <c r="D1965" s="1029"/>
      <c r="E1965" s="1029"/>
      <c r="F1965" s="626" t="s">
        <v>105</v>
      </c>
      <c r="G1965" s="1064">
        <f>G1957+G1959+G1960+G1961+G1962+G1963</f>
        <v>516.66000000000008</v>
      </c>
      <c r="H1965" s="1029"/>
    </row>
    <row r="1966" spans="1:8" ht="14.1" customHeight="1">
      <c r="A1966" s="582" t="s">
        <v>107</v>
      </c>
      <c r="B1966" s="1029"/>
      <c r="C1966" s="1029"/>
      <c r="D1966" s="1029"/>
      <c r="E1966" s="1029"/>
      <c r="F1966" s="626" t="s">
        <v>106</v>
      </c>
      <c r="G1966" s="1065">
        <f>SUM(G1964:G1965)</f>
        <v>596.19000000000005</v>
      </c>
      <c r="H1966" s="1029"/>
    </row>
    <row r="1967" spans="1:8" ht="14.1" customHeight="1">
      <c r="A1967" s="515" t="s">
        <v>108</v>
      </c>
      <c r="B1967" s="548">
        <f>G1966</f>
        <v>596.19000000000005</v>
      </c>
      <c r="C1967" s="1029"/>
      <c r="D1967" s="1029"/>
      <c r="E1967" s="1029"/>
      <c r="F1967" s="197"/>
      <c r="G1967" s="197"/>
      <c r="H1967" s="1029"/>
    </row>
    <row r="1968" spans="1:8" ht="14.1" customHeight="1">
      <c r="A1968" s="542" t="s">
        <v>2654</v>
      </c>
      <c r="B1968" s="541"/>
      <c r="C1968" s="1029"/>
      <c r="D1968" s="1029"/>
      <c r="E1968" s="1029"/>
      <c r="F1968" s="197"/>
      <c r="G1968" s="197"/>
      <c r="H1968" s="1029"/>
    </row>
    <row r="1969" spans="1:8" ht="14.1" customHeight="1">
      <c r="A1969" s="622" t="s">
        <v>2714</v>
      </c>
      <c r="B1969" s="541">
        <f>(B1967+B1968)*0.245</f>
        <v>146.06655000000001</v>
      </c>
      <c r="C1969" s="1029"/>
      <c r="D1969" s="1029"/>
      <c r="E1969" s="1029"/>
      <c r="F1969" s="197"/>
      <c r="G1969" s="197"/>
      <c r="H1969" s="1029"/>
    </row>
    <row r="1970" spans="1:8" ht="14.1" customHeight="1">
      <c r="A1970" s="515" t="s">
        <v>111</v>
      </c>
      <c r="B1970" s="549">
        <f>SUM(B1967:B1969)</f>
        <v>742.25655000000006</v>
      </c>
      <c r="C1970" s="1029"/>
      <c r="D1970" s="1029"/>
      <c r="E1970" s="1029"/>
      <c r="F1970" s="197"/>
      <c r="G1970" s="197"/>
      <c r="H1970" s="577"/>
    </row>
    <row r="1971" spans="1:8">
      <c r="A1971" s="516"/>
      <c r="B1971" s="517"/>
      <c r="C1971" s="518"/>
      <c r="D1971" s="516"/>
      <c r="E1971" s="517"/>
      <c r="F1971" s="517"/>
      <c r="G1971" s="517"/>
      <c r="H1971" s="516"/>
    </row>
    <row r="1978" spans="1:8">
      <c r="A1978" s="170" t="s">
        <v>1369</v>
      </c>
    </row>
    <row r="1979" spans="1:8">
      <c r="A1979" s="1518" t="s">
        <v>1046</v>
      </c>
      <c r="B1979" s="1519"/>
      <c r="C1979" s="1519"/>
      <c r="D1979" s="1519"/>
      <c r="E1979" s="1519"/>
      <c r="F1979" s="1519"/>
      <c r="G1979" s="1519"/>
      <c r="H1979" s="1519"/>
    </row>
    <row r="1980" spans="1:8" ht="25.5" customHeight="1">
      <c r="A1980" s="1097" t="s">
        <v>1649</v>
      </c>
      <c r="B1980" s="1465" t="s">
        <v>2764</v>
      </c>
      <c r="C1980" s="1465"/>
      <c r="D1980" s="1125" t="s">
        <v>1538</v>
      </c>
      <c r="E1980" s="587"/>
      <c r="F1980" s="587"/>
      <c r="G1980" s="587"/>
      <c r="H1980" s="587"/>
    </row>
    <row r="1981" spans="1:8" ht="22.5">
      <c r="A1981" s="502" t="s">
        <v>30</v>
      </c>
      <c r="B1981" s="507" t="s">
        <v>19</v>
      </c>
      <c r="C1981" s="430" t="s">
        <v>92</v>
      </c>
      <c r="D1981" s="612" t="s">
        <v>88</v>
      </c>
      <c r="E1981" s="612" t="s">
        <v>93</v>
      </c>
      <c r="F1981" s="432" t="s">
        <v>94</v>
      </c>
      <c r="G1981" s="508" t="s">
        <v>95</v>
      </c>
      <c r="H1981" s="226"/>
    </row>
    <row r="1982" spans="1:8" ht="33.75">
      <c r="A1982" s="627" t="s">
        <v>1047</v>
      </c>
      <c r="B1982" s="632" t="s">
        <v>1048</v>
      </c>
      <c r="C1982" s="613" t="s">
        <v>99</v>
      </c>
      <c r="D1982" s="613" t="s">
        <v>5</v>
      </c>
      <c r="E1982" s="613" t="s">
        <v>114</v>
      </c>
      <c r="F1982" s="613" t="s">
        <v>1049</v>
      </c>
      <c r="G1982" s="620">
        <f t="shared" ref="G1982:G1985" si="115">TRUNC(E1982*F1982,2)</f>
        <v>386.76</v>
      </c>
      <c r="H1982" s="225"/>
    </row>
    <row r="1983" spans="1:8" ht="22.5">
      <c r="A1983" s="627" t="s">
        <v>170</v>
      </c>
      <c r="B1983" s="632" t="s">
        <v>171</v>
      </c>
      <c r="C1983" s="613" t="s">
        <v>117</v>
      </c>
      <c r="D1983" s="613" t="s">
        <v>118</v>
      </c>
      <c r="E1983" s="613" t="s">
        <v>1050</v>
      </c>
      <c r="F1983" s="613" t="s">
        <v>172</v>
      </c>
      <c r="G1983" s="620">
        <f t="shared" si="115"/>
        <v>292.35000000000002</v>
      </c>
      <c r="H1983" s="225"/>
    </row>
    <row r="1984" spans="1:8" ht="22.5">
      <c r="A1984" s="627" t="s">
        <v>1051</v>
      </c>
      <c r="B1984" s="632" t="s">
        <v>1052</v>
      </c>
      <c r="C1984" s="613" t="s">
        <v>117</v>
      </c>
      <c r="D1984" s="613" t="s">
        <v>118</v>
      </c>
      <c r="E1984" s="613" t="s">
        <v>1053</v>
      </c>
      <c r="F1984" s="613" t="s">
        <v>810</v>
      </c>
      <c r="G1984" s="620">
        <f t="shared" si="115"/>
        <v>125.91</v>
      </c>
      <c r="H1984" s="225"/>
    </row>
    <row r="1985" spans="1:8" ht="22.5">
      <c r="A1985" s="627" t="s">
        <v>187</v>
      </c>
      <c r="B1985" s="632" t="s">
        <v>188</v>
      </c>
      <c r="C1985" s="613" t="s">
        <v>117</v>
      </c>
      <c r="D1985" s="613" t="s">
        <v>118</v>
      </c>
      <c r="E1985" s="613" t="s">
        <v>1054</v>
      </c>
      <c r="F1985" s="613" t="s">
        <v>189</v>
      </c>
      <c r="G1985" s="620">
        <f t="shared" si="115"/>
        <v>187.64</v>
      </c>
      <c r="H1985" s="225"/>
    </row>
    <row r="1986" spans="1:8" ht="14.1" customHeight="1">
      <c r="A1986" s="225"/>
      <c r="B1986" s="225"/>
      <c r="C1986" s="225"/>
      <c r="D1986" s="225"/>
      <c r="E1986" s="225"/>
      <c r="F1986" s="585" t="s">
        <v>103</v>
      </c>
      <c r="G1986" s="620" t="s">
        <v>1055</v>
      </c>
      <c r="H1986" s="225"/>
    </row>
    <row r="1987" spans="1:8" ht="14.1" customHeight="1">
      <c r="A1987" s="225"/>
      <c r="B1987" s="225"/>
      <c r="C1987" s="225"/>
      <c r="D1987" s="225"/>
      <c r="E1987" s="225"/>
      <c r="F1987" s="585" t="s">
        <v>105</v>
      </c>
      <c r="G1987" s="620" t="s">
        <v>1049</v>
      </c>
      <c r="H1987" s="225"/>
    </row>
    <row r="1988" spans="1:8" ht="14.1" customHeight="1">
      <c r="A1988" s="582" t="s">
        <v>107</v>
      </c>
      <c r="B1988" s="616"/>
      <c r="C1988" s="225"/>
      <c r="D1988" s="225"/>
      <c r="E1988" s="225"/>
      <c r="F1988" s="585" t="s">
        <v>106</v>
      </c>
      <c r="G1988" s="620" t="s">
        <v>1056</v>
      </c>
      <c r="H1988" s="225"/>
    </row>
    <row r="1989" spans="1:8" ht="14.1" customHeight="1">
      <c r="A1989" s="515" t="s">
        <v>108</v>
      </c>
      <c r="B1989" s="548" t="str">
        <f>G1988</f>
        <v>992,68</v>
      </c>
      <c r="C1989" s="225"/>
      <c r="D1989" s="225"/>
      <c r="E1989" s="225"/>
      <c r="F1989" s="225"/>
      <c r="G1989" s="225"/>
      <c r="H1989" s="225"/>
    </row>
    <row r="1990" spans="1:8" ht="14.1" customHeight="1">
      <c r="A1990" s="542" t="s">
        <v>2654</v>
      </c>
      <c r="B1990" s="541"/>
      <c r="C1990" s="225"/>
      <c r="D1990" s="225"/>
      <c r="E1990" s="225"/>
      <c r="F1990" s="225"/>
      <c r="G1990" s="225"/>
      <c r="H1990" s="225"/>
    </row>
    <row r="1991" spans="1:8" ht="14.1" customHeight="1">
      <c r="A1991" s="622" t="s">
        <v>2714</v>
      </c>
      <c r="B1991" s="541">
        <f>(B1989+B1990)*0.245</f>
        <v>243.20659999999998</v>
      </c>
      <c r="C1991" s="225"/>
      <c r="D1991" s="225"/>
      <c r="E1991" s="225"/>
      <c r="F1991" s="225"/>
      <c r="G1991" s="225"/>
      <c r="H1991" s="225"/>
    </row>
    <row r="1992" spans="1:8" ht="14.1" customHeight="1">
      <c r="A1992" s="515" t="s">
        <v>111</v>
      </c>
      <c r="B1992" s="549">
        <f>SUM(B1989:B1991)</f>
        <v>243.20659999999998</v>
      </c>
      <c r="C1992" s="225"/>
      <c r="D1992" s="225"/>
      <c r="E1992" s="225"/>
      <c r="F1992" s="225"/>
      <c r="G1992" s="225"/>
      <c r="H1992" s="225"/>
    </row>
    <row r="1993" spans="1:8">
      <c r="A1993" s="644"/>
      <c r="B1993" s="644"/>
      <c r="C1993" s="644"/>
      <c r="D1993" s="644"/>
      <c r="E1993" s="644"/>
      <c r="F1993" s="644"/>
      <c r="G1993" s="644"/>
      <c r="H1993" s="644"/>
    </row>
    <row r="1994" spans="1:8">
      <c r="A1994" s="617"/>
      <c r="B1994" s="617"/>
      <c r="C1994" s="617"/>
      <c r="D1994" s="617"/>
      <c r="E1994" s="617"/>
      <c r="F1994" s="617"/>
      <c r="G1994" s="617"/>
      <c r="H1994" s="617"/>
    </row>
    <row r="1995" spans="1:8">
      <c r="A1995" s="170" t="s">
        <v>1369</v>
      </c>
      <c r="B1995" s="617"/>
      <c r="C1995" s="617"/>
      <c r="D1995" s="617"/>
      <c r="E1995" s="617"/>
      <c r="F1995" s="617"/>
      <c r="G1995" s="617"/>
      <c r="H1995" s="617"/>
    </row>
    <row r="1996" spans="1:8">
      <c r="A1996" s="1518" t="s">
        <v>1057</v>
      </c>
      <c r="B1996" s="1519"/>
      <c r="C1996" s="1519"/>
      <c r="D1996" s="1519"/>
      <c r="E1996" s="1519"/>
      <c r="F1996" s="1519"/>
      <c r="G1996" s="1519"/>
      <c r="H1996" s="1519"/>
    </row>
    <row r="1997" spans="1:8" ht="32.25" customHeight="1">
      <c r="A1997" s="707" t="s">
        <v>1640</v>
      </c>
      <c r="B1997" s="707" t="s">
        <v>2765</v>
      </c>
      <c r="C1997" s="639" t="s">
        <v>1538</v>
      </c>
      <c r="D1997" s="707"/>
      <c r="F1997" s="587"/>
      <c r="G1997" s="587"/>
      <c r="H1997" s="587"/>
    </row>
    <row r="1998" spans="1:8" ht="22.5">
      <c r="A1998" s="502" t="s">
        <v>30</v>
      </c>
      <c r="B1998" s="507" t="s">
        <v>19</v>
      </c>
      <c r="C1998" s="430" t="s">
        <v>92</v>
      </c>
      <c r="D1998" s="619" t="s">
        <v>88</v>
      </c>
      <c r="E1998" s="619" t="s">
        <v>93</v>
      </c>
      <c r="F1998" s="432" t="s">
        <v>94</v>
      </c>
      <c r="G1998" s="508" t="s">
        <v>95</v>
      </c>
      <c r="H1998" s="225"/>
    </row>
    <row r="1999" spans="1:8" ht="27" customHeight="1">
      <c r="A1999" s="627" t="s">
        <v>1058</v>
      </c>
      <c r="B1999" s="632" t="s">
        <v>1059</v>
      </c>
      <c r="C1999" s="618" t="s">
        <v>99</v>
      </c>
      <c r="D1999" s="618" t="s">
        <v>5</v>
      </c>
      <c r="E1999" s="618" t="s">
        <v>114</v>
      </c>
      <c r="F1999" s="645" t="s">
        <v>1060</v>
      </c>
      <c r="G1999" s="614">
        <f t="shared" ref="G1999" si="116">TRUNC(E1999*F1999,2)</f>
        <v>1286.1600000000001</v>
      </c>
      <c r="H1999" s="225"/>
    </row>
    <row r="2000" spans="1:8" ht="14.1" customHeight="1">
      <c r="A2000" s="225"/>
      <c r="B2000" s="225"/>
      <c r="C2000" s="225"/>
      <c r="D2000" s="225"/>
      <c r="E2000" s="225"/>
      <c r="F2000" s="585" t="s">
        <v>103</v>
      </c>
      <c r="G2000" s="620" t="s">
        <v>104</v>
      </c>
      <c r="H2000" s="225"/>
    </row>
    <row r="2001" spans="1:8" ht="14.1" customHeight="1">
      <c r="A2001" s="225"/>
      <c r="B2001" s="225"/>
      <c r="C2001" s="225"/>
      <c r="D2001" s="225"/>
      <c r="E2001" s="225"/>
      <c r="F2001" s="585" t="s">
        <v>105</v>
      </c>
      <c r="G2001" s="620" t="s">
        <v>1061</v>
      </c>
      <c r="H2001" s="225"/>
    </row>
    <row r="2002" spans="1:8" ht="14.1" customHeight="1">
      <c r="A2002" s="582" t="s">
        <v>107</v>
      </c>
      <c r="B2002" s="225"/>
      <c r="C2002" s="225"/>
      <c r="D2002" s="225"/>
      <c r="E2002" s="225"/>
      <c r="F2002" s="585" t="s">
        <v>106</v>
      </c>
      <c r="G2002" s="620" t="s">
        <v>1061</v>
      </c>
      <c r="H2002" s="225"/>
    </row>
    <row r="2003" spans="1:8" ht="14.1" customHeight="1">
      <c r="A2003" s="515" t="s">
        <v>108</v>
      </c>
      <c r="B2003" s="548" t="str">
        <f>G2002</f>
        <v>1.286,16</v>
      </c>
      <c r="C2003" s="225"/>
      <c r="D2003" s="225"/>
      <c r="E2003" s="225"/>
      <c r="F2003" s="225"/>
      <c r="G2003" s="225"/>
      <c r="H2003" s="225"/>
    </row>
    <row r="2004" spans="1:8" ht="14.1" customHeight="1">
      <c r="A2004" s="542" t="s">
        <v>2654</v>
      </c>
      <c r="B2004" s="541"/>
      <c r="C2004" s="225"/>
      <c r="D2004" s="225"/>
      <c r="E2004" s="225"/>
      <c r="F2004" s="225"/>
      <c r="G2004" s="225"/>
      <c r="H2004" s="225"/>
    </row>
    <row r="2005" spans="1:8" ht="14.1" customHeight="1">
      <c r="A2005" s="622" t="s">
        <v>2714</v>
      </c>
      <c r="B2005" s="541">
        <v>149.21480000000003</v>
      </c>
      <c r="C2005" s="225"/>
      <c r="D2005" s="225"/>
      <c r="E2005" s="225"/>
      <c r="F2005" s="225"/>
      <c r="G2005" s="225"/>
      <c r="H2005" s="225"/>
    </row>
    <row r="2006" spans="1:8" ht="14.1" customHeight="1">
      <c r="A2006" s="515" t="s">
        <v>111</v>
      </c>
      <c r="B2006" s="549">
        <f>SUM(B2003:B2005)</f>
        <v>149.21480000000003</v>
      </c>
      <c r="C2006" s="225"/>
      <c r="D2006" s="225"/>
      <c r="E2006" s="225"/>
      <c r="F2006" s="225"/>
      <c r="G2006" s="225"/>
      <c r="H2006" s="225"/>
    </row>
    <row r="2007" spans="1:8">
      <c r="A2007" s="644"/>
      <c r="B2007" s="644"/>
      <c r="C2007" s="644"/>
      <c r="D2007" s="644"/>
      <c r="E2007" s="644"/>
      <c r="F2007" s="644"/>
      <c r="G2007" s="644"/>
      <c r="H2007" s="644"/>
    </row>
    <row r="2008" spans="1:8">
      <c r="A2008" s="617"/>
      <c r="B2008" s="617"/>
      <c r="C2008" s="617"/>
      <c r="D2008" s="617"/>
      <c r="E2008" s="617"/>
      <c r="F2008" s="617"/>
      <c r="G2008" s="617"/>
      <c r="H2008" s="617"/>
    </row>
    <row r="2009" spans="1:8">
      <c r="A2009" s="170" t="s">
        <v>1369</v>
      </c>
      <c r="B2009" s="617"/>
      <c r="C2009" s="617"/>
      <c r="D2009" s="617"/>
      <c r="E2009" s="617"/>
      <c r="F2009" s="617"/>
      <c r="G2009" s="617"/>
      <c r="H2009" s="617"/>
    </row>
    <row r="2010" spans="1:8">
      <c r="A2010" s="1518" t="s">
        <v>1598</v>
      </c>
      <c r="B2010" s="1519"/>
      <c r="C2010" s="1519"/>
      <c r="D2010" s="1519"/>
      <c r="E2010" s="1519"/>
      <c r="F2010" s="1519"/>
      <c r="G2010" s="1519"/>
      <c r="H2010" s="1519"/>
    </row>
    <row r="2011" spans="1:8" ht="23.25" customHeight="1">
      <c r="A2011" s="707" t="s">
        <v>1640</v>
      </c>
      <c r="B2011" s="707" t="s">
        <v>2766</v>
      </c>
      <c r="C2011" s="633" t="s">
        <v>1538</v>
      </c>
      <c r="E2011" s="587"/>
      <c r="F2011" s="587"/>
      <c r="G2011" s="587"/>
      <c r="H2011" s="587"/>
    </row>
    <row r="2012" spans="1:8" ht="22.5">
      <c r="A2012" s="502" t="s">
        <v>30</v>
      </c>
      <c r="B2012" s="507" t="s">
        <v>19</v>
      </c>
      <c r="C2012" s="430" t="s">
        <v>92</v>
      </c>
      <c r="D2012" s="619" t="s">
        <v>88</v>
      </c>
      <c r="E2012" s="619" t="s">
        <v>93</v>
      </c>
      <c r="F2012" s="432" t="s">
        <v>94</v>
      </c>
      <c r="G2012" s="508" t="s">
        <v>95</v>
      </c>
      <c r="H2012" s="225"/>
    </row>
    <row r="2013" spans="1:8" ht="22.5">
      <c r="A2013" s="646" t="s">
        <v>829</v>
      </c>
      <c r="B2013" s="647" t="s">
        <v>830</v>
      </c>
      <c r="C2013" s="618" t="s">
        <v>99</v>
      </c>
      <c r="D2013" s="618" t="s">
        <v>5</v>
      </c>
      <c r="E2013" s="584">
        <v>1</v>
      </c>
      <c r="F2013" s="618">
        <v>195.93</v>
      </c>
      <c r="G2013" s="583">
        <f t="shared" ref="G2013:G2017" si="117">TRUNC(E2013*F2013,2)</f>
        <v>195.93</v>
      </c>
      <c r="H2013" s="225"/>
    </row>
    <row r="2014" spans="1:8" ht="14.1" customHeight="1">
      <c r="A2014" s="646" t="s">
        <v>292</v>
      </c>
      <c r="B2014" s="647" t="s">
        <v>293</v>
      </c>
      <c r="C2014" s="618" t="s">
        <v>99</v>
      </c>
      <c r="D2014" s="618" t="s">
        <v>5</v>
      </c>
      <c r="E2014" s="618" t="s">
        <v>832</v>
      </c>
      <c r="F2014" s="618">
        <v>3.39</v>
      </c>
      <c r="G2014" s="583">
        <f t="shared" si="117"/>
        <v>0.2</v>
      </c>
      <c r="H2014" s="225"/>
    </row>
    <row r="2015" spans="1:8" ht="14.1" customHeight="1">
      <c r="A2015" s="1453" t="s">
        <v>297</v>
      </c>
      <c r="B2015" s="1446" t="s">
        <v>298</v>
      </c>
      <c r="C2015" s="1027" t="s">
        <v>117</v>
      </c>
      <c r="D2015" s="1455" t="s">
        <v>410</v>
      </c>
      <c r="E2015" s="1432" t="s">
        <v>834</v>
      </c>
      <c r="F2015" s="584">
        <f>'COMP AUX'!G338</f>
        <v>15.41</v>
      </c>
      <c r="G2015" s="583">
        <f t="shared" si="117"/>
        <v>7.08</v>
      </c>
      <c r="H2015" s="1030"/>
    </row>
    <row r="2016" spans="1:8">
      <c r="A2016" s="1454"/>
      <c r="B2016" s="1447"/>
      <c r="C2016" s="618" t="s">
        <v>99</v>
      </c>
      <c r="D2016" s="1456"/>
      <c r="E2016" s="1433"/>
      <c r="F2016" s="584">
        <f>'COMP AUX'!G339</f>
        <v>4.5600000000000005</v>
      </c>
      <c r="G2016" s="583">
        <f>TRUNC(E2015*F2016,2)</f>
        <v>2.09</v>
      </c>
      <c r="H2016" s="225"/>
    </row>
    <row r="2017" spans="1:8" ht="15" customHeight="1">
      <c r="A2017" s="1453" t="s">
        <v>122</v>
      </c>
      <c r="B2017" s="1446" t="s">
        <v>123</v>
      </c>
      <c r="C2017" s="1027" t="s">
        <v>117</v>
      </c>
      <c r="D2017" s="1455" t="s">
        <v>410</v>
      </c>
      <c r="E2017" s="1432" t="s">
        <v>836</v>
      </c>
      <c r="F2017" s="584">
        <f>'COMP AUX'!G104</f>
        <v>11.1</v>
      </c>
      <c r="G2017" s="583">
        <f t="shared" si="117"/>
        <v>1.66</v>
      </c>
      <c r="H2017" s="1030"/>
    </row>
    <row r="2018" spans="1:8" ht="14.1" customHeight="1">
      <c r="A2018" s="1454"/>
      <c r="B2018" s="1466"/>
      <c r="C2018" s="1027" t="s">
        <v>99</v>
      </c>
      <c r="D2018" s="1456"/>
      <c r="E2018" s="1433"/>
      <c r="F2018" s="584">
        <f>'COMP AUX'!G105</f>
        <v>4.5600000000000005</v>
      </c>
      <c r="G2018" s="583">
        <f>TRUNC(E2017*F2018,2)</f>
        <v>0.68</v>
      </c>
      <c r="H2018" s="225"/>
    </row>
    <row r="2019" spans="1:8" ht="14.1" customHeight="1">
      <c r="A2019" s="225"/>
      <c r="B2019" s="225"/>
      <c r="C2019" s="225"/>
      <c r="D2019" s="225"/>
      <c r="E2019" s="225"/>
      <c r="F2019" s="585" t="s">
        <v>103</v>
      </c>
      <c r="G2019" s="583">
        <f>G2015+G2017</f>
        <v>8.74</v>
      </c>
      <c r="H2019" s="225"/>
    </row>
    <row r="2020" spans="1:8" ht="14.1" customHeight="1">
      <c r="A2020" s="225"/>
      <c r="B2020" s="225"/>
      <c r="C2020" s="225"/>
      <c r="D2020" s="225"/>
      <c r="E2020" s="225"/>
      <c r="F2020" s="585" t="s">
        <v>105</v>
      </c>
      <c r="G2020" s="583">
        <f>G2013+G2014+G2016+G2018</f>
        <v>198.9</v>
      </c>
      <c r="H2020" s="225"/>
    </row>
    <row r="2021" spans="1:8" ht="14.1" customHeight="1">
      <c r="A2021" s="582" t="s">
        <v>107</v>
      </c>
      <c r="B2021" s="617"/>
      <c r="C2021" s="225"/>
      <c r="D2021" s="225"/>
      <c r="E2021" s="225"/>
      <c r="F2021" s="585" t="s">
        <v>106</v>
      </c>
      <c r="G2021" s="586">
        <f>SUM(G2019:G2020)</f>
        <v>207.64000000000001</v>
      </c>
      <c r="H2021" s="225"/>
    </row>
    <row r="2022" spans="1:8" ht="14.1" customHeight="1">
      <c r="A2022" s="515" t="s">
        <v>108</v>
      </c>
      <c r="B2022" s="548">
        <f>G2021</f>
        <v>207.64000000000001</v>
      </c>
      <c r="C2022" s="225"/>
      <c r="D2022" s="225"/>
      <c r="E2022" s="225"/>
      <c r="F2022" s="225"/>
      <c r="G2022" s="225"/>
      <c r="H2022" s="225"/>
    </row>
    <row r="2023" spans="1:8" ht="14.1" customHeight="1">
      <c r="A2023" s="542" t="s">
        <v>2654</v>
      </c>
      <c r="B2023" s="541"/>
      <c r="C2023" s="225"/>
      <c r="D2023" s="225"/>
      <c r="E2023" s="225"/>
      <c r="F2023" s="225"/>
      <c r="G2023" s="225"/>
      <c r="H2023" s="225"/>
    </row>
    <row r="2024" spans="1:8" ht="14.1" customHeight="1">
      <c r="A2024" s="622" t="s">
        <v>2714</v>
      </c>
      <c r="B2024" s="541">
        <v>149.21480000000003</v>
      </c>
      <c r="C2024" s="225"/>
      <c r="D2024" s="225"/>
      <c r="E2024" s="225"/>
      <c r="F2024" s="225"/>
      <c r="G2024" s="225"/>
      <c r="H2024" s="225"/>
    </row>
    <row r="2025" spans="1:8" ht="14.1" customHeight="1">
      <c r="A2025" s="515" t="s">
        <v>111</v>
      </c>
      <c r="B2025" s="549">
        <f>SUM(B2022:B2024)</f>
        <v>356.85480000000007</v>
      </c>
      <c r="C2025" s="225"/>
      <c r="D2025" s="225"/>
      <c r="E2025" s="225"/>
      <c r="F2025" s="225"/>
      <c r="G2025" s="225"/>
      <c r="H2025" s="225"/>
    </row>
    <row r="2026" spans="1:8" ht="11.25" customHeight="1">
      <c r="A2026" s="644"/>
      <c r="B2026" s="644"/>
      <c r="C2026" s="644"/>
      <c r="D2026" s="644"/>
      <c r="E2026" s="644"/>
      <c r="F2026" s="644"/>
      <c r="G2026" s="644"/>
      <c r="H2026" s="644"/>
    </row>
    <row r="2027" spans="1:8" ht="15" customHeight="1">
      <c r="A2027" s="617"/>
      <c r="B2027" s="617"/>
      <c r="C2027" s="617"/>
      <c r="D2027" s="617"/>
      <c r="E2027" s="617"/>
      <c r="F2027" s="617"/>
      <c r="G2027" s="617"/>
      <c r="H2027" s="617"/>
    </row>
    <row r="2028" spans="1:8" ht="15" customHeight="1">
      <c r="A2028" s="170" t="s">
        <v>1369</v>
      </c>
      <c r="B2028" s="617"/>
      <c r="C2028" s="617"/>
      <c r="D2028" s="617"/>
      <c r="E2028" s="617"/>
      <c r="F2028" s="617"/>
      <c r="G2028" s="617"/>
      <c r="H2028" s="617"/>
    </row>
    <row r="2029" spans="1:8">
      <c r="A2029" s="1518" t="s">
        <v>309</v>
      </c>
      <c r="B2029" s="1519"/>
      <c r="C2029" s="1519"/>
      <c r="D2029" s="1519"/>
      <c r="E2029" s="1519"/>
      <c r="F2029" s="1519"/>
      <c r="G2029" s="1519"/>
      <c r="H2029" s="1519"/>
    </row>
    <row r="2030" spans="1:8" ht="17.25" customHeight="1">
      <c r="A2030" s="639" t="s">
        <v>1649</v>
      </c>
      <c r="B2030" s="706" t="s">
        <v>2767</v>
      </c>
      <c r="C2030" s="639" t="s">
        <v>1538</v>
      </c>
      <c r="D2030" s="587"/>
      <c r="E2030" s="587"/>
      <c r="F2030" s="587"/>
      <c r="G2030" s="587"/>
      <c r="H2030" s="587"/>
    </row>
    <row r="2031" spans="1:8" ht="22.5">
      <c r="A2031" s="502" t="s">
        <v>30</v>
      </c>
      <c r="B2031" s="507" t="s">
        <v>19</v>
      </c>
      <c r="C2031" s="430" t="s">
        <v>92</v>
      </c>
      <c r="D2031" s="643" t="s">
        <v>88</v>
      </c>
      <c r="E2031" s="643" t="s">
        <v>93</v>
      </c>
      <c r="F2031" s="432" t="s">
        <v>94</v>
      </c>
      <c r="G2031" s="508" t="s">
        <v>95</v>
      </c>
      <c r="H2031" s="652"/>
    </row>
    <row r="2032" spans="1:8" ht="14.1" customHeight="1">
      <c r="A2032" s="1436">
        <v>88267</v>
      </c>
      <c r="B2032" s="1416" t="s">
        <v>298</v>
      </c>
      <c r="C2032" s="430" t="s">
        <v>117</v>
      </c>
      <c r="D2032" s="1427" t="s">
        <v>410</v>
      </c>
      <c r="E2032" s="1438">
        <v>3.5</v>
      </c>
      <c r="F2032" s="501">
        <f>'COMP AUX'!G338</f>
        <v>15.41</v>
      </c>
      <c r="G2032" s="508">
        <f t="shared" ref="G2032" si="118">TRUNC(E2032*F2032,2)</f>
        <v>53.93</v>
      </c>
      <c r="H2032" s="652"/>
    </row>
    <row r="2033" spans="1:8" ht="14.1" customHeight="1">
      <c r="A2033" s="1437"/>
      <c r="B2033" s="1417"/>
      <c r="C2033" s="642" t="s">
        <v>99</v>
      </c>
      <c r="D2033" s="1428"/>
      <c r="E2033" s="1439"/>
      <c r="F2033" s="501">
        <f>'COMP AUX'!G339</f>
        <v>4.5600000000000005</v>
      </c>
      <c r="G2033" s="620">
        <f>TRUNC(E2032*F2033,2)</f>
        <v>15.96</v>
      </c>
      <c r="H2033" s="199"/>
    </row>
    <row r="2034" spans="1:8" ht="14.1" customHeight="1">
      <c r="A2034" s="1453">
        <v>88248</v>
      </c>
      <c r="B2034" s="1446" t="s">
        <v>334</v>
      </c>
      <c r="C2034" s="1027" t="s">
        <v>117</v>
      </c>
      <c r="D2034" s="1432" t="s">
        <v>410</v>
      </c>
      <c r="E2034" s="1434">
        <v>3.5</v>
      </c>
      <c r="F2034" s="584">
        <f>'COMP AUX'!G321</f>
        <v>10.9</v>
      </c>
      <c r="G2034" s="620">
        <f>TRUNC(E2034*F2034,2)</f>
        <v>38.15</v>
      </c>
      <c r="H2034" s="1030"/>
    </row>
    <row r="2035" spans="1:8" ht="14.1" customHeight="1">
      <c r="A2035" s="1454"/>
      <c r="B2035" s="1447"/>
      <c r="C2035" s="1027" t="s">
        <v>99</v>
      </c>
      <c r="D2035" s="1433"/>
      <c r="E2035" s="1435"/>
      <c r="F2035" s="584">
        <f>'COMP AUX'!G322</f>
        <v>4.5600000000000005</v>
      </c>
      <c r="G2035" s="620">
        <f>TRUNC(E2034*F2035,2)</f>
        <v>15.96</v>
      </c>
      <c r="H2035" s="199"/>
    </row>
    <row r="2036" spans="1:8" ht="24" customHeight="1">
      <c r="A2036" s="1038">
        <v>20143</v>
      </c>
      <c r="B2036" s="632" t="s">
        <v>2705</v>
      </c>
      <c r="C2036" s="642" t="s">
        <v>99</v>
      </c>
      <c r="D2036" s="642" t="s">
        <v>5</v>
      </c>
      <c r="E2036" s="584">
        <v>1</v>
      </c>
      <c r="F2036" s="642">
        <v>32.65</v>
      </c>
      <c r="G2036" s="620">
        <f t="shared" ref="G2036:G2039" si="119">TRUNC(E2036*F2036,2)</f>
        <v>32.65</v>
      </c>
      <c r="H2036" s="199"/>
    </row>
    <row r="2037" spans="1:8" ht="21.75" customHeight="1">
      <c r="A2037" s="1038">
        <v>20157</v>
      </c>
      <c r="B2037" s="632" t="s">
        <v>2706</v>
      </c>
      <c r="C2037" s="642" t="s">
        <v>99</v>
      </c>
      <c r="D2037" s="642" t="s">
        <v>5</v>
      </c>
      <c r="E2037" s="584">
        <v>2</v>
      </c>
      <c r="F2037" s="642">
        <v>18.47</v>
      </c>
      <c r="G2037" s="620">
        <f t="shared" si="119"/>
        <v>36.94</v>
      </c>
      <c r="H2037" s="199"/>
    </row>
    <row r="2038" spans="1:8" ht="21.75" customHeight="1">
      <c r="A2038" s="1038">
        <v>9841</v>
      </c>
      <c r="B2038" s="632" t="s">
        <v>2707</v>
      </c>
      <c r="C2038" s="642" t="s">
        <v>99</v>
      </c>
      <c r="D2038" s="642" t="s">
        <v>4</v>
      </c>
      <c r="E2038" s="584">
        <v>6</v>
      </c>
      <c r="F2038" s="642">
        <v>14.38</v>
      </c>
      <c r="G2038" s="620">
        <f t="shared" si="119"/>
        <v>86.28</v>
      </c>
      <c r="H2038" s="199"/>
    </row>
    <row r="2039" spans="1:8" ht="14.1" customHeight="1">
      <c r="A2039" s="1038">
        <v>20179</v>
      </c>
      <c r="B2039" s="653" t="s">
        <v>2708</v>
      </c>
      <c r="C2039" s="642" t="s">
        <v>99</v>
      </c>
      <c r="D2039" s="642" t="s">
        <v>5</v>
      </c>
      <c r="E2039" s="584">
        <v>1</v>
      </c>
      <c r="F2039" s="642">
        <v>29.11</v>
      </c>
      <c r="G2039" s="620">
        <f t="shared" si="119"/>
        <v>29.11</v>
      </c>
      <c r="H2039" s="199"/>
    </row>
    <row r="2040" spans="1:8" ht="14.1" customHeight="1">
      <c r="A2040" s="199"/>
      <c r="B2040" s="199"/>
      <c r="C2040" s="199"/>
      <c r="D2040" s="199"/>
      <c r="E2040" s="199"/>
      <c r="F2040" s="585" t="s">
        <v>103</v>
      </c>
      <c r="G2040" s="620">
        <f>G2032+G2034</f>
        <v>92.08</v>
      </c>
      <c r="H2040" s="199"/>
    </row>
    <row r="2041" spans="1:8" ht="14.1" customHeight="1">
      <c r="A2041" s="199"/>
      <c r="B2041" s="199"/>
      <c r="C2041" s="199"/>
      <c r="D2041" s="199"/>
      <c r="E2041" s="199"/>
      <c r="F2041" s="585" t="s">
        <v>105</v>
      </c>
      <c r="G2041" s="583">
        <f>G2033+G2035+G2036+G2037+G2038+G2039</f>
        <v>216.89999999999998</v>
      </c>
      <c r="H2041" s="199"/>
    </row>
    <row r="2042" spans="1:8" ht="14.1" customHeight="1">
      <c r="A2042" s="582" t="s">
        <v>107</v>
      </c>
      <c r="B2042" s="634"/>
      <c r="C2042" s="199"/>
      <c r="D2042" s="199"/>
      <c r="E2042" s="199"/>
      <c r="F2042" s="585" t="s">
        <v>106</v>
      </c>
      <c r="G2042" s="583">
        <f>SUM(G2040:G2041)</f>
        <v>308.97999999999996</v>
      </c>
      <c r="H2042" s="199"/>
    </row>
    <row r="2043" spans="1:8" ht="14.1" customHeight="1">
      <c r="A2043" s="654" t="s">
        <v>108</v>
      </c>
      <c r="B2043" s="548">
        <f>G2042</f>
        <v>308.97999999999996</v>
      </c>
      <c r="C2043" s="199"/>
      <c r="D2043" s="199"/>
      <c r="E2043" s="199"/>
      <c r="F2043" s="191"/>
      <c r="G2043" s="191"/>
      <c r="H2043" s="199"/>
    </row>
    <row r="2044" spans="1:8" ht="14.1" customHeight="1">
      <c r="A2044" s="542" t="s">
        <v>2654</v>
      </c>
      <c r="B2044" s="541"/>
      <c r="C2044" s="199"/>
      <c r="D2044" s="199"/>
      <c r="E2044" s="199"/>
      <c r="F2044" s="191"/>
      <c r="G2044" s="191"/>
      <c r="H2044" s="199"/>
    </row>
    <row r="2045" spans="1:8" ht="14.1" customHeight="1">
      <c r="A2045" s="622" t="s">
        <v>2714</v>
      </c>
      <c r="B2045" s="541">
        <f>(B2043+B2044)*0.245</f>
        <v>75.700099999999992</v>
      </c>
      <c r="C2045" s="199"/>
      <c r="D2045" s="199"/>
      <c r="E2045" s="199"/>
      <c r="F2045" s="191"/>
      <c r="G2045" s="191"/>
      <c r="H2045" s="199"/>
    </row>
    <row r="2046" spans="1:8" ht="14.1" customHeight="1">
      <c r="A2046" s="654" t="s">
        <v>111</v>
      </c>
      <c r="B2046" s="549">
        <f>SUM(B2043:B2045)</f>
        <v>384.68009999999992</v>
      </c>
      <c r="C2046" s="199"/>
      <c r="D2046" s="199"/>
      <c r="E2046" s="199"/>
      <c r="F2046" s="191"/>
      <c r="G2046" s="191"/>
      <c r="H2046" s="589"/>
    </row>
    <row r="2047" spans="1:8">
      <c r="A2047" s="516"/>
      <c r="B2047" s="517"/>
      <c r="C2047" s="518"/>
      <c r="D2047" s="516"/>
      <c r="E2047" s="517"/>
      <c r="F2047" s="517"/>
      <c r="G2047" s="517"/>
      <c r="H2047" s="516"/>
    </row>
    <row r="2049" spans="1:8">
      <c r="A2049" s="170" t="s">
        <v>1369</v>
      </c>
    </row>
    <row r="2050" spans="1:8">
      <c r="A2050" s="1518" t="s">
        <v>1600</v>
      </c>
      <c r="B2050" s="1519"/>
      <c r="C2050" s="1519"/>
      <c r="D2050" s="1519"/>
      <c r="E2050" s="1519"/>
      <c r="F2050" s="1519"/>
      <c r="G2050" s="1519"/>
      <c r="H2050" s="1519"/>
    </row>
    <row r="2051" spans="1:8" ht="18.75" customHeight="1">
      <c r="A2051" s="639" t="s">
        <v>1640</v>
      </c>
      <c r="B2051" s="1097" t="s">
        <v>315</v>
      </c>
      <c r="C2051" s="1126" t="s">
        <v>1538</v>
      </c>
      <c r="D2051" s="640"/>
      <c r="E2051" s="640"/>
      <c r="F2051" s="640"/>
      <c r="G2051" s="640"/>
      <c r="H2051" s="640"/>
    </row>
    <row r="2052" spans="1:8" ht="22.5">
      <c r="A2052" s="502" t="s">
        <v>30</v>
      </c>
      <c r="B2052" s="507" t="s">
        <v>19</v>
      </c>
      <c r="C2052" s="430" t="s">
        <v>92</v>
      </c>
      <c r="D2052" s="643" t="s">
        <v>88</v>
      </c>
      <c r="E2052" s="643" t="s">
        <v>93</v>
      </c>
      <c r="F2052" s="432" t="s">
        <v>94</v>
      </c>
      <c r="G2052" s="508" t="s">
        <v>95</v>
      </c>
    </row>
    <row r="2053" spans="1:8" ht="14.1" customHeight="1">
      <c r="A2053" s="1436">
        <v>88267</v>
      </c>
      <c r="B2053" s="1416" t="s">
        <v>298</v>
      </c>
      <c r="C2053" s="430" t="s">
        <v>117</v>
      </c>
      <c r="D2053" s="1427" t="s">
        <v>410</v>
      </c>
      <c r="E2053" s="1438">
        <v>3</v>
      </c>
      <c r="F2053" s="501">
        <f>'COMP AUX'!G338</f>
        <v>15.41</v>
      </c>
      <c r="G2053" s="508">
        <f t="shared" ref="G2053" si="120">TRUNC(E2053*F2053,2)</f>
        <v>46.23</v>
      </c>
      <c r="H2053" s="199"/>
    </row>
    <row r="2054" spans="1:8" ht="14.1" customHeight="1">
      <c r="A2054" s="1437"/>
      <c r="B2054" s="1417"/>
      <c r="C2054" s="1027" t="s">
        <v>99</v>
      </c>
      <c r="D2054" s="1428"/>
      <c r="E2054" s="1439"/>
      <c r="F2054" s="501">
        <f>'COMP AUX'!G339</f>
        <v>4.5600000000000005</v>
      </c>
      <c r="G2054" s="620">
        <f>TRUNC(E2053*F2054,2)</f>
        <v>13.68</v>
      </c>
      <c r="H2054" s="199"/>
    </row>
    <row r="2055" spans="1:8" ht="14.1" customHeight="1">
      <c r="A2055" s="1453">
        <v>88248</v>
      </c>
      <c r="B2055" s="1446" t="s">
        <v>334</v>
      </c>
      <c r="C2055" s="1027" t="s">
        <v>117</v>
      </c>
      <c r="D2055" s="1432" t="s">
        <v>410</v>
      </c>
      <c r="E2055" s="1434">
        <v>3</v>
      </c>
      <c r="F2055" s="584">
        <f>'COMP AUX'!G321</f>
        <v>10.9</v>
      </c>
      <c r="G2055" s="620">
        <f>TRUNC(E2055*F2055,2)</f>
        <v>32.700000000000003</v>
      </c>
      <c r="H2055" s="199"/>
    </row>
    <row r="2056" spans="1:8" ht="14.1" customHeight="1">
      <c r="A2056" s="1454"/>
      <c r="B2056" s="1447"/>
      <c r="C2056" s="1027" t="s">
        <v>99</v>
      </c>
      <c r="D2056" s="1433"/>
      <c r="E2056" s="1435"/>
      <c r="F2056" s="584">
        <f>'COMP AUX'!G322</f>
        <v>4.5600000000000005</v>
      </c>
      <c r="G2056" s="620">
        <f>TRUNC(E2055*F2056,2)</f>
        <v>13.68</v>
      </c>
      <c r="H2056" s="199"/>
    </row>
    <row r="2057" spans="1:8" ht="24.75" customHeight="1">
      <c r="A2057" s="1038">
        <v>3659</v>
      </c>
      <c r="B2057" s="632" t="s">
        <v>2712</v>
      </c>
      <c r="C2057" s="1027" t="s">
        <v>99</v>
      </c>
      <c r="D2057" s="1027" t="s">
        <v>5</v>
      </c>
      <c r="E2057" s="584">
        <v>1</v>
      </c>
      <c r="F2057" s="1027">
        <v>11.52</v>
      </c>
      <c r="G2057" s="620">
        <f t="shared" ref="G2057:G2060" si="121">TRUNC(E2057*F2057,2)</f>
        <v>11.52</v>
      </c>
      <c r="H2057" s="199"/>
    </row>
    <row r="2058" spans="1:8" ht="22.5" customHeight="1">
      <c r="A2058" s="1038">
        <v>20155</v>
      </c>
      <c r="B2058" s="632" t="s">
        <v>2711</v>
      </c>
      <c r="C2058" s="1027" t="s">
        <v>99</v>
      </c>
      <c r="D2058" s="1027" t="s">
        <v>5</v>
      </c>
      <c r="E2058" s="584">
        <v>2</v>
      </c>
      <c r="F2058" s="1027">
        <v>4.71</v>
      </c>
      <c r="G2058" s="620">
        <f t="shared" si="121"/>
        <v>9.42</v>
      </c>
      <c r="H2058" s="199"/>
    </row>
    <row r="2059" spans="1:8" ht="21" customHeight="1">
      <c r="A2059" s="1038">
        <v>20068</v>
      </c>
      <c r="B2059" s="632" t="s">
        <v>2710</v>
      </c>
      <c r="C2059" s="1027" t="s">
        <v>99</v>
      </c>
      <c r="D2059" s="1027" t="s">
        <v>4</v>
      </c>
      <c r="E2059" s="584">
        <v>6</v>
      </c>
      <c r="F2059" s="1027">
        <v>6.86</v>
      </c>
      <c r="G2059" s="620">
        <f t="shared" si="121"/>
        <v>41.16</v>
      </c>
      <c r="H2059" s="199"/>
    </row>
    <row r="2060" spans="1:8" ht="14.1" customHeight="1">
      <c r="A2060" s="1038">
        <v>7097</v>
      </c>
      <c r="B2060" s="653" t="s">
        <v>2709</v>
      </c>
      <c r="C2060" s="1027" t="s">
        <v>99</v>
      </c>
      <c r="D2060" s="1027" t="s">
        <v>5</v>
      </c>
      <c r="E2060" s="584">
        <v>1</v>
      </c>
      <c r="F2060" s="1027">
        <v>5.1100000000000003</v>
      </c>
      <c r="G2060" s="620">
        <f t="shared" si="121"/>
        <v>5.1100000000000003</v>
      </c>
      <c r="H2060" s="199"/>
    </row>
    <row r="2061" spans="1:8" ht="14.1" customHeight="1">
      <c r="A2061" s="1066"/>
      <c r="B2061" s="1067"/>
      <c r="C2061" s="1068"/>
      <c r="D2061" s="1068"/>
      <c r="E2061" s="1068"/>
      <c r="F2061" s="585" t="s">
        <v>103</v>
      </c>
      <c r="G2061" s="620">
        <f>G2053+G2055</f>
        <v>78.930000000000007</v>
      </c>
      <c r="H2061" s="1030"/>
    </row>
    <row r="2062" spans="1:8" ht="14.1" customHeight="1">
      <c r="A2062" s="1066"/>
      <c r="B2062" s="1067"/>
      <c r="C2062" s="1068"/>
      <c r="D2062" s="1068"/>
      <c r="E2062" s="1068"/>
      <c r="F2062" s="585" t="s">
        <v>105</v>
      </c>
      <c r="G2062" s="583">
        <f>G2054+G2056+G2057+G2058+G2059+G2060</f>
        <v>94.57</v>
      </c>
      <c r="H2062" s="1030"/>
    </row>
    <row r="2063" spans="1:8" ht="14.1" customHeight="1">
      <c r="A2063" s="582" t="s">
        <v>107</v>
      </c>
      <c r="B2063" s="634"/>
      <c r="C2063" s="640"/>
      <c r="D2063" s="640"/>
      <c r="E2063" s="640"/>
      <c r="F2063" s="585" t="s">
        <v>106</v>
      </c>
      <c r="G2063" s="586">
        <f>SUM(G2061:G2062)</f>
        <v>173.5</v>
      </c>
      <c r="H2063" s="199"/>
    </row>
    <row r="2064" spans="1:8" ht="14.1" customHeight="1">
      <c r="A2064" s="654" t="s">
        <v>108</v>
      </c>
      <c r="B2064" s="548">
        <f>G2063</f>
        <v>173.5</v>
      </c>
      <c r="C2064" s="199"/>
      <c r="D2064" s="199"/>
      <c r="E2064" s="199"/>
      <c r="F2064" s="191"/>
      <c r="G2064" s="191"/>
      <c r="H2064" s="199"/>
    </row>
    <row r="2065" spans="1:8" ht="14.1" customHeight="1">
      <c r="A2065" s="542" t="s">
        <v>2654</v>
      </c>
      <c r="B2065" s="541"/>
      <c r="C2065" s="199"/>
      <c r="D2065" s="199"/>
      <c r="E2065" s="199"/>
      <c r="F2065" s="191"/>
      <c r="G2065" s="191"/>
      <c r="H2065" s="199"/>
    </row>
    <row r="2066" spans="1:8" ht="14.1" customHeight="1">
      <c r="A2066" s="622" t="s">
        <v>2714</v>
      </c>
      <c r="B2066" s="541">
        <f>(B2064+B2065)*0.245</f>
        <v>42.5075</v>
      </c>
      <c r="C2066" s="199"/>
      <c r="D2066" s="199"/>
      <c r="E2066" s="199"/>
      <c r="F2066" s="191"/>
      <c r="G2066" s="191"/>
      <c r="H2066" s="199"/>
    </row>
    <row r="2067" spans="1:8" ht="14.1" customHeight="1">
      <c r="A2067" s="654" t="s">
        <v>111</v>
      </c>
      <c r="B2067" s="549">
        <f>SUM(B2064:B2066)</f>
        <v>216.00749999999999</v>
      </c>
      <c r="C2067" s="199"/>
      <c r="D2067" s="199"/>
      <c r="E2067" s="199"/>
      <c r="F2067" s="191"/>
      <c r="G2067" s="191"/>
      <c r="H2067" s="589"/>
    </row>
    <row r="2068" spans="1:8" ht="10.5" customHeight="1">
      <c r="A2068" s="516"/>
      <c r="B2068" s="517"/>
      <c r="C2068" s="518"/>
      <c r="D2068" s="516"/>
      <c r="E2068" s="517"/>
      <c r="F2068" s="517"/>
      <c r="G2068" s="517"/>
      <c r="H2068" s="516"/>
    </row>
    <row r="2069" spans="1:8">
      <c r="B2069" s="170"/>
    </row>
    <row r="2070" spans="1:8">
      <c r="A2070" s="170" t="s">
        <v>1369</v>
      </c>
    </row>
    <row r="2071" spans="1:8">
      <c r="A2071" s="1518" t="s">
        <v>2630</v>
      </c>
      <c r="B2071" s="1519"/>
      <c r="C2071" s="1519"/>
      <c r="D2071" s="1519"/>
      <c r="E2071" s="1519"/>
      <c r="F2071" s="1519"/>
      <c r="G2071" s="1519"/>
      <c r="H2071" s="1519"/>
    </row>
    <row r="2072" spans="1:8" ht="38.25" customHeight="1">
      <c r="A2072" s="655" t="s">
        <v>1649</v>
      </c>
      <c r="B2072" s="1429" t="s">
        <v>2631</v>
      </c>
      <c r="C2072" s="1429"/>
      <c r="D2072" s="1042" t="s">
        <v>1538</v>
      </c>
      <c r="E2072" s="636"/>
      <c r="F2072" s="636"/>
      <c r="G2072" s="636"/>
      <c r="H2072" s="636"/>
    </row>
    <row r="2073" spans="1:8" ht="22.5">
      <c r="A2073" s="1003" t="s">
        <v>30</v>
      </c>
      <c r="B2073" s="507" t="s">
        <v>19</v>
      </c>
      <c r="C2073" s="430" t="s">
        <v>92</v>
      </c>
      <c r="D2073" s="1005" t="s">
        <v>88</v>
      </c>
      <c r="E2073" s="1005" t="s">
        <v>93</v>
      </c>
      <c r="F2073" s="432" t="s">
        <v>94</v>
      </c>
      <c r="G2073" s="508" t="s">
        <v>95</v>
      </c>
    </row>
    <row r="2074" spans="1:8" ht="22.5">
      <c r="A2074" s="627" t="s">
        <v>2632</v>
      </c>
      <c r="B2074" s="632" t="s">
        <v>2633</v>
      </c>
      <c r="C2074" s="1011" t="s">
        <v>99</v>
      </c>
      <c r="D2074" s="1011" t="s">
        <v>5</v>
      </c>
      <c r="E2074" s="645">
        <v>1</v>
      </c>
      <c r="F2074" s="1011">
        <v>9.76</v>
      </c>
      <c r="G2074" s="620">
        <f t="shared" ref="G2074:G2076" si="122">TRUNC(E2074*F2074,2)</f>
        <v>9.76</v>
      </c>
      <c r="H2074" s="1013"/>
    </row>
    <row r="2075" spans="1:8" ht="14.1" customHeight="1">
      <c r="A2075" s="627" t="s">
        <v>320</v>
      </c>
      <c r="B2075" s="632" t="s">
        <v>321</v>
      </c>
      <c r="C2075" s="1011" t="s">
        <v>99</v>
      </c>
      <c r="D2075" s="1011" t="s">
        <v>5</v>
      </c>
      <c r="E2075" s="1011">
        <v>1.4800000000000001E-2</v>
      </c>
      <c r="F2075" s="1011">
        <v>49.68</v>
      </c>
      <c r="G2075" s="620">
        <f t="shared" si="122"/>
        <v>0.73</v>
      </c>
      <c r="H2075" s="1013"/>
    </row>
    <row r="2076" spans="1:8" ht="14.1" customHeight="1">
      <c r="A2076" s="627" t="s">
        <v>325</v>
      </c>
      <c r="B2076" s="632" t="s">
        <v>326</v>
      </c>
      <c r="C2076" s="1011" t="s">
        <v>99</v>
      </c>
      <c r="D2076" s="1011" t="s">
        <v>5</v>
      </c>
      <c r="E2076" s="1011">
        <v>2.2499999999999999E-2</v>
      </c>
      <c r="F2076" s="1011">
        <v>43.14</v>
      </c>
      <c r="G2076" s="620">
        <f t="shared" si="122"/>
        <v>0.97</v>
      </c>
      <c r="H2076" s="1013"/>
    </row>
    <row r="2077" spans="1:8" ht="14.1" customHeight="1">
      <c r="A2077" s="627" t="s">
        <v>329</v>
      </c>
      <c r="B2077" s="632" t="s">
        <v>330</v>
      </c>
      <c r="C2077" s="1011" t="s">
        <v>99</v>
      </c>
      <c r="D2077" s="1011" t="s">
        <v>5</v>
      </c>
      <c r="E2077" s="1011" t="s">
        <v>331</v>
      </c>
      <c r="F2077" s="1011">
        <v>1.64</v>
      </c>
      <c r="G2077" s="620">
        <f>TRUNC(E2077*F2077,2)</f>
        <v>0.02</v>
      </c>
      <c r="H2077" s="1013"/>
    </row>
    <row r="2078" spans="1:8" ht="14.1" customHeight="1">
      <c r="A2078" s="1453">
        <v>88248</v>
      </c>
      <c r="B2078" s="1446" t="s">
        <v>334</v>
      </c>
      <c r="C2078" s="1011" t="s">
        <v>117</v>
      </c>
      <c r="D2078" s="1432" t="s">
        <v>410</v>
      </c>
      <c r="E2078" s="1432">
        <v>0.25</v>
      </c>
      <c r="F2078" s="584">
        <f>'COMP AUX'!G321</f>
        <v>10.9</v>
      </c>
      <c r="G2078" s="620">
        <f>TRUNC(E2078*F2078,2)</f>
        <v>2.72</v>
      </c>
      <c r="H2078" s="1013"/>
    </row>
    <row r="2079" spans="1:8" ht="14.1" customHeight="1">
      <c r="A2079" s="1454"/>
      <c r="B2079" s="1447"/>
      <c r="C2079" s="1011" t="s">
        <v>99</v>
      </c>
      <c r="D2079" s="1433"/>
      <c r="E2079" s="1433"/>
      <c r="F2079" s="584">
        <f>'COMP AUX'!G322</f>
        <v>4.5600000000000005</v>
      </c>
      <c r="G2079" s="620">
        <f>TRUNC(E2078*F2079,2)</f>
        <v>1.1399999999999999</v>
      </c>
      <c r="H2079" s="1013"/>
    </row>
    <row r="2080" spans="1:8" ht="14.1" customHeight="1">
      <c r="A2080" s="1453">
        <v>88267</v>
      </c>
      <c r="B2080" s="1446" t="s">
        <v>298</v>
      </c>
      <c r="C2080" s="1011" t="s">
        <v>117</v>
      </c>
      <c r="D2080" s="1432" t="s">
        <v>410</v>
      </c>
      <c r="E2080" s="1432">
        <v>0.25</v>
      </c>
      <c r="F2080" s="584">
        <f>'COMP AUX'!G338</f>
        <v>15.41</v>
      </c>
      <c r="G2080" s="620">
        <f>TRUNC(E2080*F2080,2)</f>
        <v>3.85</v>
      </c>
      <c r="H2080" s="1013"/>
    </row>
    <row r="2081" spans="1:8" ht="14.1" customHeight="1">
      <c r="A2081" s="1454"/>
      <c r="B2081" s="1466"/>
      <c r="C2081" s="1011" t="s">
        <v>99</v>
      </c>
      <c r="D2081" s="1433"/>
      <c r="E2081" s="1433"/>
      <c r="F2081" s="584">
        <f>'COMP AUX'!G339</f>
        <v>4.5600000000000005</v>
      </c>
      <c r="G2081" s="620">
        <f>TRUNC(E2080*F2081,2)</f>
        <v>1.1399999999999999</v>
      </c>
      <c r="H2081" s="1013"/>
    </row>
    <row r="2082" spans="1:8" ht="14.1" customHeight="1">
      <c r="A2082" s="1009"/>
      <c r="B2082" s="1009"/>
      <c r="C2082" s="1009"/>
      <c r="D2082" s="1009"/>
      <c r="E2082" s="1009"/>
      <c r="F2082" s="585" t="s">
        <v>103</v>
      </c>
      <c r="G2082" s="620">
        <f>G2078+G2080</f>
        <v>6.57</v>
      </c>
      <c r="H2082" s="1013"/>
    </row>
    <row r="2083" spans="1:8" ht="14.1" customHeight="1">
      <c r="A2083" s="1009"/>
      <c r="B2083" s="1009"/>
      <c r="C2083" s="1009"/>
      <c r="D2083" s="1009"/>
      <c r="E2083" s="1009"/>
      <c r="F2083" s="585" t="s">
        <v>105</v>
      </c>
      <c r="G2083" s="620">
        <f>G2074+G2075+G2076+G2077+G2079+G2081</f>
        <v>13.760000000000002</v>
      </c>
      <c r="H2083" s="1013"/>
    </row>
    <row r="2084" spans="1:8" ht="14.1" customHeight="1">
      <c r="A2084" s="582" t="s">
        <v>107</v>
      </c>
      <c r="B2084" s="1013"/>
      <c r="C2084" s="1009"/>
      <c r="D2084" s="1009"/>
      <c r="E2084" s="1009"/>
      <c r="F2084" s="585" t="s">
        <v>106</v>
      </c>
      <c r="G2084" s="621">
        <f>SUM(G2082:G2083)</f>
        <v>20.330000000000002</v>
      </c>
      <c r="H2084" s="1013"/>
    </row>
    <row r="2085" spans="1:8" ht="14.1" customHeight="1">
      <c r="A2085" s="654" t="s">
        <v>108</v>
      </c>
      <c r="B2085" s="548">
        <f>G2084</f>
        <v>20.330000000000002</v>
      </c>
      <c r="C2085" s="1013"/>
      <c r="D2085" s="1013"/>
      <c r="E2085" s="1013"/>
      <c r="F2085" s="191"/>
      <c r="G2085" s="191"/>
      <c r="H2085" s="1013"/>
    </row>
    <row r="2086" spans="1:8" ht="14.1" customHeight="1">
      <c r="A2086" s="542" t="s">
        <v>2654</v>
      </c>
      <c r="B2086" s="541"/>
      <c r="C2086" s="1013"/>
      <c r="D2086" s="1013"/>
      <c r="E2086" s="1013"/>
      <c r="F2086" s="191"/>
      <c r="G2086" s="191"/>
      <c r="H2086" s="1013"/>
    </row>
    <row r="2087" spans="1:8" ht="14.1" customHeight="1">
      <c r="A2087" s="622" t="s">
        <v>2714</v>
      </c>
      <c r="B2087" s="541">
        <f>(B2085+B2086)*0.245</f>
        <v>4.9808500000000002</v>
      </c>
      <c r="C2087" s="1013"/>
      <c r="D2087" s="1013"/>
      <c r="E2087" s="1013"/>
      <c r="F2087" s="191"/>
      <c r="G2087" s="191"/>
      <c r="H2087" s="1013"/>
    </row>
    <row r="2088" spans="1:8" ht="14.1" customHeight="1">
      <c r="A2088" s="654" t="s">
        <v>111</v>
      </c>
      <c r="B2088" s="549">
        <f>SUM(B2085:B2087)</f>
        <v>25.310850000000002</v>
      </c>
      <c r="C2088" s="1013"/>
      <c r="D2088" s="1013"/>
      <c r="E2088" s="1013"/>
      <c r="F2088" s="191"/>
      <c r="G2088" s="191"/>
      <c r="H2088" s="1013"/>
    </row>
    <row r="2089" spans="1:8">
      <c r="A2089" s="516"/>
      <c r="B2089" s="517"/>
      <c r="C2089" s="518"/>
      <c r="D2089" s="516"/>
      <c r="E2089" s="517"/>
      <c r="F2089" s="517"/>
      <c r="G2089" s="517"/>
      <c r="H2089" s="516"/>
    </row>
    <row r="2091" spans="1:8">
      <c r="A2091" s="170" t="s">
        <v>1369</v>
      </c>
    </row>
    <row r="2092" spans="1:8">
      <c r="A2092" s="1044" t="s">
        <v>2636</v>
      </c>
      <c r="B2092" s="587"/>
      <c r="C2092" s="587"/>
      <c r="D2092" s="587"/>
      <c r="E2092" s="587"/>
      <c r="F2092" s="587"/>
      <c r="G2092" s="587"/>
      <c r="H2092" s="587"/>
    </row>
    <row r="2093" spans="1:8" ht="41.25" customHeight="1">
      <c r="A2093" s="655" t="s">
        <v>1649</v>
      </c>
      <c r="B2093" s="1429" t="s">
        <v>2179</v>
      </c>
      <c r="C2093" s="1429"/>
      <c r="D2093" s="1042" t="s">
        <v>418</v>
      </c>
      <c r="E2093" s="636"/>
      <c r="F2093" s="636"/>
      <c r="G2093" s="636"/>
      <c r="H2093" s="636"/>
    </row>
    <row r="2094" spans="1:8" ht="22.5">
      <c r="A2094" s="1003" t="s">
        <v>30</v>
      </c>
      <c r="B2094" s="507" t="s">
        <v>19</v>
      </c>
      <c r="C2094" s="430" t="s">
        <v>92</v>
      </c>
      <c r="D2094" s="1005" t="s">
        <v>88</v>
      </c>
      <c r="E2094" s="1005" t="s">
        <v>93</v>
      </c>
      <c r="F2094" s="432" t="s">
        <v>94</v>
      </c>
      <c r="G2094" s="508" t="s">
        <v>95</v>
      </c>
    </row>
    <row r="2095" spans="1:8" ht="26.25" customHeight="1">
      <c r="A2095" s="627" t="s">
        <v>2634</v>
      </c>
      <c r="B2095" s="632" t="s">
        <v>2635</v>
      </c>
      <c r="C2095" s="1011" t="s">
        <v>99</v>
      </c>
      <c r="D2095" s="1011" t="s">
        <v>418</v>
      </c>
      <c r="E2095" s="1043">
        <v>1.0389999999999999</v>
      </c>
      <c r="F2095" s="1011">
        <v>12.32</v>
      </c>
      <c r="G2095" s="620">
        <f t="shared" ref="G2095" si="123">TRUNC(E2095*F2095,2)</f>
        <v>12.8</v>
      </c>
      <c r="H2095" s="1013"/>
    </row>
    <row r="2096" spans="1:8" ht="14.1" customHeight="1">
      <c r="A2096" s="1453">
        <v>88248</v>
      </c>
      <c r="B2096" s="1446" t="s">
        <v>334</v>
      </c>
      <c r="C2096" s="1011" t="s">
        <v>117</v>
      </c>
      <c r="D2096" s="1432" t="s">
        <v>410</v>
      </c>
      <c r="E2096" s="1432">
        <v>0.29699999999999999</v>
      </c>
      <c r="F2096" s="584">
        <f>'COMP AUX'!G321</f>
        <v>10.9</v>
      </c>
      <c r="G2096" s="620">
        <f>TRUNC(E2096*F2096,2)</f>
        <v>3.23</v>
      </c>
      <c r="H2096" s="1013"/>
    </row>
    <row r="2097" spans="1:8" ht="14.1" customHeight="1">
      <c r="A2097" s="1454"/>
      <c r="B2097" s="1447"/>
      <c r="C2097" s="1011" t="s">
        <v>99</v>
      </c>
      <c r="D2097" s="1433"/>
      <c r="E2097" s="1433"/>
      <c r="F2097" s="584">
        <f>'COMP AUX'!G322</f>
        <v>4.5600000000000005</v>
      </c>
      <c r="G2097" s="620">
        <f>TRUNC(E2096*F2097,2)</f>
        <v>1.35</v>
      </c>
      <c r="H2097" s="1013"/>
    </row>
    <row r="2098" spans="1:8" ht="14.1" customHeight="1">
      <c r="A2098" s="1453">
        <v>88267</v>
      </c>
      <c r="B2098" s="1446" t="s">
        <v>298</v>
      </c>
      <c r="C2098" s="1011" t="s">
        <v>117</v>
      </c>
      <c r="D2098" s="1432" t="s">
        <v>410</v>
      </c>
      <c r="E2098" s="1432">
        <v>0.29699999999999999</v>
      </c>
      <c r="F2098" s="584">
        <f>'COMP AUX'!G338</f>
        <v>15.41</v>
      </c>
      <c r="G2098" s="620">
        <f>TRUNC(E2098*F2098,2)</f>
        <v>4.57</v>
      </c>
      <c r="H2098" s="1013"/>
    </row>
    <row r="2099" spans="1:8" ht="14.1" customHeight="1">
      <c r="A2099" s="1454"/>
      <c r="B2099" s="1466"/>
      <c r="C2099" s="1011" t="s">
        <v>99</v>
      </c>
      <c r="D2099" s="1433"/>
      <c r="E2099" s="1433"/>
      <c r="F2099" s="584">
        <f>'COMP AUX'!G339</f>
        <v>4.5600000000000005</v>
      </c>
      <c r="G2099" s="620">
        <f>TRUNC(E2098*F2099,2)</f>
        <v>1.35</v>
      </c>
      <c r="H2099" s="1013"/>
    </row>
    <row r="2100" spans="1:8" ht="14.1" customHeight="1">
      <c r="A2100" s="1009"/>
      <c r="B2100" s="1009"/>
      <c r="C2100" s="1009"/>
      <c r="D2100" s="1009"/>
      <c r="E2100" s="1009"/>
      <c r="F2100" s="585" t="s">
        <v>103</v>
      </c>
      <c r="G2100" s="620">
        <f>G2096+G2098</f>
        <v>7.8000000000000007</v>
      </c>
      <c r="H2100" s="1013"/>
    </row>
    <row r="2101" spans="1:8" ht="14.1" customHeight="1">
      <c r="A2101" s="1009"/>
      <c r="B2101" s="1009"/>
      <c r="C2101" s="1009"/>
      <c r="D2101" s="1009"/>
      <c r="E2101" s="1009"/>
      <c r="F2101" s="585" t="s">
        <v>105</v>
      </c>
      <c r="G2101" s="583">
        <f>G2095+G2097+G2099</f>
        <v>15.5</v>
      </c>
      <c r="H2101" s="1013"/>
    </row>
    <row r="2102" spans="1:8" ht="14.1" customHeight="1">
      <c r="A2102" s="582" t="s">
        <v>107</v>
      </c>
      <c r="B2102" s="1013"/>
      <c r="C2102" s="1009"/>
      <c r="D2102" s="1009"/>
      <c r="E2102" s="1009"/>
      <c r="F2102" s="585" t="s">
        <v>106</v>
      </c>
      <c r="G2102" s="621">
        <f>SUM(G2100:G2101)</f>
        <v>23.3</v>
      </c>
      <c r="H2102" s="1013"/>
    </row>
    <row r="2103" spans="1:8" ht="14.1" customHeight="1">
      <c r="A2103" s="654" t="s">
        <v>108</v>
      </c>
      <c r="B2103" s="548">
        <f>G2102</f>
        <v>23.3</v>
      </c>
      <c r="C2103" s="1013"/>
      <c r="D2103" s="1013"/>
      <c r="E2103" s="1013"/>
      <c r="F2103" s="191"/>
      <c r="G2103" s="191"/>
      <c r="H2103" s="1013"/>
    </row>
    <row r="2104" spans="1:8" ht="14.1" customHeight="1">
      <c r="A2104" s="542" t="s">
        <v>2654</v>
      </c>
      <c r="B2104" s="541"/>
      <c r="C2104" s="1013"/>
      <c r="D2104" s="1013"/>
      <c r="E2104" s="1013"/>
      <c r="F2104" s="191"/>
      <c r="G2104" s="191"/>
      <c r="H2104" s="1013"/>
    </row>
    <row r="2105" spans="1:8" ht="14.1" customHeight="1">
      <c r="A2105" s="622" t="s">
        <v>2714</v>
      </c>
      <c r="B2105" s="541">
        <f>(B2103+B2104)*0.245</f>
        <v>5.7084999999999999</v>
      </c>
      <c r="C2105" s="1013"/>
      <c r="D2105" s="1013"/>
      <c r="E2105" s="1013"/>
      <c r="F2105" s="191"/>
      <c r="G2105" s="191"/>
      <c r="H2105" s="1013"/>
    </row>
    <row r="2106" spans="1:8" ht="14.1" customHeight="1">
      <c r="A2106" s="654" t="s">
        <v>111</v>
      </c>
      <c r="B2106" s="549">
        <f>SUM(B2103:B2105)</f>
        <v>29.008500000000002</v>
      </c>
      <c r="C2106" s="1013"/>
      <c r="D2106" s="1013"/>
      <c r="E2106" s="1013"/>
      <c r="F2106" s="191"/>
      <c r="G2106" s="191"/>
      <c r="H2106" s="1013"/>
    </row>
    <row r="2107" spans="1:8">
      <c r="A2107" s="516"/>
      <c r="B2107" s="517"/>
      <c r="C2107" s="518"/>
      <c r="D2107" s="516"/>
      <c r="E2107" s="517"/>
      <c r="F2107" s="517"/>
      <c r="G2107" s="517"/>
      <c r="H2107" s="516"/>
    </row>
    <row r="2109" spans="1:8">
      <c r="A2109" s="170" t="s">
        <v>1369</v>
      </c>
    </row>
    <row r="2110" spans="1:8">
      <c r="A2110" s="1518" t="s">
        <v>2799</v>
      </c>
      <c r="B2110" s="1519"/>
      <c r="C2110" s="1519"/>
      <c r="D2110" s="1519"/>
      <c r="E2110" s="1519"/>
      <c r="F2110" s="1519"/>
      <c r="G2110" s="1519"/>
      <c r="H2110" s="1519"/>
    </row>
    <row r="2111" spans="1:8" ht="26.25" customHeight="1">
      <c r="A2111" s="655" t="s">
        <v>1640</v>
      </c>
      <c r="B2111" s="1465" t="s">
        <v>2800</v>
      </c>
      <c r="C2111" s="1465"/>
      <c r="D2111" s="1134" t="s">
        <v>1538</v>
      </c>
      <c r="E2111" s="636"/>
      <c r="F2111" s="636"/>
      <c r="G2111" s="636"/>
      <c r="H2111" s="636"/>
    </row>
    <row r="2112" spans="1:8" ht="22.5">
      <c r="A2112" s="502" t="s">
        <v>30</v>
      </c>
      <c r="B2112" s="507" t="s">
        <v>19</v>
      </c>
      <c r="C2112" s="430" t="s">
        <v>92</v>
      </c>
      <c r="D2112" s="643" t="s">
        <v>88</v>
      </c>
      <c r="E2112" s="643" t="s">
        <v>93</v>
      </c>
      <c r="F2112" s="432" t="s">
        <v>94</v>
      </c>
      <c r="G2112" s="508" t="s">
        <v>95</v>
      </c>
    </row>
    <row r="2113" spans="1:8" ht="22.5">
      <c r="A2113" s="627" t="s">
        <v>317</v>
      </c>
      <c r="B2113" s="632" t="s">
        <v>318</v>
      </c>
      <c r="C2113" s="642" t="s">
        <v>99</v>
      </c>
      <c r="D2113" s="642" t="s">
        <v>5</v>
      </c>
      <c r="E2113" s="642" t="s">
        <v>114</v>
      </c>
      <c r="F2113" s="642" t="s">
        <v>319</v>
      </c>
      <c r="G2113" s="620">
        <f t="shared" ref="G2113:G2118" si="124">TRUNC(E2113*F2113,2)</f>
        <v>5.05</v>
      </c>
      <c r="H2113" s="199"/>
    </row>
    <row r="2114" spans="1:8" ht="14.1" customHeight="1">
      <c r="A2114" s="627" t="s">
        <v>320</v>
      </c>
      <c r="B2114" s="632" t="s">
        <v>321</v>
      </c>
      <c r="C2114" s="642" t="s">
        <v>99</v>
      </c>
      <c r="D2114" s="642" t="s">
        <v>5</v>
      </c>
      <c r="E2114" s="642" t="s">
        <v>322</v>
      </c>
      <c r="F2114" s="642" t="s">
        <v>323</v>
      </c>
      <c r="G2114" s="620">
        <f t="shared" si="124"/>
        <v>0.18</v>
      </c>
      <c r="H2114" s="199"/>
    </row>
    <row r="2115" spans="1:8">
      <c r="A2115" s="627" t="s">
        <v>325</v>
      </c>
      <c r="B2115" s="632" t="s">
        <v>326</v>
      </c>
      <c r="C2115" s="642" t="s">
        <v>99</v>
      </c>
      <c r="D2115" s="642" t="s">
        <v>5</v>
      </c>
      <c r="E2115" s="642" t="s">
        <v>327</v>
      </c>
      <c r="F2115" s="642" t="s">
        <v>328</v>
      </c>
      <c r="G2115" s="620">
        <f t="shared" si="124"/>
        <v>0.24</v>
      </c>
      <c r="H2115" s="199"/>
    </row>
    <row r="2116" spans="1:8" ht="14.1" customHeight="1">
      <c r="A2116" s="627" t="s">
        <v>329</v>
      </c>
      <c r="B2116" s="632" t="s">
        <v>330</v>
      </c>
      <c r="C2116" s="642" t="s">
        <v>99</v>
      </c>
      <c r="D2116" s="642" t="s">
        <v>5</v>
      </c>
      <c r="E2116" s="642" t="s">
        <v>331</v>
      </c>
      <c r="F2116" s="642" t="s">
        <v>332</v>
      </c>
      <c r="G2116" s="620">
        <f t="shared" si="124"/>
        <v>0.02</v>
      </c>
      <c r="H2116" s="199"/>
    </row>
    <row r="2117" spans="1:8" ht="22.5">
      <c r="A2117" s="627" t="s">
        <v>333</v>
      </c>
      <c r="B2117" s="632" t="s">
        <v>334</v>
      </c>
      <c r="C2117" s="642" t="s">
        <v>121</v>
      </c>
      <c r="D2117" s="642" t="s">
        <v>118</v>
      </c>
      <c r="E2117" s="642" t="s">
        <v>305</v>
      </c>
      <c r="F2117" s="642" t="s">
        <v>189</v>
      </c>
      <c r="G2117" s="620">
        <f t="shared" si="124"/>
        <v>0.82</v>
      </c>
      <c r="H2117" s="199"/>
    </row>
    <row r="2118" spans="1:8" ht="22.5">
      <c r="A2118" s="627" t="s">
        <v>297</v>
      </c>
      <c r="B2118" s="632" t="s">
        <v>298</v>
      </c>
      <c r="C2118" s="642" t="s">
        <v>121</v>
      </c>
      <c r="D2118" s="642" t="s">
        <v>118</v>
      </c>
      <c r="E2118" s="642" t="s">
        <v>305</v>
      </c>
      <c r="F2118" s="642" t="s">
        <v>300</v>
      </c>
      <c r="G2118" s="620">
        <f t="shared" si="124"/>
        <v>0.98</v>
      </c>
      <c r="H2118" s="199"/>
    </row>
    <row r="2119" spans="1:8" ht="14.1" customHeight="1">
      <c r="A2119" s="640"/>
      <c r="B2119" s="640"/>
      <c r="C2119" s="640"/>
      <c r="D2119" s="640"/>
      <c r="E2119" s="640"/>
      <c r="F2119" s="585" t="s">
        <v>103</v>
      </c>
      <c r="G2119" s="620" t="s">
        <v>335</v>
      </c>
      <c r="H2119" s="199"/>
    </row>
    <row r="2120" spans="1:8" ht="14.1" customHeight="1">
      <c r="A2120" s="640"/>
      <c r="B2120" s="640"/>
      <c r="C2120" s="640"/>
      <c r="D2120" s="640"/>
      <c r="E2120" s="640"/>
      <c r="F2120" s="585" t="s">
        <v>105</v>
      </c>
      <c r="G2120" s="620" t="s">
        <v>336</v>
      </c>
      <c r="H2120" s="199"/>
    </row>
    <row r="2121" spans="1:8" ht="14.1" customHeight="1">
      <c r="A2121" s="582" t="s">
        <v>107</v>
      </c>
      <c r="B2121" s="634"/>
      <c r="C2121" s="640"/>
      <c r="D2121" s="640"/>
      <c r="E2121" s="640"/>
      <c r="F2121" s="585" t="s">
        <v>106</v>
      </c>
      <c r="G2121" s="620" t="s">
        <v>337</v>
      </c>
      <c r="H2121" s="199"/>
    </row>
    <row r="2122" spans="1:8" ht="14.1" customHeight="1">
      <c r="A2122" s="654" t="s">
        <v>108</v>
      </c>
      <c r="B2122" s="548" t="str">
        <f>G2121</f>
        <v>7,33</v>
      </c>
      <c r="C2122" s="199"/>
      <c r="D2122" s="199"/>
      <c r="E2122" s="199"/>
      <c r="F2122" s="191"/>
      <c r="G2122" s="191"/>
      <c r="H2122" s="199"/>
    </row>
    <row r="2123" spans="1:8" ht="14.1" customHeight="1">
      <c r="A2123" s="542" t="s">
        <v>2654</v>
      </c>
      <c r="B2123" s="541"/>
      <c r="C2123" s="199"/>
      <c r="D2123" s="199"/>
      <c r="E2123" s="199"/>
      <c r="F2123" s="191"/>
      <c r="G2123" s="191"/>
      <c r="H2123" s="199"/>
    </row>
    <row r="2124" spans="1:8" ht="14.1" customHeight="1">
      <c r="A2124" s="622" t="s">
        <v>2714</v>
      </c>
      <c r="B2124" s="541">
        <f>(B2122+B2123)*0.245</f>
        <v>1.7958499999999999</v>
      </c>
      <c r="C2124" s="199"/>
      <c r="D2124" s="199"/>
      <c r="E2124" s="199"/>
      <c r="F2124" s="191"/>
      <c r="G2124" s="191"/>
      <c r="H2124" s="199"/>
    </row>
    <row r="2125" spans="1:8" ht="14.1" customHeight="1">
      <c r="A2125" s="654" t="s">
        <v>111</v>
      </c>
      <c r="B2125" s="549">
        <f>SUM(B2122:B2124)</f>
        <v>1.7958499999999999</v>
      </c>
      <c r="C2125" s="199"/>
      <c r="D2125" s="199"/>
      <c r="E2125" s="199"/>
      <c r="F2125" s="191"/>
      <c r="G2125" s="191"/>
      <c r="H2125" s="199"/>
    </row>
    <row r="2126" spans="1:8">
      <c r="A2126" s="516"/>
      <c r="B2126" s="517"/>
      <c r="C2126" s="518"/>
      <c r="D2126" s="516"/>
      <c r="E2126" s="517"/>
      <c r="F2126" s="517"/>
      <c r="G2126" s="517"/>
      <c r="H2126" s="516"/>
    </row>
    <row r="2128" spans="1:8">
      <c r="A2128" s="170" t="s">
        <v>1369</v>
      </c>
    </row>
    <row r="2129" spans="1:8">
      <c r="A2129" s="1522" t="s">
        <v>1601</v>
      </c>
      <c r="B2129" s="1523"/>
      <c r="C2129" s="1523"/>
      <c r="D2129" s="1523"/>
      <c r="E2129" s="1523"/>
      <c r="F2129" s="1523"/>
      <c r="G2129" s="1523"/>
      <c r="H2129" s="1523"/>
    </row>
    <row r="2130" spans="1:8" ht="40.5" customHeight="1">
      <c r="A2130" s="1546" t="s">
        <v>375</v>
      </c>
      <c r="B2130" s="1546"/>
      <c r="C2130" s="1546"/>
      <c r="D2130" s="1546"/>
      <c r="E2130" s="615" t="s">
        <v>1538</v>
      </c>
      <c r="F2130" s="555"/>
      <c r="G2130" s="555"/>
      <c r="H2130" s="555"/>
    </row>
    <row r="2131" spans="1:8" ht="22.5">
      <c r="A2131" s="502" t="s">
        <v>30</v>
      </c>
      <c r="B2131" s="507" t="s">
        <v>19</v>
      </c>
      <c r="C2131" s="430" t="s">
        <v>92</v>
      </c>
      <c r="D2131" s="643" t="s">
        <v>88</v>
      </c>
      <c r="E2131" s="643" t="s">
        <v>93</v>
      </c>
      <c r="F2131" s="432" t="s">
        <v>94</v>
      </c>
      <c r="G2131" s="508" t="s">
        <v>95</v>
      </c>
      <c r="H2131" s="201"/>
    </row>
    <row r="2132" spans="1:8">
      <c r="A2132" s="852">
        <v>34</v>
      </c>
      <c r="B2132" s="630" t="s">
        <v>1472</v>
      </c>
      <c r="C2132" s="641" t="s">
        <v>99</v>
      </c>
      <c r="D2132" s="641" t="s">
        <v>1401</v>
      </c>
      <c r="E2132" s="573">
        <v>8</v>
      </c>
      <c r="F2132" s="641">
        <v>4.2699999999999996</v>
      </c>
      <c r="G2132" s="563">
        <f t="shared" ref="G2132:G2144" si="125">TRUNC(E2132*F2132,2)</f>
        <v>34.159999999999997</v>
      </c>
      <c r="H2132" s="201"/>
    </row>
    <row r="2133" spans="1:8" ht="24" customHeight="1">
      <c r="A2133" s="852">
        <v>3992</v>
      </c>
      <c r="B2133" s="630" t="s">
        <v>965</v>
      </c>
      <c r="C2133" s="641" t="s">
        <v>99</v>
      </c>
      <c r="D2133" s="641" t="s">
        <v>418</v>
      </c>
      <c r="E2133" s="573">
        <v>0.6</v>
      </c>
      <c r="F2133" s="641">
        <v>8.68</v>
      </c>
      <c r="G2133" s="563">
        <f t="shared" si="125"/>
        <v>5.2</v>
      </c>
      <c r="H2133" s="201"/>
    </row>
    <row r="2134" spans="1:8">
      <c r="A2134" s="852">
        <v>5075</v>
      </c>
      <c r="B2134" s="630" t="s">
        <v>152</v>
      </c>
      <c r="C2134" s="641" t="s">
        <v>99</v>
      </c>
      <c r="D2134" s="641" t="s">
        <v>1401</v>
      </c>
      <c r="E2134" s="641" t="s">
        <v>324</v>
      </c>
      <c r="F2134" s="641">
        <v>9.15</v>
      </c>
      <c r="G2134" s="563">
        <f t="shared" si="125"/>
        <v>1.64</v>
      </c>
      <c r="H2134" s="201"/>
    </row>
    <row r="2135" spans="1:8" ht="14.1" customHeight="1">
      <c r="A2135" s="852">
        <v>7258</v>
      </c>
      <c r="B2135" s="630" t="s">
        <v>2694</v>
      </c>
      <c r="C2135" s="641" t="s">
        <v>99</v>
      </c>
      <c r="D2135" s="641" t="s">
        <v>5</v>
      </c>
      <c r="E2135" s="641" t="s">
        <v>342</v>
      </c>
      <c r="F2135" s="641">
        <v>0.33</v>
      </c>
      <c r="G2135" s="563">
        <f t="shared" si="125"/>
        <v>260.7</v>
      </c>
      <c r="H2135" s="201"/>
    </row>
    <row r="2136" spans="1:8">
      <c r="A2136" s="628" t="s">
        <v>343</v>
      </c>
      <c r="B2136" s="630" t="s">
        <v>344</v>
      </c>
      <c r="C2136" s="641" t="s">
        <v>121</v>
      </c>
      <c r="D2136" s="641" t="s">
        <v>125</v>
      </c>
      <c r="E2136" s="641" t="s">
        <v>308</v>
      </c>
      <c r="F2136" s="765" t="s">
        <v>345</v>
      </c>
      <c r="G2136" s="563">
        <f t="shared" si="125"/>
        <v>76.540000000000006</v>
      </c>
      <c r="H2136" s="201"/>
    </row>
    <row r="2137" spans="1:8" ht="14.1" customHeight="1">
      <c r="A2137" s="628" t="s">
        <v>346</v>
      </c>
      <c r="B2137" s="630" t="s">
        <v>347</v>
      </c>
      <c r="C2137" s="641" t="s">
        <v>121</v>
      </c>
      <c r="D2137" s="641" t="s">
        <v>125</v>
      </c>
      <c r="E2137" s="641" t="s">
        <v>348</v>
      </c>
      <c r="F2137" s="765" t="s">
        <v>349</v>
      </c>
      <c r="G2137" s="563">
        <f t="shared" si="125"/>
        <v>7.03</v>
      </c>
      <c r="H2137" s="201"/>
    </row>
    <row r="2138" spans="1:8" ht="14.1" customHeight="1">
      <c r="A2138" s="628" t="s">
        <v>350</v>
      </c>
      <c r="B2138" s="630" t="s">
        <v>351</v>
      </c>
      <c r="C2138" s="641" t="s">
        <v>121</v>
      </c>
      <c r="D2138" s="641" t="s">
        <v>125</v>
      </c>
      <c r="E2138" s="641" t="s">
        <v>352</v>
      </c>
      <c r="F2138" s="765" t="s">
        <v>353</v>
      </c>
      <c r="G2138" s="563">
        <f t="shared" si="125"/>
        <v>15.12</v>
      </c>
      <c r="H2138" s="201"/>
    </row>
    <row r="2139" spans="1:8" ht="14.1" customHeight="1">
      <c r="A2139" s="628" t="s">
        <v>354</v>
      </c>
      <c r="B2139" s="630" t="s">
        <v>355</v>
      </c>
      <c r="C2139" s="641" t="s">
        <v>121</v>
      </c>
      <c r="D2139" s="641" t="s">
        <v>125</v>
      </c>
      <c r="E2139" s="641" t="s">
        <v>356</v>
      </c>
      <c r="F2139" s="765" t="s">
        <v>357</v>
      </c>
      <c r="G2139" s="563">
        <f t="shared" si="125"/>
        <v>22.81</v>
      </c>
      <c r="H2139" s="201"/>
    </row>
    <row r="2140" spans="1:8" ht="14.1" customHeight="1">
      <c r="A2140" s="628" t="s">
        <v>358</v>
      </c>
      <c r="B2140" s="630" t="s">
        <v>359</v>
      </c>
      <c r="C2140" s="641" t="s">
        <v>121</v>
      </c>
      <c r="D2140" s="641" t="s">
        <v>125</v>
      </c>
      <c r="E2140" s="641" t="s">
        <v>356</v>
      </c>
      <c r="F2140" s="765" t="s">
        <v>360</v>
      </c>
      <c r="G2140" s="563">
        <f t="shared" si="125"/>
        <v>21.07</v>
      </c>
      <c r="H2140" s="201"/>
    </row>
    <row r="2141" spans="1:8" ht="14.1" customHeight="1">
      <c r="A2141" s="628" t="s">
        <v>361</v>
      </c>
      <c r="B2141" s="630" t="s">
        <v>362</v>
      </c>
      <c r="C2141" s="641" t="s">
        <v>121</v>
      </c>
      <c r="D2141" s="641" t="s">
        <v>125</v>
      </c>
      <c r="E2141" s="641" t="s">
        <v>363</v>
      </c>
      <c r="F2141" s="765" t="s">
        <v>364</v>
      </c>
      <c r="G2141" s="563">
        <f t="shared" si="125"/>
        <v>25.94</v>
      </c>
      <c r="H2141" s="201"/>
    </row>
    <row r="2142" spans="1:8" ht="14.1" customHeight="1">
      <c r="A2142" s="628" t="s">
        <v>365</v>
      </c>
      <c r="B2142" s="630" t="s">
        <v>366</v>
      </c>
      <c r="C2142" s="641" t="s">
        <v>121</v>
      </c>
      <c r="D2142" s="641" t="s">
        <v>113</v>
      </c>
      <c r="E2142" s="641" t="s">
        <v>367</v>
      </c>
      <c r="F2142" s="765" t="s">
        <v>368</v>
      </c>
      <c r="G2142" s="563">
        <f t="shared" si="125"/>
        <v>59.47</v>
      </c>
      <c r="H2142" s="201"/>
    </row>
    <row r="2143" spans="1:8" ht="22.5">
      <c r="A2143" s="628" t="s">
        <v>369</v>
      </c>
      <c r="B2143" s="630" t="s">
        <v>370</v>
      </c>
      <c r="C2143" s="641" t="s">
        <v>117</v>
      </c>
      <c r="D2143" s="641" t="s">
        <v>118</v>
      </c>
      <c r="E2143" s="641" t="s">
        <v>371</v>
      </c>
      <c r="F2143" s="765" t="s">
        <v>172</v>
      </c>
      <c r="G2143" s="563">
        <f t="shared" si="125"/>
        <v>139.43</v>
      </c>
      <c r="H2143" s="201"/>
    </row>
    <row r="2144" spans="1:8" ht="22.5">
      <c r="A2144" s="628" t="s">
        <v>187</v>
      </c>
      <c r="B2144" s="630" t="s">
        <v>188</v>
      </c>
      <c r="C2144" s="641" t="s">
        <v>117</v>
      </c>
      <c r="D2144" s="641" t="s">
        <v>118</v>
      </c>
      <c r="E2144" s="641" t="s">
        <v>371</v>
      </c>
      <c r="F2144" s="765" t="s">
        <v>189</v>
      </c>
      <c r="G2144" s="563">
        <f t="shared" si="125"/>
        <v>100.89</v>
      </c>
      <c r="H2144" s="201"/>
    </row>
    <row r="2145" spans="1:8" ht="14.1" customHeight="1">
      <c r="A2145" s="201"/>
      <c r="B2145" s="201"/>
      <c r="C2145" s="201"/>
      <c r="D2145" s="201"/>
      <c r="E2145" s="201"/>
      <c r="F2145" s="581" t="s">
        <v>103</v>
      </c>
      <c r="G2145" s="563" t="s">
        <v>372</v>
      </c>
      <c r="H2145" s="201"/>
    </row>
    <row r="2146" spans="1:8" ht="14.1" customHeight="1">
      <c r="A2146" s="201"/>
      <c r="B2146" s="201"/>
      <c r="C2146" s="201"/>
      <c r="D2146" s="201"/>
      <c r="E2146" s="201"/>
      <c r="F2146" s="581" t="s">
        <v>105</v>
      </c>
      <c r="G2146" s="563" t="s">
        <v>373</v>
      </c>
      <c r="H2146" s="201"/>
    </row>
    <row r="2147" spans="1:8" ht="14.1" customHeight="1">
      <c r="A2147" s="582" t="s">
        <v>107</v>
      </c>
      <c r="B2147" s="634"/>
      <c r="C2147" s="201"/>
      <c r="D2147" s="201"/>
      <c r="E2147" s="201"/>
      <c r="F2147" s="581" t="s">
        <v>106</v>
      </c>
      <c r="G2147" s="563" t="s">
        <v>374</v>
      </c>
      <c r="H2147" s="201"/>
    </row>
    <row r="2148" spans="1:8" ht="14.1" customHeight="1">
      <c r="A2148" s="654" t="s">
        <v>108</v>
      </c>
      <c r="B2148" s="548" t="str">
        <f>G2147</f>
        <v>1.054,14</v>
      </c>
      <c r="C2148" s="201"/>
      <c r="D2148" s="201"/>
      <c r="E2148" s="201"/>
      <c r="F2148" s="197"/>
      <c r="G2148" s="197"/>
      <c r="H2148" s="201"/>
    </row>
    <row r="2149" spans="1:8" ht="14.1" customHeight="1">
      <c r="A2149" s="542" t="s">
        <v>2654</v>
      </c>
      <c r="B2149" s="541"/>
      <c r="C2149" s="201"/>
      <c r="D2149" s="201"/>
      <c r="E2149" s="201"/>
      <c r="F2149" s="197"/>
      <c r="G2149" s="197"/>
      <c r="H2149" s="201"/>
    </row>
    <row r="2150" spans="1:8" ht="14.1" customHeight="1">
      <c r="A2150" s="622" t="s">
        <v>2714</v>
      </c>
      <c r="B2150" s="541">
        <f>(B2148+B2149)*0.245</f>
        <v>258.26429999999999</v>
      </c>
      <c r="C2150" s="201"/>
      <c r="D2150" s="201"/>
      <c r="E2150" s="201"/>
      <c r="F2150" s="197"/>
      <c r="G2150" s="197"/>
      <c r="H2150" s="201"/>
    </row>
    <row r="2151" spans="1:8" ht="14.1" customHeight="1">
      <c r="A2151" s="654" t="s">
        <v>111</v>
      </c>
      <c r="B2151" s="549">
        <f>SUM(B2148:B2150)</f>
        <v>258.26429999999999</v>
      </c>
      <c r="C2151" s="201"/>
      <c r="D2151" s="201"/>
      <c r="E2151" s="201"/>
      <c r="F2151" s="197"/>
      <c r="G2151" s="197"/>
      <c r="H2151" s="201"/>
    </row>
    <row r="2152" spans="1:8">
      <c r="A2152" s="516"/>
      <c r="B2152" s="517"/>
      <c r="C2152" s="518"/>
      <c r="D2152" s="516"/>
      <c r="E2152" s="517"/>
      <c r="F2152" s="517"/>
      <c r="G2152" s="517"/>
      <c r="H2152" s="516"/>
    </row>
    <row r="2154" spans="1:8">
      <c r="A2154" s="170" t="s">
        <v>1369</v>
      </c>
    </row>
    <row r="2155" spans="1:8">
      <c r="A2155" s="554" t="s">
        <v>376</v>
      </c>
      <c r="B2155" s="555"/>
      <c r="C2155" s="555"/>
      <c r="D2155" s="555"/>
      <c r="E2155" s="555"/>
      <c r="F2155" s="555"/>
      <c r="G2155" s="555"/>
      <c r="H2155" s="555"/>
    </row>
    <row r="2156" spans="1:8" ht="18" customHeight="1">
      <c r="A2156" s="637" t="s">
        <v>377</v>
      </c>
      <c r="B2156" s="638"/>
      <c r="C2156" s="592" t="s">
        <v>1538</v>
      </c>
      <c r="D2156" s="555"/>
      <c r="E2156" s="555"/>
      <c r="F2156" s="555"/>
      <c r="G2156" s="555"/>
      <c r="H2156" s="555"/>
    </row>
    <row r="2157" spans="1:8" ht="22.5">
      <c r="A2157" s="502" t="s">
        <v>30</v>
      </c>
      <c r="B2157" s="507" t="s">
        <v>19</v>
      </c>
      <c r="C2157" s="430" t="s">
        <v>92</v>
      </c>
      <c r="D2157" s="643" t="s">
        <v>88</v>
      </c>
      <c r="E2157" s="643" t="s">
        <v>93</v>
      </c>
      <c r="F2157" s="432" t="s">
        <v>94</v>
      </c>
      <c r="G2157" s="508" t="s">
        <v>95</v>
      </c>
      <c r="H2157" s="201"/>
    </row>
    <row r="2158" spans="1:8">
      <c r="A2158" s="628" t="s">
        <v>378</v>
      </c>
      <c r="B2158" s="630" t="s">
        <v>379</v>
      </c>
      <c r="C2158" s="641" t="s">
        <v>99</v>
      </c>
      <c r="D2158" s="641" t="s">
        <v>125</v>
      </c>
      <c r="E2158" s="641" t="s">
        <v>380</v>
      </c>
      <c r="F2158" s="641">
        <v>41.23</v>
      </c>
      <c r="G2158" s="563">
        <f t="shared" ref="G2158:G2169" si="126">TRUNC(E2158*F2158,2)</f>
        <v>49.47</v>
      </c>
      <c r="H2158" s="201"/>
    </row>
    <row r="2159" spans="1:8">
      <c r="A2159" s="628" t="s">
        <v>381</v>
      </c>
      <c r="B2159" s="630" t="s">
        <v>382</v>
      </c>
      <c r="C2159" s="641" t="s">
        <v>99</v>
      </c>
      <c r="D2159" s="641" t="s">
        <v>113</v>
      </c>
      <c r="E2159" s="641" t="s">
        <v>383</v>
      </c>
      <c r="F2159" s="641">
        <v>3.13</v>
      </c>
      <c r="G2159" s="563">
        <f t="shared" si="126"/>
        <v>2</v>
      </c>
      <c r="H2159" s="201"/>
    </row>
    <row r="2160" spans="1:8" ht="22.5">
      <c r="A2160" s="628" t="s">
        <v>384</v>
      </c>
      <c r="B2160" s="630" t="s">
        <v>385</v>
      </c>
      <c r="C2160" s="641" t="s">
        <v>99</v>
      </c>
      <c r="D2160" s="641" t="s">
        <v>125</v>
      </c>
      <c r="E2160" s="641" t="s">
        <v>386</v>
      </c>
      <c r="F2160" s="641">
        <v>414.85</v>
      </c>
      <c r="G2160" s="563">
        <f t="shared" si="126"/>
        <v>26.55</v>
      </c>
      <c r="H2160" s="201"/>
    </row>
    <row r="2161" spans="1:8">
      <c r="A2161" s="628" t="s">
        <v>387</v>
      </c>
      <c r="B2161" s="630" t="s">
        <v>388</v>
      </c>
      <c r="C2161" s="641" t="s">
        <v>99</v>
      </c>
      <c r="D2161" s="641" t="s">
        <v>125</v>
      </c>
      <c r="E2161" s="641" t="s">
        <v>270</v>
      </c>
      <c r="F2161" s="641">
        <v>4.6399999999999997</v>
      </c>
      <c r="G2161" s="563">
        <f t="shared" si="126"/>
        <v>1.99</v>
      </c>
      <c r="H2161" s="201"/>
    </row>
    <row r="2162" spans="1:8">
      <c r="A2162" s="628" t="s">
        <v>389</v>
      </c>
      <c r="B2162" s="630" t="s">
        <v>390</v>
      </c>
      <c r="C2162" s="641" t="s">
        <v>99</v>
      </c>
      <c r="D2162" s="641" t="s">
        <v>125</v>
      </c>
      <c r="E2162" s="641">
        <v>0.98</v>
      </c>
      <c r="F2162" s="641">
        <v>508.49</v>
      </c>
      <c r="G2162" s="563">
        <f t="shared" si="126"/>
        <v>498.32</v>
      </c>
      <c r="H2162" s="201"/>
    </row>
    <row r="2163" spans="1:8">
      <c r="A2163" s="628" t="s">
        <v>391</v>
      </c>
      <c r="B2163" s="630" t="s">
        <v>392</v>
      </c>
      <c r="C2163" s="641" t="s">
        <v>99</v>
      </c>
      <c r="D2163" s="641" t="s">
        <v>113</v>
      </c>
      <c r="E2163" s="641" t="s">
        <v>393</v>
      </c>
      <c r="F2163" s="641">
        <v>8.0399999999999991</v>
      </c>
      <c r="G2163" s="563">
        <f t="shared" si="126"/>
        <v>21.22</v>
      </c>
      <c r="H2163" s="201"/>
    </row>
    <row r="2164" spans="1:8">
      <c r="A2164" s="628" t="s">
        <v>394</v>
      </c>
      <c r="B2164" s="630" t="s">
        <v>395</v>
      </c>
      <c r="C2164" s="641" t="s">
        <v>99</v>
      </c>
      <c r="D2164" s="641" t="s">
        <v>113</v>
      </c>
      <c r="E2164" s="641" t="s">
        <v>393</v>
      </c>
      <c r="F2164" s="641">
        <v>37.11</v>
      </c>
      <c r="G2164" s="563">
        <f t="shared" si="126"/>
        <v>97.97</v>
      </c>
      <c r="H2164" s="201"/>
    </row>
    <row r="2165" spans="1:8" ht="15" customHeight="1">
      <c r="A2165" s="628" t="s">
        <v>396</v>
      </c>
      <c r="B2165" s="630" t="s">
        <v>397</v>
      </c>
      <c r="C2165" s="641" t="s">
        <v>99</v>
      </c>
      <c r="D2165" s="641" t="s">
        <v>113</v>
      </c>
      <c r="E2165" s="641" t="s">
        <v>398</v>
      </c>
      <c r="F2165" s="641">
        <v>54.24</v>
      </c>
      <c r="G2165" s="563">
        <f t="shared" si="126"/>
        <v>182.24</v>
      </c>
      <c r="H2165" s="201"/>
    </row>
    <row r="2166" spans="1:8" ht="15" customHeight="1">
      <c r="A2166" s="628" t="s">
        <v>399</v>
      </c>
      <c r="B2166" s="630" t="s">
        <v>400</v>
      </c>
      <c r="C2166" s="641" t="s">
        <v>99</v>
      </c>
      <c r="D2166" s="641" t="s">
        <v>113</v>
      </c>
      <c r="E2166" s="641" t="s">
        <v>139</v>
      </c>
      <c r="F2166" s="573">
        <v>103.4</v>
      </c>
      <c r="G2166" s="563">
        <f t="shared" si="126"/>
        <v>82.72</v>
      </c>
      <c r="H2166" s="201"/>
    </row>
    <row r="2167" spans="1:8" ht="15" customHeight="1">
      <c r="A2167" s="628" t="s">
        <v>401</v>
      </c>
      <c r="B2167" s="630" t="s">
        <v>402</v>
      </c>
      <c r="C2167" s="641" t="s">
        <v>99</v>
      </c>
      <c r="D2167" s="641" t="s">
        <v>115</v>
      </c>
      <c r="E2167" s="641" t="s">
        <v>403</v>
      </c>
      <c r="F2167" s="641">
        <v>9.69</v>
      </c>
      <c r="G2167" s="563">
        <f t="shared" si="126"/>
        <v>12.4</v>
      </c>
      <c r="H2167" s="201"/>
    </row>
    <row r="2168" spans="1:8" ht="15" customHeight="1">
      <c r="A2168" s="628" t="s">
        <v>404</v>
      </c>
      <c r="B2168" s="630" t="s">
        <v>405</v>
      </c>
      <c r="C2168" s="641" t="s">
        <v>99</v>
      </c>
      <c r="D2168" s="641" t="s">
        <v>4</v>
      </c>
      <c r="E2168" s="641" t="s">
        <v>114</v>
      </c>
      <c r="F2168" s="573">
        <v>21.3</v>
      </c>
      <c r="G2168" s="563">
        <f t="shared" si="126"/>
        <v>21.3</v>
      </c>
      <c r="H2168" s="201"/>
    </row>
    <row r="2169" spans="1:8" ht="15" customHeight="1">
      <c r="A2169" s="628" t="s">
        <v>406</v>
      </c>
      <c r="B2169" s="630" t="s">
        <v>407</v>
      </c>
      <c r="C2169" s="641" t="s">
        <v>99</v>
      </c>
      <c r="D2169" s="641" t="s">
        <v>5</v>
      </c>
      <c r="E2169" s="641" t="s">
        <v>114</v>
      </c>
      <c r="F2169" s="641">
        <v>9.76</v>
      </c>
      <c r="G2169" s="563">
        <f t="shared" si="126"/>
        <v>9.76</v>
      </c>
      <c r="H2169" s="201"/>
    </row>
    <row r="2170" spans="1:8" ht="15" customHeight="1">
      <c r="A2170" s="638"/>
      <c r="B2170" s="638"/>
      <c r="C2170" s="638"/>
      <c r="D2170" s="638"/>
      <c r="E2170" s="638"/>
      <c r="F2170" s="581" t="s">
        <v>103</v>
      </c>
      <c r="G2170" s="624" t="s">
        <v>104</v>
      </c>
      <c r="H2170" s="201"/>
    </row>
    <row r="2171" spans="1:8" ht="15" customHeight="1">
      <c r="A2171" s="638"/>
      <c r="B2171" s="638"/>
      <c r="C2171" s="638"/>
      <c r="D2171" s="638"/>
      <c r="E2171" s="638"/>
      <c r="F2171" s="581" t="s">
        <v>105</v>
      </c>
      <c r="G2171" s="624" t="s">
        <v>104</v>
      </c>
      <c r="H2171" s="201"/>
    </row>
    <row r="2172" spans="1:8" ht="15" customHeight="1">
      <c r="A2172" s="582" t="s">
        <v>107</v>
      </c>
      <c r="B2172" s="201"/>
      <c r="C2172" s="201"/>
      <c r="D2172" s="201"/>
      <c r="E2172" s="201"/>
      <c r="F2172" s="581" t="s">
        <v>106</v>
      </c>
      <c r="G2172" s="658">
        <f>SUM(G2158:G2169)</f>
        <v>1005.9399999999999</v>
      </c>
      <c r="H2172" s="201"/>
    </row>
    <row r="2173" spans="1:8" ht="15" customHeight="1">
      <c r="A2173" s="654" t="s">
        <v>108</v>
      </c>
      <c r="B2173" s="656">
        <f>G2172</f>
        <v>1005.9399999999999</v>
      </c>
      <c r="C2173" s="201"/>
      <c r="D2173" s="201"/>
      <c r="E2173" s="201"/>
      <c r="F2173" s="197"/>
      <c r="G2173" s="197"/>
      <c r="H2173" s="201"/>
    </row>
    <row r="2174" spans="1:8" ht="15" customHeight="1">
      <c r="A2174" s="542" t="s">
        <v>2654</v>
      </c>
      <c r="B2174" s="541"/>
      <c r="C2174" s="201"/>
      <c r="D2174" s="201"/>
      <c r="E2174" s="201"/>
      <c r="F2174" s="197"/>
      <c r="G2174" s="197"/>
      <c r="H2174" s="201"/>
    </row>
    <row r="2175" spans="1:8" ht="15" customHeight="1">
      <c r="A2175" s="622" t="s">
        <v>2714</v>
      </c>
      <c r="B2175" s="541">
        <f>(B2173+B2174)*0.245</f>
        <v>246.45529999999999</v>
      </c>
      <c r="C2175" s="201"/>
      <c r="D2175" s="201"/>
      <c r="E2175" s="201"/>
      <c r="F2175" s="197"/>
      <c r="G2175" s="197"/>
      <c r="H2175" s="201"/>
    </row>
    <row r="2176" spans="1:8" ht="15" customHeight="1">
      <c r="A2176" s="654" t="s">
        <v>111</v>
      </c>
      <c r="B2176" s="657">
        <f>SUM(B2173:B2175)</f>
        <v>1252.3952999999999</v>
      </c>
      <c r="C2176" s="201"/>
      <c r="D2176" s="201"/>
      <c r="E2176" s="201"/>
      <c r="F2176" s="197"/>
      <c r="G2176" s="197"/>
      <c r="H2176" s="201"/>
    </row>
    <row r="2177" spans="1:8" ht="12" thickBot="1">
      <c r="A2177" s="659"/>
      <c r="B2177" s="659"/>
      <c r="C2177" s="660"/>
      <c r="D2177" s="659"/>
      <c r="E2177" s="661"/>
      <c r="F2177" s="661"/>
      <c r="G2177" s="661"/>
      <c r="H2177" s="516"/>
    </row>
    <row r="2178" spans="1:8" ht="12" customHeight="1"/>
    <row r="2179" spans="1:8" ht="12" customHeight="1">
      <c r="A2179" s="170" t="s">
        <v>1369</v>
      </c>
    </row>
    <row r="2180" spans="1:8">
      <c r="A2180" s="1518" t="s">
        <v>426</v>
      </c>
      <c r="B2180" s="1519"/>
      <c r="C2180" s="1519"/>
      <c r="D2180" s="1519"/>
      <c r="E2180" s="1519"/>
      <c r="F2180" s="1519"/>
      <c r="G2180" s="1519"/>
      <c r="H2180" s="1519"/>
    </row>
    <row r="2181" spans="1:8" ht="18" customHeight="1">
      <c r="A2181" s="639" t="s">
        <v>427</v>
      </c>
      <c r="B2181" s="587"/>
      <c r="C2181" s="587"/>
      <c r="D2181" s="639" t="s">
        <v>1538</v>
      </c>
      <c r="E2181" s="587"/>
      <c r="F2181" s="587"/>
      <c r="G2181" s="587"/>
      <c r="H2181" s="587"/>
    </row>
    <row r="2182" spans="1:8" ht="25.5" customHeight="1">
      <c r="A2182" s="502" t="s">
        <v>30</v>
      </c>
      <c r="B2182" s="507" t="s">
        <v>19</v>
      </c>
      <c r="C2182" s="430" t="s">
        <v>92</v>
      </c>
      <c r="D2182" s="643" t="s">
        <v>88</v>
      </c>
      <c r="E2182" s="643" t="s">
        <v>93</v>
      </c>
      <c r="F2182" s="432" t="s">
        <v>94</v>
      </c>
      <c r="G2182" s="508" t="s">
        <v>95</v>
      </c>
    </row>
    <row r="2183" spans="1:8" ht="14.1" customHeight="1">
      <c r="A2183" s="627" t="s">
        <v>428</v>
      </c>
      <c r="B2183" s="653" t="s">
        <v>429</v>
      </c>
      <c r="C2183" s="642" t="s">
        <v>117</v>
      </c>
      <c r="D2183" s="642" t="s">
        <v>118</v>
      </c>
      <c r="E2183" s="642" t="s">
        <v>164</v>
      </c>
      <c r="F2183" s="642" t="s">
        <v>430</v>
      </c>
      <c r="G2183" s="620">
        <f t="shared" ref="G2183:G2187" si="127">TRUNC(E2183*F2183,2)</f>
        <v>42.65</v>
      </c>
      <c r="H2183" s="199"/>
    </row>
    <row r="2184" spans="1:8" ht="14.1" customHeight="1">
      <c r="A2184" s="627" t="s">
        <v>431</v>
      </c>
      <c r="B2184" s="653" t="s">
        <v>432</v>
      </c>
      <c r="C2184" s="642" t="s">
        <v>117</v>
      </c>
      <c r="D2184" s="642" t="s">
        <v>118</v>
      </c>
      <c r="E2184" s="642" t="s">
        <v>164</v>
      </c>
      <c r="F2184" s="642" t="s">
        <v>163</v>
      </c>
      <c r="G2184" s="620">
        <f t="shared" si="127"/>
        <v>32.25</v>
      </c>
      <c r="H2184" s="199"/>
    </row>
    <row r="2185" spans="1:8" ht="14.1" customHeight="1">
      <c r="A2185" s="627" t="s">
        <v>433</v>
      </c>
      <c r="B2185" s="653" t="s">
        <v>434</v>
      </c>
      <c r="C2185" s="642" t="s">
        <v>99</v>
      </c>
      <c r="D2185" s="642" t="s">
        <v>1</v>
      </c>
      <c r="E2185" s="642" t="s">
        <v>114</v>
      </c>
      <c r="F2185" s="642" t="s">
        <v>435</v>
      </c>
      <c r="G2185" s="620">
        <f t="shared" si="127"/>
        <v>112.47</v>
      </c>
      <c r="H2185" s="199"/>
    </row>
    <row r="2186" spans="1:8" ht="14.1" customHeight="1">
      <c r="A2186" s="627" t="s">
        <v>436</v>
      </c>
      <c r="B2186" s="653" t="s">
        <v>437</v>
      </c>
      <c r="C2186" s="642" t="s">
        <v>99</v>
      </c>
      <c r="D2186" s="642" t="s">
        <v>5</v>
      </c>
      <c r="E2186" s="642" t="s">
        <v>114</v>
      </c>
      <c r="F2186" s="642" t="s">
        <v>438</v>
      </c>
      <c r="G2186" s="620">
        <f t="shared" si="127"/>
        <v>47.48</v>
      </c>
      <c r="H2186" s="199"/>
    </row>
    <row r="2187" spans="1:8" ht="14.1" customHeight="1">
      <c r="A2187" s="627" t="s">
        <v>439</v>
      </c>
      <c r="B2187" s="653" t="s">
        <v>440</v>
      </c>
      <c r="C2187" s="642" t="s">
        <v>99</v>
      </c>
      <c r="D2187" s="642" t="s">
        <v>5</v>
      </c>
      <c r="E2187" s="642" t="s">
        <v>114</v>
      </c>
      <c r="F2187" s="642" t="s">
        <v>441</v>
      </c>
      <c r="G2187" s="620">
        <f t="shared" si="127"/>
        <v>81.150000000000006</v>
      </c>
      <c r="H2187" s="199"/>
    </row>
    <row r="2188" spans="1:8" ht="14.1" customHeight="1">
      <c r="A2188" s="199"/>
      <c r="B2188" s="199"/>
      <c r="C2188" s="199"/>
      <c r="D2188" s="199"/>
      <c r="E2188" s="199"/>
      <c r="F2188" s="627" t="s">
        <v>103</v>
      </c>
      <c r="G2188" s="620" t="s">
        <v>442</v>
      </c>
      <c r="H2188" s="199"/>
    </row>
    <row r="2189" spans="1:8" ht="14.1" customHeight="1">
      <c r="A2189" s="199"/>
      <c r="B2189" s="199"/>
      <c r="C2189" s="199"/>
      <c r="D2189" s="199"/>
      <c r="E2189" s="199"/>
      <c r="F2189" s="627" t="s">
        <v>105</v>
      </c>
      <c r="G2189" s="620" t="s">
        <v>443</v>
      </c>
      <c r="H2189" s="199"/>
    </row>
    <row r="2190" spans="1:8" ht="14.1" customHeight="1">
      <c r="A2190" s="582" t="s">
        <v>107</v>
      </c>
      <c r="B2190" s="635"/>
      <c r="C2190" s="199"/>
      <c r="D2190" s="199"/>
      <c r="E2190" s="199"/>
      <c r="F2190" s="627" t="s">
        <v>106</v>
      </c>
      <c r="G2190" s="620" t="s">
        <v>444</v>
      </c>
      <c r="H2190" s="199"/>
    </row>
    <row r="2191" spans="1:8" ht="14.1" customHeight="1">
      <c r="A2191" s="654" t="s">
        <v>108</v>
      </c>
      <c r="B2191" s="656" t="str">
        <f>G2190</f>
        <v>316,00</v>
      </c>
      <c r="C2191" s="199"/>
      <c r="D2191" s="199"/>
      <c r="E2191" s="199"/>
      <c r="F2191" s="199"/>
      <c r="G2191" s="199"/>
      <c r="H2191" s="199"/>
    </row>
    <row r="2192" spans="1:8" ht="14.1" customHeight="1">
      <c r="A2192" s="542" t="s">
        <v>2654</v>
      </c>
      <c r="B2192" s="541"/>
      <c r="C2192" s="199"/>
      <c r="D2192" s="199"/>
      <c r="E2192" s="199"/>
      <c r="F2192" s="199"/>
      <c r="G2192" s="199"/>
      <c r="H2192" s="199"/>
    </row>
    <row r="2193" spans="1:8" ht="14.1" customHeight="1">
      <c r="A2193" s="622" t="s">
        <v>2714</v>
      </c>
      <c r="B2193" s="541">
        <f>(B2191+B2192)*0.245</f>
        <v>77.42</v>
      </c>
      <c r="C2193" s="199"/>
      <c r="D2193" s="199"/>
      <c r="E2193" s="199"/>
      <c r="F2193" s="199"/>
      <c r="G2193" s="199"/>
      <c r="H2193" s="199"/>
    </row>
    <row r="2194" spans="1:8" ht="14.1" customHeight="1">
      <c r="A2194" s="654" t="s">
        <v>111</v>
      </c>
      <c r="B2194" s="657">
        <f>SUM(B2191:B2193)</f>
        <v>77.42</v>
      </c>
      <c r="C2194" s="199"/>
      <c r="D2194" s="199"/>
      <c r="E2194" s="199"/>
      <c r="F2194" s="199"/>
      <c r="G2194" s="199"/>
      <c r="H2194" s="199"/>
    </row>
    <row r="2195" spans="1:8" ht="10.5" customHeight="1">
      <c r="A2195" s="662"/>
      <c r="B2195" s="663"/>
      <c r="C2195" s="588"/>
      <c r="D2195" s="588"/>
      <c r="E2195" s="588"/>
      <c r="F2195" s="588"/>
      <c r="G2195" s="588"/>
      <c r="H2195" s="588"/>
    </row>
    <row r="2196" spans="1:8">
      <c r="A2196" s="199"/>
      <c r="B2196" s="199"/>
      <c r="C2196" s="199"/>
      <c r="D2196" s="199"/>
      <c r="E2196" s="199"/>
      <c r="F2196" s="199"/>
      <c r="G2196" s="199"/>
      <c r="H2196" s="199"/>
    </row>
    <row r="2197" spans="1:8">
      <c r="A2197" s="215"/>
      <c r="B2197" s="215"/>
      <c r="C2197" s="216"/>
      <c r="D2197" s="1132"/>
      <c r="E2197" s="1132"/>
      <c r="F2197" s="477"/>
      <c r="G2197" s="477"/>
      <c r="H2197" s="1133"/>
    </row>
    <row r="2198" spans="1:8" ht="22.5">
      <c r="A2198" s="211" t="s">
        <v>148</v>
      </c>
      <c r="B2198" s="211" t="s">
        <v>417</v>
      </c>
      <c r="C2198" s="211"/>
      <c r="D2198" s="217" t="s">
        <v>418</v>
      </c>
      <c r="E2198" s="218"/>
      <c r="F2198" s="218"/>
      <c r="G2198" s="1529"/>
      <c r="H2198" s="1530"/>
    </row>
    <row r="2199" spans="1:8" ht="22.5">
      <c r="A2199" s="1103" t="s">
        <v>30</v>
      </c>
      <c r="B2199" s="507" t="s">
        <v>19</v>
      </c>
      <c r="C2199" s="430" t="s">
        <v>92</v>
      </c>
      <c r="D2199" s="1094" t="s">
        <v>88</v>
      </c>
      <c r="E2199" s="1094" t="s">
        <v>93</v>
      </c>
      <c r="F2199" s="432" t="s">
        <v>94</v>
      </c>
      <c r="G2199" s="508" t="s">
        <v>95</v>
      </c>
      <c r="H2199" s="171"/>
    </row>
    <row r="2200" spans="1:8" ht="20.25" customHeight="1">
      <c r="A2200" s="212" t="s">
        <v>424</v>
      </c>
      <c r="B2200" s="212" t="s">
        <v>306</v>
      </c>
      <c r="C2200" s="212"/>
      <c r="D2200" s="213" t="s">
        <v>410</v>
      </c>
      <c r="E2200" s="219">
        <v>0.2</v>
      </c>
      <c r="F2200" s="214" t="s">
        <v>411</v>
      </c>
      <c r="G2200" s="1527">
        <f>E2200*F2200</f>
        <v>5.5340000000000007</v>
      </c>
      <c r="H2200" s="1527"/>
    </row>
    <row r="2201" spans="1:8" ht="24" customHeight="1">
      <c r="A2201" s="212" t="s">
        <v>425</v>
      </c>
      <c r="B2201" s="212" t="s">
        <v>412</v>
      </c>
      <c r="C2201" s="212"/>
      <c r="D2201" s="213" t="s">
        <v>410</v>
      </c>
      <c r="E2201" s="219">
        <v>0.2</v>
      </c>
      <c r="F2201" s="214" t="s">
        <v>413</v>
      </c>
      <c r="G2201" s="1527">
        <f t="shared" ref="G2201:G2206" si="128">E2201*F2201</f>
        <v>4.9860000000000007</v>
      </c>
      <c r="H2201" s="1527"/>
    </row>
    <row r="2202" spans="1:8" ht="20.25" customHeight="1">
      <c r="A2202" s="212" t="s">
        <v>491</v>
      </c>
      <c r="B2202" s="212" t="s">
        <v>419</v>
      </c>
      <c r="C2202" s="212"/>
      <c r="D2202" s="213" t="s">
        <v>418</v>
      </c>
      <c r="E2202" s="219">
        <v>1</v>
      </c>
      <c r="F2202" s="214" t="s">
        <v>303</v>
      </c>
      <c r="G2202" s="1527">
        <f t="shared" si="128"/>
        <v>15.1</v>
      </c>
      <c r="H2202" s="1527"/>
    </row>
    <row r="2203" spans="1:8" ht="21" customHeight="1">
      <c r="A2203" s="212" t="s">
        <v>500</v>
      </c>
      <c r="B2203" s="212" t="s">
        <v>420</v>
      </c>
      <c r="C2203" s="212"/>
      <c r="D2203" s="213" t="s">
        <v>408</v>
      </c>
      <c r="E2203" s="219">
        <v>0.2</v>
      </c>
      <c r="F2203" s="214" t="s">
        <v>421</v>
      </c>
      <c r="G2203" s="1527">
        <f t="shared" si="128"/>
        <v>0.70000000000000007</v>
      </c>
      <c r="H2203" s="1527"/>
    </row>
    <row r="2204" spans="1:8" ht="24.75" customHeight="1">
      <c r="A2204" s="212" t="s">
        <v>501</v>
      </c>
      <c r="B2204" s="212" t="s">
        <v>422</v>
      </c>
      <c r="C2204" s="212"/>
      <c r="D2204" s="213" t="s">
        <v>408</v>
      </c>
      <c r="E2204" s="214">
        <v>0.28000000000000003</v>
      </c>
      <c r="F2204" s="214" t="s">
        <v>423</v>
      </c>
      <c r="G2204" s="1527">
        <f t="shared" si="128"/>
        <v>0.34440000000000004</v>
      </c>
      <c r="H2204" s="1527"/>
    </row>
    <row r="2205" spans="1:8" ht="18.75" customHeight="1">
      <c r="A2205" s="212" t="s">
        <v>409</v>
      </c>
      <c r="B2205" s="212" t="s">
        <v>415</v>
      </c>
      <c r="C2205" s="212"/>
      <c r="D2205" s="213" t="s">
        <v>408</v>
      </c>
      <c r="E2205" s="214">
        <v>0.28000000000000003</v>
      </c>
      <c r="F2205" s="214" t="s">
        <v>416</v>
      </c>
      <c r="G2205" s="1527">
        <f t="shared" si="128"/>
        <v>9.240000000000001E-2</v>
      </c>
      <c r="H2205" s="1527"/>
    </row>
    <row r="2206" spans="1:8" ht="19.5" customHeight="1">
      <c r="A2206" s="212" t="s">
        <v>409</v>
      </c>
      <c r="B2206" s="212" t="s">
        <v>414</v>
      </c>
      <c r="C2206" s="212"/>
      <c r="D2206" s="213" t="s">
        <v>408</v>
      </c>
      <c r="E2206" s="214">
        <v>0.28000000000000003</v>
      </c>
      <c r="F2206" s="214" t="s">
        <v>195</v>
      </c>
      <c r="G2206" s="1527">
        <f t="shared" si="128"/>
        <v>1.4000000000000002E-2</v>
      </c>
      <c r="H2206" s="1527"/>
    </row>
    <row r="2207" spans="1:8" s="220" customFormat="1">
      <c r="B2207" s="221"/>
      <c r="C2207" s="222"/>
      <c r="E2207" s="221"/>
      <c r="F2207" s="221"/>
      <c r="G2207" s="221" t="s">
        <v>475</v>
      </c>
      <c r="H2207" s="223">
        <f>SUM(G2200:H2206)</f>
        <v>26.770800000000001</v>
      </c>
    </row>
    <row r="2208" spans="1:8" s="220" customFormat="1">
      <c r="B2208" s="221"/>
      <c r="C2208" s="222"/>
      <c r="E2208" s="221"/>
      <c r="F2208" s="221"/>
      <c r="G2208" s="221" t="s">
        <v>476</v>
      </c>
      <c r="H2208" s="223">
        <f>SUM(G2200:H2201)*0.7237</f>
        <v>7.6133240000000013</v>
      </c>
    </row>
    <row r="2209" spans="1:8">
      <c r="G2209" s="221" t="s">
        <v>477</v>
      </c>
      <c r="H2209" s="224">
        <f>(H2207+H2208)*0.2457</f>
        <v>8.4481792668000004</v>
      </c>
    </row>
    <row r="2210" spans="1:8">
      <c r="G2210" s="221" t="s">
        <v>478</v>
      </c>
      <c r="H2210" s="223">
        <f>SUM(H2207:H2209)</f>
        <v>42.832303266799997</v>
      </c>
    </row>
    <row r="2213" spans="1:8" ht="22.5">
      <c r="A2213" s="211" t="s">
        <v>148</v>
      </c>
      <c r="B2213" s="211" t="s">
        <v>445</v>
      </c>
      <c r="C2213" s="211"/>
      <c r="D2213" s="217" t="s">
        <v>418</v>
      </c>
      <c r="E2213" s="218"/>
      <c r="F2213" s="218"/>
      <c r="G2213" s="1529"/>
      <c r="H2213" s="1530"/>
    </row>
    <row r="2214" spans="1:8" ht="22.5">
      <c r="A2214" s="212" t="s">
        <v>490</v>
      </c>
      <c r="B2214" s="212" t="s">
        <v>446</v>
      </c>
      <c r="C2214" s="212"/>
      <c r="D2214" s="213" t="s">
        <v>408</v>
      </c>
      <c r="E2214" s="219">
        <v>0.12</v>
      </c>
      <c r="F2214" s="214" t="s">
        <v>447</v>
      </c>
      <c r="G2214" s="1527">
        <f>E2214*F2214</f>
        <v>14.76</v>
      </c>
      <c r="H2214" s="1528"/>
    </row>
    <row r="2215" spans="1:8" ht="15">
      <c r="A2215" s="212" t="s">
        <v>424</v>
      </c>
      <c r="B2215" s="212" t="s">
        <v>306</v>
      </c>
      <c r="C2215" s="212"/>
      <c r="D2215" s="213" t="s">
        <v>410</v>
      </c>
      <c r="E2215" s="219">
        <v>0.56000000000000005</v>
      </c>
      <c r="F2215" s="214" t="s">
        <v>411</v>
      </c>
      <c r="G2215" s="1527">
        <f t="shared" ref="G2215:G2225" si="129">E2215*F2215</f>
        <v>15.495200000000002</v>
      </c>
      <c r="H2215" s="1528"/>
    </row>
    <row r="2216" spans="1:8" ht="15">
      <c r="A2216" s="212" t="s">
        <v>425</v>
      </c>
      <c r="B2216" s="212" t="s">
        <v>412</v>
      </c>
      <c r="C2216" s="212"/>
      <c r="D2216" s="213" t="s">
        <v>410</v>
      </c>
      <c r="E2216" s="219">
        <v>0.56000000000000005</v>
      </c>
      <c r="F2216" s="214" t="s">
        <v>413</v>
      </c>
      <c r="G2216" s="1527">
        <f t="shared" si="129"/>
        <v>13.960800000000001</v>
      </c>
      <c r="H2216" s="1528"/>
    </row>
    <row r="2217" spans="1:8" ht="15">
      <c r="A2217" s="212" t="s">
        <v>491</v>
      </c>
      <c r="B2217" s="212" t="s">
        <v>419</v>
      </c>
      <c r="C2217" s="212"/>
      <c r="D2217" s="213" t="s">
        <v>418</v>
      </c>
      <c r="E2217" s="219">
        <v>1.05</v>
      </c>
      <c r="F2217" s="214" t="s">
        <v>303</v>
      </c>
      <c r="G2217" s="1527">
        <f t="shared" si="129"/>
        <v>15.855</v>
      </c>
      <c r="H2217" s="1528"/>
    </row>
    <row r="2218" spans="1:8" ht="15">
      <c r="A2218" s="212" t="s">
        <v>492</v>
      </c>
      <c r="B2218" s="212" t="s">
        <v>448</v>
      </c>
      <c r="C2218" s="212"/>
      <c r="D2218" s="213" t="s">
        <v>418</v>
      </c>
      <c r="E2218" s="214">
        <v>0.6</v>
      </c>
      <c r="F2218" s="214" t="s">
        <v>449</v>
      </c>
      <c r="G2218" s="1527">
        <f t="shared" si="129"/>
        <v>1.9259999999999999</v>
      </c>
      <c r="H2218" s="1528"/>
    </row>
    <row r="2219" spans="1:8" ht="22.5">
      <c r="A2219" s="212" t="s">
        <v>493</v>
      </c>
      <c r="B2219" s="212" t="s">
        <v>450</v>
      </c>
      <c r="C2219" s="212"/>
      <c r="D2219" s="213" t="s">
        <v>408</v>
      </c>
      <c r="E2219" s="214">
        <v>0.18</v>
      </c>
      <c r="F2219" s="214" t="s">
        <v>451</v>
      </c>
      <c r="G2219" s="1527">
        <f t="shared" si="129"/>
        <v>0.47160000000000002</v>
      </c>
      <c r="H2219" s="1528"/>
    </row>
    <row r="2220" spans="1:8" ht="22.5">
      <c r="A2220" s="212" t="s">
        <v>494</v>
      </c>
      <c r="B2220" s="212" t="s">
        <v>452</v>
      </c>
      <c r="C2220" s="212"/>
      <c r="D2220" s="213" t="s">
        <v>408</v>
      </c>
      <c r="E2220" s="214">
        <v>0.82</v>
      </c>
      <c r="F2220" s="214" t="s">
        <v>453</v>
      </c>
      <c r="G2220" s="1527">
        <f t="shared" si="129"/>
        <v>0.83639999999999992</v>
      </c>
      <c r="H2220" s="1528"/>
    </row>
    <row r="2221" spans="1:8" ht="15">
      <c r="A2221" s="212" t="s">
        <v>495</v>
      </c>
      <c r="B2221" s="212" t="s">
        <v>454</v>
      </c>
      <c r="C2221" s="212"/>
      <c r="D2221" s="213" t="s">
        <v>408</v>
      </c>
      <c r="E2221" s="214">
        <v>0.55000000000000004</v>
      </c>
      <c r="F2221" s="214" t="s">
        <v>455</v>
      </c>
      <c r="G2221" s="1527">
        <f t="shared" si="129"/>
        <v>0.57750000000000012</v>
      </c>
      <c r="H2221" s="1528"/>
    </row>
    <row r="2222" spans="1:8" ht="22.5">
      <c r="A2222" s="212" t="s">
        <v>496</v>
      </c>
      <c r="B2222" s="212" t="s">
        <v>456</v>
      </c>
      <c r="C2222" s="212"/>
      <c r="D2222" s="213" t="s">
        <v>408</v>
      </c>
      <c r="E2222" s="214">
        <v>0.12</v>
      </c>
      <c r="F2222" s="214" t="s">
        <v>457</v>
      </c>
      <c r="G2222" s="1527">
        <f t="shared" si="129"/>
        <v>1.2552000000000001</v>
      </c>
      <c r="H2222" s="1528"/>
    </row>
    <row r="2223" spans="1:8" ht="22.5">
      <c r="A2223" s="212" t="s">
        <v>497</v>
      </c>
      <c r="B2223" s="212" t="s">
        <v>458</v>
      </c>
      <c r="C2223" s="212"/>
      <c r="D2223" s="213" t="s">
        <v>408</v>
      </c>
      <c r="E2223" s="214">
        <v>0.12</v>
      </c>
      <c r="F2223" s="214" t="s">
        <v>459</v>
      </c>
      <c r="G2223" s="1527">
        <f t="shared" si="129"/>
        <v>2.1</v>
      </c>
      <c r="H2223" s="1528"/>
    </row>
    <row r="2224" spans="1:8" ht="22.5">
      <c r="A2224" s="212" t="s">
        <v>498</v>
      </c>
      <c r="B2224" s="212" t="s">
        <v>460</v>
      </c>
      <c r="C2224" s="212"/>
      <c r="D2224" s="213" t="s">
        <v>408</v>
      </c>
      <c r="E2224" s="214">
        <v>0.12</v>
      </c>
      <c r="F2224" s="214" t="s">
        <v>461</v>
      </c>
      <c r="G2224" s="1527">
        <f t="shared" si="129"/>
        <v>9.3995999999999995</v>
      </c>
      <c r="H2224" s="1528"/>
    </row>
    <row r="2225" spans="1:8" ht="33.75">
      <c r="A2225" s="212" t="s">
        <v>499</v>
      </c>
      <c r="B2225" s="212" t="s">
        <v>462</v>
      </c>
      <c r="C2225" s="212"/>
      <c r="D2225" s="213" t="s">
        <v>408</v>
      </c>
      <c r="E2225" s="214">
        <v>0.8</v>
      </c>
      <c r="F2225" s="214" t="s">
        <v>463</v>
      </c>
      <c r="G2225" s="1527">
        <f t="shared" si="129"/>
        <v>0.32800000000000001</v>
      </c>
      <c r="H2225" s="1528"/>
    </row>
    <row r="2227" spans="1:8">
      <c r="G2227" s="221" t="s">
        <v>475</v>
      </c>
      <c r="H2227" s="223">
        <f>SUM(G2214:H2225)</f>
        <v>76.965299999999985</v>
      </c>
    </row>
    <row r="2228" spans="1:8">
      <c r="G2228" s="221" t="s">
        <v>476</v>
      </c>
      <c r="H2228" s="223">
        <f>SUM(G2215:H2216)</f>
        <v>29.456000000000003</v>
      </c>
    </row>
    <row r="2229" spans="1:8">
      <c r="G2229" s="221" t="s">
        <v>477</v>
      </c>
      <c r="H2229" s="224">
        <f>SUM(H2227:H2228)*0.2457</f>
        <v>26.147713409999998</v>
      </c>
    </row>
    <row r="2230" spans="1:8">
      <c r="G2230" s="221" t="s">
        <v>478</v>
      </c>
      <c r="H2230" s="223">
        <f>SUM(H2227:H2229)</f>
        <v>132.56901341</v>
      </c>
    </row>
    <row r="2232" spans="1:8" ht="22.5">
      <c r="A2232" s="211" t="s">
        <v>148</v>
      </c>
      <c r="B2232" s="211" t="s">
        <v>464</v>
      </c>
      <c r="C2232" s="211"/>
      <c r="D2232" s="217" t="s">
        <v>418</v>
      </c>
      <c r="E2232" s="218"/>
      <c r="F2232" s="218"/>
      <c r="G2232" s="1529"/>
      <c r="H2232" s="1530"/>
    </row>
    <row r="2233" spans="1:8" ht="22.5">
      <c r="A2233" s="212" t="s">
        <v>474</v>
      </c>
      <c r="B2233" s="212" t="s">
        <v>473</v>
      </c>
      <c r="C2233" s="212"/>
      <c r="D2233" s="213" t="s">
        <v>465</v>
      </c>
      <c r="E2233" s="214">
        <v>0.15</v>
      </c>
      <c r="F2233" s="214">
        <v>79.989999999999995</v>
      </c>
      <c r="G2233" s="1527">
        <f>E2233*F2233</f>
        <v>11.998499999999998</v>
      </c>
      <c r="H2233" s="1528"/>
    </row>
    <row r="2234" spans="1:8" ht="22.5">
      <c r="A2234" s="212" t="s">
        <v>470</v>
      </c>
      <c r="B2234" s="212" t="s">
        <v>466</v>
      </c>
      <c r="C2234" s="212"/>
      <c r="D2234" s="213" t="s">
        <v>465</v>
      </c>
      <c r="E2234" s="214">
        <v>0.13</v>
      </c>
      <c r="F2234" s="214" t="s">
        <v>467</v>
      </c>
      <c r="G2234" s="1527">
        <f t="shared" ref="G2234:G2237" si="130">E2234*F2234</f>
        <v>9.1338000000000008</v>
      </c>
      <c r="H2234" s="1528"/>
    </row>
    <row r="2235" spans="1:8" ht="15">
      <c r="A2235" s="212" t="s">
        <v>424</v>
      </c>
      <c r="B2235" s="212" t="s">
        <v>306</v>
      </c>
      <c r="C2235" s="212"/>
      <c r="D2235" s="213" t="s">
        <v>410</v>
      </c>
      <c r="E2235" s="219">
        <v>0.2</v>
      </c>
      <c r="F2235" s="214" t="s">
        <v>411</v>
      </c>
      <c r="G2235" s="1527">
        <f t="shared" si="130"/>
        <v>5.5340000000000007</v>
      </c>
      <c r="H2235" s="1528"/>
    </row>
    <row r="2236" spans="1:8" ht="15">
      <c r="A2236" s="212" t="s">
        <v>471</v>
      </c>
      <c r="B2236" s="212" t="s">
        <v>412</v>
      </c>
      <c r="C2236" s="212"/>
      <c r="D2236" s="213" t="s">
        <v>410</v>
      </c>
      <c r="E2236" s="219">
        <v>0.2</v>
      </c>
      <c r="F2236" s="214" t="s">
        <v>413</v>
      </c>
      <c r="G2236" s="1527">
        <f t="shared" si="130"/>
        <v>4.9860000000000007</v>
      </c>
      <c r="H2236" s="1528"/>
    </row>
    <row r="2237" spans="1:8" ht="15">
      <c r="A2237" s="212" t="s">
        <v>472</v>
      </c>
      <c r="B2237" s="212" t="s">
        <v>468</v>
      </c>
      <c r="C2237" s="212"/>
      <c r="D2237" s="213" t="s">
        <v>418</v>
      </c>
      <c r="E2237" s="214">
        <v>1.05</v>
      </c>
      <c r="F2237" s="214" t="s">
        <v>469</v>
      </c>
      <c r="G2237" s="1527">
        <f t="shared" si="130"/>
        <v>22.091999999999999</v>
      </c>
      <c r="H2237" s="1528"/>
    </row>
    <row r="2239" spans="1:8">
      <c r="G2239" s="221" t="s">
        <v>475</v>
      </c>
      <c r="H2239" s="223">
        <f>SUM(G2233:H2237)</f>
        <v>53.744299999999996</v>
      </c>
    </row>
    <row r="2240" spans="1:8">
      <c r="G2240" s="221" t="s">
        <v>476</v>
      </c>
      <c r="H2240" s="223">
        <f>SUM(G2235:H2236)</f>
        <v>10.520000000000001</v>
      </c>
    </row>
    <row r="2241" spans="1:8">
      <c r="G2241" s="221" t="s">
        <v>477</v>
      </c>
      <c r="H2241" s="224">
        <f>SUM(H2239:H2240)*0.2457</f>
        <v>15.789738509999998</v>
      </c>
    </row>
    <row r="2242" spans="1:8">
      <c r="G2242" s="221" t="s">
        <v>478</v>
      </c>
      <c r="H2242" s="223">
        <f>SUM(H2239:H2241)</f>
        <v>80.054038509999984</v>
      </c>
    </row>
    <row r="2244" spans="1:8" ht="22.5">
      <c r="A2244" s="211" t="s">
        <v>148</v>
      </c>
      <c r="B2244" s="211" t="s">
        <v>479</v>
      </c>
      <c r="C2244" s="211"/>
      <c r="D2244" s="217" t="s">
        <v>418</v>
      </c>
      <c r="E2244" s="218"/>
      <c r="F2244" s="218"/>
      <c r="G2244" s="1529"/>
      <c r="H2244" s="1530"/>
    </row>
    <row r="2245" spans="1:8" ht="22.5">
      <c r="A2245" s="212" t="s">
        <v>486</v>
      </c>
      <c r="B2245" s="212" t="s">
        <v>480</v>
      </c>
      <c r="C2245" s="212"/>
      <c r="D2245" s="213" t="s">
        <v>408</v>
      </c>
      <c r="E2245" s="214">
        <v>0.12</v>
      </c>
      <c r="F2245" s="214" t="s">
        <v>481</v>
      </c>
      <c r="G2245" s="1527">
        <f>E2245*F2245</f>
        <v>16.8</v>
      </c>
      <c r="H2245" s="1528"/>
    </row>
    <row r="2246" spans="1:8" ht="22.5">
      <c r="A2246" s="212" t="s">
        <v>487</v>
      </c>
      <c r="B2246" s="212" t="s">
        <v>482</v>
      </c>
      <c r="C2246" s="212"/>
      <c r="D2246" s="213" t="s">
        <v>408</v>
      </c>
      <c r="E2246" s="219">
        <v>2</v>
      </c>
      <c r="F2246" s="214" t="s">
        <v>483</v>
      </c>
      <c r="G2246" s="1527">
        <f t="shared" ref="G2246:G2248" si="131">E2246*F2246</f>
        <v>22</v>
      </c>
      <c r="H2246" s="1528"/>
    </row>
    <row r="2247" spans="1:8" ht="15">
      <c r="A2247" s="212" t="s">
        <v>488</v>
      </c>
      <c r="B2247" s="212" t="s">
        <v>306</v>
      </c>
      <c r="C2247" s="212"/>
      <c r="D2247" s="213" t="s">
        <v>410</v>
      </c>
      <c r="E2247" s="214">
        <v>0.55000000000000004</v>
      </c>
      <c r="F2247" s="214" t="s">
        <v>411</v>
      </c>
      <c r="G2247" s="1527">
        <f t="shared" si="131"/>
        <v>15.218500000000002</v>
      </c>
      <c r="H2247" s="1528"/>
    </row>
    <row r="2248" spans="1:8" ht="15">
      <c r="A2248" s="212" t="s">
        <v>471</v>
      </c>
      <c r="B2248" s="212" t="s">
        <v>412</v>
      </c>
      <c r="C2248" s="212"/>
      <c r="D2248" s="213" t="s">
        <v>410</v>
      </c>
      <c r="E2248" s="214">
        <v>0.55000000000000004</v>
      </c>
      <c r="F2248" s="214" t="s">
        <v>413</v>
      </c>
      <c r="G2248" s="1527">
        <f t="shared" si="131"/>
        <v>13.711500000000001</v>
      </c>
      <c r="H2248" s="1528"/>
    </row>
    <row r="2249" spans="1:8" ht="22.5">
      <c r="A2249" s="212" t="s">
        <v>489</v>
      </c>
      <c r="B2249" s="212" t="s">
        <v>484</v>
      </c>
      <c r="C2249" s="212"/>
      <c r="D2249" s="213" t="s">
        <v>408</v>
      </c>
      <c r="E2249" s="219">
        <v>1</v>
      </c>
      <c r="F2249" s="214" t="s">
        <v>485</v>
      </c>
      <c r="G2249" s="1527">
        <f>E2249*F2249</f>
        <v>50.76</v>
      </c>
      <c r="H2249" s="1528"/>
    </row>
    <row r="2251" spans="1:8">
      <c r="G2251" s="221" t="s">
        <v>475</v>
      </c>
      <c r="H2251" s="223">
        <f>SUM(G2245:H2249)</f>
        <v>118.49000000000001</v>
      </c>
    </row>
    <row r="2252" spans="1:8">
      <c r="G2252" s="221" t="s">
        <v>476</v>
      </c>
      <c r="H2252" s="223">
        <f>SUM(G2247:H2248)</f>
        <v>28.930000000000003</v>
      </c>
    </row>
    <row r="2253" spans="1:8">
      <c r="G2253" s="221" t="s">
        <v>477</v>
      </c>
      <c r="H2253" s="224">
        <f>SUM(H2251:H2252)*0.2457</f>
        <v>36.221094000000001</v>
      </c>
    </row>
    <row r="2254" spans="1:8">
      <c r="G2254" s="221" t="s">
        <v>478</v>
      </c>
      <c r="H2254" s="223">
        <f>SUM(H2251:H2253)</f>
        <v>183.64109400000001</v>
      </c>
    </row>
    <row r="2258" spans="1:8">
      <c r="A2258" s="200" t="s">
        <v>505</v>
      </c>
      <c r="B2258" s="199"/>
      <c r="C2258" s="199"/>
      <c r="D2258" s="199"/>
      <c r="E2258" s="199"/>
      <c r="F2258" s="199"/>
      <c r="G2258" s="199"/>
      <c r="H2258" s="199"/>
    </row>
    <row r="2259" spans="1:8" ht="24.75" customHeight="1">
      <c r="A2259" s="1541" t="s">
        <v>506</v>
      </c>
      <c r="B2259" s="1542"/>
      <c r="C2259" s="1542"/>
      <c r="D2259" s="1542"/>
      <c r="E2259" s="1542"/>
      <c r="F2259" s="1542"/>
      <c r="G2259" s="1542"/>
      <c r="H2259" s="1542"/>
    </row>
    <row r="2261" spans="1:8">
      <c r="A2261" s="199" t="s">
        <v>132</v>
      </c>
      <c r="B2261" s="199"/>
      <c r="C2261" s="199"/>
      <c r="D2261" s="199"/>
      <c r="E2261" s="199"/>
      <c r="F2261" s="199"/>
      <c r="G2261" s="199"/>
      <c r="H2261" s="199"/>
    </row>
    <row r="2263" spans="1:8">
      <c r="A2263" s="199" t="s">
        <v>176</v>
      </c>
      <c r="B2263" s="199"/>
      <c r="C2263" s="199"/>
      <c r="D2263" s="199"/>
      <c r="E2263" s="199"/>
      <c r="F2263" s="199"/>
      <c r="G2263" s="199"/>
      <c r="H2263" s="199"/>
    </row>
    <row r="2265" spans="1:8">
      <c r="A2265" s="198" t="s">
        <v>30</v>
      </c>
      <c r="B2265" s="198" t="s">
        <v>19</v>
      </c>
      <c r="C2265" s="198" t="s">
        <v>92</v>
      </c>
      <c r="D2265" s="198" t="s">
        <v>88</v>
      </c>
      <c r="E2265" s="198" t="s">
        <v>93</v>
      </c>
      <c r="F2265" s="198" t="s">
        <v>94</v>
      </c>
      <c r="G2265" s="198" t="s">
        <v>95</v>
      </c>
      <c r="H2265" s="198" t="s">
        <v>96</v>
      </c>
    </row>
    <row r="2266" spans="1:8">
      <c r="A2266" s="199" t="s">
        <v>136</v>
      </c>
      <c r="B2266" s="199" t="s">
        <v>72</v>
      </c>
      <c r="C2266" s="199" t="s">
        <v>117</v>
      </c>
      <c r="D2266" s="199" t="s">
        <v>118</v>
      </c>
      <c r="E2266" s="199">
        <v>0.56999999999999995</v>
      </c>
      <c r="F2266" s="199">
        <v>6.46</v>
      </c>
      <c r="G2266" s="199">
        <v>3.68</v>
      </c>
      <c r="H2266" s="199">
        <v>0.56999999999999995</v>
      </c>
    </row>
    <row r="2267" spans="1:8">
      <c r="A2267" s="199" t="s">
        <v>137</v>
      </c>
      <c r="B2267" s="199" t="s">
        <v>73</v>
      </c>
      <c r="C2267" s="199" t="s">
        <v>117</v>
      </c>
      <c r="D2267" s="199" t="s">
        <v>118</v>
      </c>
      <c r="E2267" s="199">
        <v>0.65</v>
      </c>
      <c r="F2267" s="199">
        <v>4.8</v>
      </c>
      <c r="G2267" s="199">
        <v>3.12</v>
      </c>
      <c r="H2267" s="199">
        <v>0.65</v>
      </c>
    </row>
    <row r="2268" spans="1:8">
      <c r="A2268" s="199" t="s">
        <v>507</v>
      </c>
      <c r="B2268" s="199" t="s">
        <v>508</v>
      </c>
      <c r="C2268" s="199" t="s">
        <v>99</v>
      </c>
      <c r="D2268" s="199" t="s">
        <v>3</v>
      </c>
      <c r="E2268" s="199">
        <v>1.2500000000000001E-2</v>
      </c>
      <c r="F2268" s="199">
        <v>131.43</v>
      </c>
      <c r="G2268" s="199">
        <v>1.64</v>
      </c>
      <c r="H2268" s="199">
        <v>1.2500000000000001E-2</v>
      </c>
    </row>
    <row r="2269" spans="1:8">
      <c r="A2269" s="199" t="s">
        <v>509</v>
      </c>
      <c r="B2269" s="199" t="s">
        <v>510</v>
      </c>
      <c r="C2269" s="199" t="s">
        <v>99</v>
      </c>
      <c r="D2269" s="199" t="s">
        <v>115</v>
      </c>
      <c r="E2269" s="199">
        <v>1.87</v>
      </c>
      <c r="F2269" s="199">
        <v>0.48</v>
      </c>
      <c r="G2269" s="199">
        <v>0.9</v>
      </c>
      <c r="H2269" s="199">
        <v>1.87</v>
      </c>
    </row>
    <row r="2270" spans="1:8">
      <c r="A2270" s="199" t="s">
        <v>511</v>
      </c>
      <c r="B2270" s="199" t="s">
        <v>512</v>
      </c>
      <c r="C2270" s="199" t="s">
        <v>99</v>
      </c>
      <c r="D2270" s="199" t="s">
        <v>115</v>
      </c>
      <c r="E2270" s="199">
        <v>1.87</v>
      </c>
      <c r="F2270" s="199">
        <v>0.59</v>
      </c>
      <c r="G2270" s="199">
        <v>1.1000000000000001</v>
      </c>
      <c r="H2270" s="199">
        <v>1.87</v>
      </c>
    </row>
    <row r="2271" spans="1:8">
      <c r="A2271" s="199" t="s">
        <v>513</v>
      </c>
      <c r="B2271" s="199" t="s">
        <v>514</v>
      </c>
      <c r="C2271" s="199" t="s">
        <v>99</v>
      </c>
      <c r="D2271" s="199" t="s">
        <v>5</v>
      </c>
      <c r="E2271" s="199">
        <v>13.125</v>
      </c>
      <c r="F2271" s="199">
        <v>2.2599999999999998</v>
      </c>
      <c r="G2271" s="199">
        <v>29.66</v>
      </c>
      <c r="H2271" s="199">
        <v>13.125</v>
      </c>
    </row>
    <row r="2272" spans="1:8">
      <c r="A2272" s="199"/>
      <c r="B2272" s="199"/>
      <c r="C2272" s="199"/>
      <c r="D2272" s="199"/>
      <c r="E2272" s="199"/>
      <c r="F2272" s="199" t="s">
        <v>103</v>
      </c>
      <c r="G2272" s="199">
        <v>6.8</v>
      </c>
      <c r="H2272" s="199"/>
    </row>
    <row r="2273" spans="1:8">
      <c r="A2273" s="199"/>
      <c r="B2273" s="199"/>
      <c r="C2273" s="199"/>
      <c r="D2273" s="199"/>
      <c r="E2273" s="199"/>
      <c r="F2273" s="199" t="s">
        <v>105</v>
      </c>
      <c r="G2273" s="199">
        <v>33.299999999999997</v>
      </c>
      <c r="H2273" s="199"/>
    </row>
    <row r="2274" spans="1:8">
      <c r="A2274" s="199"/>
      <c r="B2274" s="199"/>
      <c r="C2274" s="199"/>
      <c r="D2274" s="199"/>
      <c r="E2274" s="199"/>
      <c r="F2274" s="199" t="s">
        <v>106</v>
      </c>
      <c r="G2274" s="199">
        <v>40.1</v>
      </c>
      <c r="H2274" s="199"/>
    </row>
    <row r="2276" spans="1:8">
      <c r="A2276" s="200" t="s">
        <v>107</v>
      </c>
      <c r="B2276" s="199"/>
      <c r="C2276" s="199"/>
      <c r="D2276" s="199"/>
      <c r="E2276" s="199"/>
      <c r="F2276" s="199"/>
      <c r="G2276" s="199"/>
      <c r="H2276" s="199"/>
    </row>
    <row r="2277" spans="1:8">
      <c r="A2277" s="199" t="s">
        <v>108</v>
      </c>
      <c r="B2277" s="199">
        <v>40.1</v>
      </c>
      <c r="C2277" s="199"/>
      <c r="D2277" s="199"/>
      <c r="E2277" s="199"/>
      <c r="F2277" s="199"/>
      <c r="G2277" s="199"/>
      <c r="H2277" s="199"/>
    </row>
    <row r="2278" spans="1:8">
      <c r="A2278" s="199" t="s">
        <v>109</v>
      </c>
      <c r="B2278" s="199">
        <v>4.92</v>
      </c>
      <c r="C2278" s="199"/>
      <c r="D2278" s="199"/>
      <c r="E2278" s="199"/>
      <c r="F2278" s="199"/>
      <c r="G2278" s="199"/>
      <c r="H2278" s="199"/>
    </row>
    <row r="2279" spans="1:8">
      <c r="A2279" s="199" t="s">
        <v>110</v>
      </c>
      <c r="B2279" s="199">
        <v>11.06</v>
      </c>
      <c r="C2279" s="199"/>
      <c r="D2279" s="199"/>
      <c r="E2279" s="199"/>
      <c r="F2279" s="199"/>
      <c r="G2279" s="199"/>
      <c r="H2279" s="199"/>
    </row>
    <row r="2280" spans="1:8">
      <c r="A2280" s="199" t="s">
        <v>111</v>
      </c>
      <c r="B2280" s="199">
        <v>56.08</v>
      </c>
      <c r="C2280" s="199"/>
      <c r="D2280" s="199"/>
      <c r="E2280" s="199"/>
      <c r="F2280" s="199"/>
      <c r="G2280" s="199"/>
      <c r="H2280" s="199"/>
    </row>
    <row r="2282" spans="1:8">
      <c r="A2282" s="1518" t="s">
        <v>515</v>
      </c>
      <c r="B2282" s="1519"/>
      <c r="C2282" s="1519"/>
      <c r="D2282" s="1519"/>
      <c r="E2282" s="1519"/>
      <c r="F2282" s="1519"/>
      <c r="G2282" s="1519"/>
      <c r="H2282" s="1519"/>
    </row>
    <row r="2283" spans="1:8">
      <c r="A2283" s="1518" t="s">
        <v>516</v>
      </c>
      <c r="B2283" s="1519"/>
      <c r="C2283" s="1519"/>
      <c r="D2283" s="1519"/>
      <c r="E2283" s="1519"/>
      <c r="F2283" s="1519"/>
      <c r="G2283" s="1519"/>
      <c r="H2283" s="1519"/>
    </row>
    <row r="2285" spans="1:8">
      <c r="A2285" s="1519" t="s">
        <v>91</v>
      </c>
      <c r="B2285" s="1519"/>
      <c r="C2285" s="1519"/>
      <c r="D2285" s="1519"/>
      <c r="E2285" s="1519"/>
      <c r="F2285" s="1519"/>
      <c r="G2285" s="1519"/>
      <c r="H2285" s="1519"/>
    </row>
    <row r="2287" spans="1:8">
      <c r="A2287" s="1519" t="s">
        <v>112</v>
      </c>
      <c r="B2287" s="1519"/>
      <c r="C2287" s="1519"/>
      <c r="D2287" s="1519"/>
      <c r="E2287" s="1519"/>
      <c r="F2287" s="1519"/>
      <c r="G2287" s="1519"/>
      <c r="H2287" s="1519"/>
    </row>
    <row r="2289" spans="1:8">
      <c r="A2289" s="198" t="s">
        <v>30</v>
      </c>
      <c r="B2289" s="198" t="s">
        <v>19</v>
      </c>
      <c r="C2289" s="198" t="s">
        <v>92</v>
      </c>
      <c r="D2289" s="198" t="s">
        <v>88</v>
      </c>
      <c r="E2289" s="198" t="s">
        <v>93</v>
      </c>
      <c r="F2289" s="198" t="s">
        <v>94</v>
      </c>
      <c r="G2289" s="198" t="s">
        <v>95</v>
      </c>
      <c r="H2289" s="198" t="s">
        <v>96</v>
      </c>
    </row>
    <row r="2290" spans="1:8">
      <c r="A2290" s="199" t="s">
        <v>517</v>
      </c>
      <c r="B2290" s="199" t="s">
        <v>518</v>
      </c>
      <c r="C2290" s="199" t="s">
        <v>121</v>
      </c>
      <c r="D2290" s="199" t="s">
        <v>125</v>
      </c>
      <c r="E2290" s="199" t="s">
        <v>519</v>
      </c>
      <c r="F2290" s="199" t="s">
        <v>520</v>
      </c>
      <c r="G2290" s="199" t="s">
        <v>521</v>
      </c>
      <c r="H2290" s="199" t="s">
        <v>519</v>
      </c>
    </row>
    <row r="2291" spans="1:8">
      <c r="A2291" s="199" t="s">
        <v>130</v>
      </c>
      <c r="B2291" s="199" t="s">
        <v>131</v>
      </c>
      <c r="C2291" s="199" t="s">
        <v>121</v>
      </c>
      <c r="D2291" s="199" t="s">
        <v>118</v>
      </c>
      <c r="E2291" s="199" t="s">
        <v>522</v>
      </c>
      <c r="F2291" s="199" t="s">
        <v>162</v>
      </c>
      <c r="G2291" s="199" t="s">
        <v>523</v>
      </c>
      <c r="H2291" s="199" t="s">
        <v>522</v>
      </c>
    </row>
    <row r="2292" spans="1:8">
      <c r="A2292" s="199" t="s">
        <v>122</v>
      </c>
      <c r="B2292" s="199" t="s">
        <v>123</v>
      </c>
      <c r="C2292" s="199" t="s">
        <v>121</v>
      </c>
      <c r="D2292" s="199" t="s">
        <v>118</v>
      </c>
      <c r="E2292" s="199" t="s">
        <v>524</v>
      </c>
      <c r="F2292" s="199" t="s">
        <v>155</v>
      </c>
      <c r="G2292" s="199" t="s">
        <v>455</v>
      </c>
      <c r="H2292" s="199" t="s">
        <v>524</v>
      </c>
    </row>
    <row r="2293" spans="1:8">
      <c r="A2293" s="199"/>
      <c r="B2293" s="199"/>
      <c r="C2293" s="199"/>
      <c r="D2293" s="199"/>
      <c r="E2293" s="199"/>
      <c r="F2293" s="199" t="s">
        <v>103</v>
      </c>
      <c r="G2293" s="199" t="s">
        <v>525</v>
      </c>
      <c r="H2293" s="199"/>
    </row>
    <row r="2294" spans="1:8">
      <c r="A2294" s="199"/>
      <c r="B2294" s="199"/>
      <c r="C2294" s="199"/>
      <c r="D2294" s="199"/>
      <c r="E2294" s="199"/>
      <c r="F2294" s="199" t="s">
        <v>105</v>
      </c>
      <c r="G2294" s="199" t="s">
        <v>526</v>
      </c>
      <c r="H2294" s="199"/>
    </row>
    <row r="2295" spans="1:8">
      <c r="A2295" s="199"/>
      <c r="B2295" s="199"/>
      <c r="C2295" s="199"/>
      <c r="D2295" s="199"/>
      <c r="E2295" s="199"/>
      <c r="F2295" s="199" t="s">
        <v>106</v>
      </c>
      <c r="G2295" s="199" t="s">
        <v>527</v>
      </c>
      <c r="H2295" s="199"/>
    </row>
    <row r="2297" spans="1:8">
      <c r="A2297" s="1518" t="s">
        <v>107</v>
      </c>
      <c r="B2297" s="1519"/>
      <c r="C2297" s="1519"/>
      <c r="D2297" s="1519"/>
      <c r="E2297" s="1519"/>
      <c r="F2297" s="1519"/>
      <c r="G2297" s="1519"/>
      <c r="H2297" s="1519"/>
    </row>
    <row r="2298" spans="1:8">
      <c r="A2298" s="199" t="s">
        <v>108</v>
      </c>
      <c r="B2298" s="199" t="s">
        <v>527</v>
      </c>
      <c r="C2298" s="199"/>
      <c r="D2298" s="199"/>
      <c r="E2298" s="199"/>
      <c r="F2298" s="199"/>
      <c r="G2298" s="199"/>
      <c r="H2298" s="199"/>
    </row>
    <row r="2299" spans="1:8">
      <c r="A2299" s="199" t="s">
        <v>109</v>
      </c>
      <c r="B2299" s="199" t="s">
        <v>528</v>
      </c>
      <c r="C2299" s="199"/>
      <c r="D2299" s="199"/>
      <c r="E2299" s="199"/>
      <c r="F2299" s="199"/>
      <c r="G2299" s="199"/>
      <c r="H2299" s="199"/>
    </row>
    <row r="2300" spans="1:8">
      <c r="A2300" s="199" t="s">
        <v>110</v>
      </c>
      <c r="B2300" s="199" t="s">
        <v>529</v>
      </c>
      <c r="C2300" s="199"/>
      <c r="D2300" s="199"/>
      <c r="E2300" s="199"/>
      <c r="F2300" s="199"/>
      <c r="G2300" s="199"/>
      <c r="H2300" s="199"/>
    </row>
    <row r="2301" spans="1:8">
      <c r="A2301" s="199" t="s">
        <v>111</v>
      </c>
      <c r="B2301" s="199" t="s">
        <v>530</v>
      </c>
      <c r="C2301" s="199"/>
      <c r="D2301" s="199"/>
      <c r="E2301" s="199"/>
      <c r="F2301" s="199"/>
      <c r="G2301" s="199"/>
      <c r="H2301" s="199"/>
    </row>
    <row r="2303" spans="1:8">
      <c r="A2303" s="1518" t="s">
        <v>537</v>
      </c>
      <c r="B2303" s="1519"/>
      <c r="C2303" s="1519"/>
      <c r="D2303" s="1519"/>
      <c r="E2303" s="1519"/>
      <c r="F2303" s="1519"/>
      <c r="G2303" s="1519"/>
      <c r="H2303" s="1519"/>
    </row>
    <row r="2304" spans="1:8">
      <c r="A2304" s="1518" t="s">
        <v>538</v>
      </c>
      <c r="B2304" s="1519"/>
      <c r="C2304" s="1519"/>
      <c r="D2304" s="1519"/>
      <c r="E2304" s="1519"/>
      <c r="F2304" s="1519"/>
      <c r="G2304" s="1519"/>
      <c r="H2304" s="1519"/>
    </row>
    <row r="2306" spans="1:8">
      <c r="A2306" s="1519" t="s">
        <v>531</v>
      </c>
      <c r="B2306" s="1519"/>
      <c r="C2306" s="1519"/>
      <c r="D2306" s="1519"/>
      <c r="E2306" s="1519"/>
      <c r="F2306" s="1519"/>
      <c r="G2306" s="1519"/>
      <c r="H2306" s="1519"/>
    </row>
    <row r="2308" spans="1:8">
      <c r="A2308" s="1519" t="s">
        <v>112</v>
      </c>
      <c r="B2308" s="1519"/>
      <c r="C2308" s="1519"/>
      <c r="D2308" s="1519"/>
      <c r="E2308" s="1519"/>
      <c r="F2308" s="1519"/>
      <c r="G2308" s="1519"/>
      <c r="H2308" s="1519"/>
    </row>
    <row r="2310" spans="1:8">
      <c r="A2310" s="198" t="s">
        <v>30</v>
      </c>
      <c r="B2310" s="198" t="s">
        <v>19</v>
      </c>
      <c r="C2310" s="198" t="s">
        <v>92</v>
      </c>
      <c r="D2310" s="198" t="s">
        <v>88</v>
      </c>
      <c r="E2310" s="198" t="s">
        <v>93</v>
      </c>
      <c r="F2310" s="198" t="s">
        <v>94</v>
      </c>
      <c r="G2310" s="198" t="s">
        <v>95</v>
      </c>
      <c r="H2310" s="198" t="s">
        <v>96</v>
      </c>
    </row>
    <row r="2311" spans="1:8">
      <c r="A2311" s="199" t="s">
        <v>539</v>
      </c>
      <c r="B2311" s="199" t="s">
        <v>540</v>
      </c>
      <c r="C2311" s="199" t="s">
        <v>99</v>
      </c>
      <c r="D2311" s="199" t="s">
        <v>115</v>
      </c>
      <c r="E2311" s="199" t="s">
        <v>541</v>
      </c>
      <c r="F2311" s="199" t="s">
        <v>270</v>
      </c>
      <c r="G2311" s="199" t="s">
        <v>536</v>
      </c>
      <c r="H2311" s="199" t="s">
        <v>541</v>
      </c>
    </row>
    <row r="2312" spans="1:8">
      <c r="A2312" s="199" t="s">
        <v>542</v>
      </c>
      <c r="B2312" s="199" t="s">
        <v>543</v>
      </c>
      <c r="C2312" s="199" t="s">
        <v>544</v>
      </c>
      <c r="D2312" s="199" t="s">
        <v>118</v>
      </c>
      <c r="E2312" s="199" t="s">
        <v>545</v>
      </c>
      <c r="F2312" s="199" t="s">
        <v>546</v>
      </c>
      <c r="G2312" s="199" t="s">
        <v>195</v>
      </c>
      <c r="H2312" s="199" t="s">
        <v>545</v>
      </c>
    </row>
    <row r="2313" spans="1:8">
      <c r="A2313" s="199" t="s">
        <v>532</v>
      </c>
      <c r="B2313" s="199" t="s">
        <v>143</v>
      </c>
      <c r="C2313" s="199" t="s">
        <v>117</v>
      </c>
      <c r="D2313" s="199" t="s">
        <v>118</v>
      </c>
      <c r="E2313" s="199" t="s">
        <v>161</v>
      </c>
      <c r="F2313" s="199" t="s">
        <v>533</v>
      </c>
      <c r="G2313" s="199" t="s">
        <v>254</v>
      </c>
      <c r="H2313" s="199" t="s">
        <v>161</v>
      </c>
    </row>
    <row r="2314" spans="1:8">
      <c r="A2314" s="199" t="s">
        <v>534</v>
      </c>
      <c r="B2314" s="199" t="s">
        <v>116</v>
      </c>
      <c r="C2314" s="199" t="s">
        <v>117</v>
      </c>
      <c r="D2314" s="199" t="s">
        <v>118</v>
      </c>
      <c r="E2314" s="199" t="s">
        <v>547</v>
      </c>
      <c r="F2314" s="199" t="s">
        <v>535</v>
      </c>
      <c r="G2314" s="199" t="s">
        <v>548</v>
      </c>
      <c r="H2314" s="199" t="s">
        <v>547</v>
      </c>
    </row>
    <row r="2315" spans="1:8">
      <c r="A2315" s="199"/>
      <c r="B2315" s="199"/>
      <c r="C2315" s="199"/>
      <c r="D2315" s="199"/>
      <c r="E2315" s="199"/>
      <c r="F2315" s="199" t="s">
        <v>103</v>
      </c>
      <c r="G2315" s="199" t="s">
        <v>549</v>
      </c>
      <c r="H2315" s="199"/>
    </row>
    <row r="2316" spans="1:8">
      <c r="A2316" s="199"/>
      <c r="B2316" s="199"/>
      <c r="C2316" s="199"/>
      <c r="D2316" s="199"/>
      <c r="E2316" s="199"/>
      <c r="F2316" s="199" t="s">
        <v>105</v>
      </c>
      <c r="G2316" s="199" t="s">
        <v>550</v>
      </c>
      <c r="H2316" s="199"/>
    </row>
    <row r="2317" spans="1:8">
      <c r="A2317" s="199"/>
      <c r="B2317" s="199"/>
      <c r="C2317" s="199"/>
      <c r="D2317" s="199"/>
      <c r="E2317" s="199"/>
      <c r="F2317" s="199" t="s">
        <v>106</v>
      </c>
      <c r="G2317" s="199" t="s">
        <v>551</v>
      </c>
      <c r="H2317" s="199"/>
    </row>
    <row r="2319" spans="1:8">
      <c r="A2319" s="1518" t="s">
        <v>107</v>
      </c>
      <c r="B2319" s="1519"/>
      <c r="C2319" s="1519"/>
      <c r="D2319" s="1519"/>
      <c r="E2319" s="1519"/>
      <c r="F2319" s="1519"/>
      <c r="G2319" s="1519"/>
      <c r="H2319" s="1519"/>
    </row>
    <row r="2320" spans="1:8">
      <c r="A2320" s="199" t="s">
        <v>108</v>
      </c>
      <c r="B2320" s="199" t="s">
        <v>551</v>
      </c>
      <c r="C2320" s="199"/>
      <c r="D2320" s="199"/>
      <c r="E2320" s="199"/>
      <c r="F2320" s="199"/>
      <c r="G2320" s="199"/>
      <c r="H2320" s="199"/>
    </row>
    <row r="2321" spans="1:8">
      <c r="A2321" s="199" t="s">
        <v>109</v>
      </c>
      <c r="B2321" s="199" t="s">
        <v>552</v>
      </c>
      <c r="C2321" s="199"/>
      <c r="D2321" s="199"/>
      <c r="E2321" s="199"/>
      <c r="F2321" s="199"/>
      <c r="G2321" s="199"/>
      <c r="H2321" s="199"/>
    </row>
    <row r="2322" spans="1:8">
      <c r="A2322" s="199" t="s">
        <v>110</v>
      </c>
      <c r="B2322" s="199" t="s">
        <v>314</v>
      </c>
      <c r="C2322" s="199"/>
      <c r="D2322" s="199"/>
      <c r="E2322" s="199"/>
      <c r="F2322" s="199"/>
      <c r="G2322" s="199"/>
      <c r="H2322" s="199"/>
    </row>
    <row r="2323" spans="1:8">
      <c r="A2323" s="199" t="s">
        <v>111</v>
      </c>
      <c r="B2323" s="199" t="s">
        <v>553</v>
      </c>
      <c r="C2323" s="199"/>
      <c r="D2323" s="199"/>
      <c r="E2323" s="199"/>
      <c r="F2323" s="199"/>
      <c r="G2323" s="199"/>
      <c r="H2323" s="199"/>
    </row>
    <row r="2326" spans="1:8">
      <c r="A2326" s="1518" t="s">
        <v>554</v>
      </c>
      <c r="B2326" s="1519"/>
      <c r="C2326" s="1519"/>
      <c r="D2326" s="1519"/>
      <c r="E2326" s="1519"/>
      <c r="F2326" s="1519"/>
      <c r="G2326" s="1519"/>
      <c r="H2326" s="1519"/>
    </row>
    <row r="2327" spans="1:8">
      <c r="A2327" s="1518" t="s">
        <v>555</v>
      </c>
      <c r="B2327" s="1519"/>
      <c r="C2327" s="1519"/>
      <c r="D2327" s="1519"/>
      <c r="E2327" s="1519"/>
      <c r="F2327" s="1519"/>
      <c r="G2327" s="1519"/>
      <c r="H2327" s="1519"/>
    </row>
    <row r="2329" spans="1:8">
      <c r="A2329" s="1519" t="s">
        <v>128</v>
      </c>
      <c r="B2329" s="1519"/>
      <c r="C2329" s="1519"/>
      <c r="D2329" s="1519"/>
      <c r="E2329" s="1519"/>
      <c r="F2329" s="1519"/>
      <c r="G2329" s="1519"/>
      <c r="H2329" s="1519"/>
    </row>
    <row r="2331" spans="1:8">
      <c r="A2331" s="1519" t="s">
        <v>112</v>
      </c>
      <c r="B2331" s="1519"/>
      <c r="C2331" s="1519"/>
      <c r="D2331" s="1519"/>
      <c r="E2331" s="1519"/>
      <c r="F2331" s="1519"/>
      <c r="G2331" s="1519"/>
      <c r="H2331" s="1519"/>
    </row>
    <row r="2333" spans="1:8">
      <c r="A2333" s="198" t="s">
        <v>30</v>
      </c>
      <c r="B2333" s="198" t="s">
        <v>19</v>
      </c>
      <c r="C2333" s="198" t="s">
        <v>92</v>
      </c>
      <c r="D2333" s="198" t="s">
        <v>88</v>
      </c>
      <c r="E2333" s="198" t="s">
        <v>93</v>
      </c>
      <c r="F2333" s="198" t="s">
        <v>94</v>
      </c>
      <c r="G2333" s="198" t="s">
        <v>95</v>
      </c>
      <c r="H2333" s="198" t="s">
        <v>96</v>
      </c>
    </row>
    <row r="2334" spans="1:8">
      <c r="A2334" s="199" t="s">
        <v>556</v>
      </c>
      <c r="B2334" s="199" t="s">
        <v>557</v>
      </c>
      <c r="C2334" s="199" t="s">
        <v>99</v>
      </c>
      <c r="D2334" s="199" t="s">
        <v>113</v>
      </c>
      <c r="E2334" s="199" t="s">
        <v>114</v>
      </c>
      <c r="F2334" s="199" t="s">
        <v>558</v>
      </c>
      <c r="G2334" s="199" t="s">
        <v>558</v>
      </c>
      <c r="H2334" s="199" t="s">
        <v>114</v>
      </c>
    </row>
    <row r="2335" spans="1:8">
      <c r="A2335" s="199"/>
      <c r="B2335" s="199"/>
      <c r="C2335" s="199"/>
      <c r="D2335" s="199"/>
      <c r="E2335" s="199"/>
      <c r="F2335" s="199" t="s">
        <v>103</v>
      </c>
      <c r="G2335" s="199" t="s">
        <v>104</v>
      </c>
      <c r="H2335" s="199"/>
    </row>
    <row r="2336" spans="1:8">
      <c r="A2336" s="199"/>
      <c r="B2336" s="199"/>
      <c r="C2336" s="199"/>
      <c r="D2336" s="199"/>
      <c r="E2336" s="199"/>
      <c r="F2336" s="199" t="s">
        <v>105</v>
      </c>
      <c r="G2336" s="199" t="s">
        <v>558</v>
      </c>
      <c r="H2336" s="199"/>
    </row>
    <row r="2337" spans="1:8">
      <c r="A2337" s="199"/>
      <c r="B2337" s="199"/>
      <c r="C2337" s="199"/>
      <c r="D2337" s="199"/>
      <c r="E2337" s="199"/>
      <c r="F2337" s="199" t="s">
        <v>106</v>
      </c>
      <c r="G2337" s="199" t="s">
        <v>558</v>
      </c>
      <c r="H2337" s="199"/>
    </row>
    <row r="2339" spans="1:8">
      <c r="A2339" s="1518" t="s">
        <v>107</v>
      </c>
      <c r="B2339" s="1519"/>
      <c r="C2339" s="1519"/>
      <c r="D2339" s="1519"/>
      <c r="E2339" s="1519"/>
      <c r="F2339" s="1519"/>
      <c r="G2339" s="1519"/>
      <c r="H2339" s="1519"/>
    </row>
    <row r="2340" spans="1:8">
      <c r="A2340" s="199" t="s">
        <v>108</v>
      </c>
      <c r="B2340" s="199" t="s">
        <v>558</v>
      </c>
      <c r="C2340" s="199"/>
      <c r="D2340" s="199"/>
      <c r="E2340" s="199"/>
      <c r="F2340" s="199"/>
      <c r="G2340" s="199"/>
      <c r="H2340" s="199"/>
    </row>
    <row r="2341" spans="1:8">
      <c r="A2341" s="199" t="s">
        <v>109</v>
      </c>
      <c r="B2341" s="199" t="s">
        <v>104</v>
      </c>
      <c r="C2341" s="199"/>
      <c r="D2341" s="199"/>
      <c r="E2341" s="199"/>
      <c r="F2341" s="199"/>
      <c r="G2341" s="199"/>
      <c r="H2341" s="199"/>
    </row>
    <row r="2342" spans="1:8">
      <c r="A2342" s="199" t="s">
        <v>110</v>
      </c>
      <c r="B2342" s="199" t="s">
        <v>559</v>
      </c>
      <c r="C2342" s="199"/>
      <c r="D2342" s="199"/>
      <c r="E2342" s="199"/>
      <c r="F2342" s="199"/>
      <c r="G2342" s="199"/>
      <c r="H2342" s="199"/>
    </row>
    <row r="2343" spans="1:8">
      <c r="A2343" s="199" t="s">
        <v>111</v>
      </c>
      <c r="B2343" s="199" t="s">
        <v>560</v>
      </c>
      <c r="C2343" s="199"/>
      <c r="D2343" s="199"/>
      <c r="E2343" s="199"/>
      <c r="F2343" s="199"/>
      <c r="G2343" s="199"/>
      <c r="H2343" s="199"/>
    </row>
    <row r="2344" spans="1:8">
      <c r="A2344" s="207"/>
      <c r="B2344" s="207"/>
      <c r="C2344" s="207"/>
      <c r="D2344" s="207"/>
      <c r="E2344" s="207"/>
      <c r="F2344" s="207"/>
      <c r="G2344" s="207"/>
      <c r="H2344" s="207"/>
    </row>
    <row r="2345" spans="1:8">
      <c r="A2345" s="1518" t="s">
        <v>576</v>
      </c>
      <c r="B2345" s="1519"/>
      <c r="C2345" s="1519"/>
      <c r="D2345" s="1519"/>
      <c r="E2345" s="1519"/>
      <c r="F2345" s="1519"/>
      <c r="G2345" s="1519"/>
      <c r="H2345" s="1519"/>
    </row>
    <row r="2346" spans="1:8">
      <c r="A2346" s="1518" t="s">
        <v>577</v>
      </c>
      <c r="B2346" s="1519"/>
      <c r="C2346" s="1519"/>
      <c r="D2346" s="1519"/>
      <c r="E2346" s="1519"/>
      <c r="F2346" s="1519"/>
      <c r="G2346" s="1519"/>
      <c r="H2346" s="1519"/>
    </row>
    <row r="2347" spans="1:8">
      <c r="A2347" s="207"/>
      <c r="B2347" s="207"/>
      <c r="C2347" s="207"/>
      <c r="D2347" s="207"/>
      <c r="E2347" s="207"/>
      <c r="F2347" s="207"/>
      <c r="G2347" s="207"/>
      <c r="H2347" s="207"/>
    </row>
    <row r="2348" spans="1:8">
      <c r="A2348" s="1519" t="s">
        <v>132</v>
      </c>
      <c r="B2348" s="1519"/>
      <c r="C2348" s="1519"/>
      <c r="D2348" s="1519"/>
      <c r="E2348" s="1519"/>
      <c r="F2348" s="1519"/>
      <c r="G2348" s="1519"/>
      <c r="H2348" s="1519"/>
    </row>
    <row r="2349" spans="1:8">
      <c r="A2349" s="207"/>
      <c r="B2349" s="207"/>
      <c r="C2349" s="207"/>
      <c r="D2349" s="207"/>
      <c r="E2349" s="207"/>
      <c r="F2349" s="207"/>
      <c r="G2349" s="207"/>
      <c r="H2349" s="207"/>
    </row>
    <row r="2350" spans="1:8">
      <c r="A2350" s="1519" t="s">
        <v>176</v>
      </c>
      <c r="B2350" s="1519"/>
      <c r="C2350" s="1519"/>
      <c r="D2350" s="1519"/>
      <c r="E2350" s="1519"/>
      <c r="F2350" s="1519"/>
      <c r="G2350" s="1519"/>
      <c r="H2350" s="1519"/>
    </row>
    <row r="2351" spans="1:8">
      <c r="A2351" s="207"/>
      <c r="B2351" s="207"/>
      <c r="C2351" s="207"/>
      <c r="D2351" s="207"/>
      <c r="E2351" s="207"/>
      <c r="F2351" s="207"/>
      <c r="G2351" s="207"/>
      <c r="H2351" s="207"/>
    </row>
    <row r="2352" spans="1:8">
      <c r="A2352" s="198" t="s">
        <v>30</v>
      </c>
      <c r="B2352" s="198" t="s">
        <v>19</v>
      </c>
      <c r="C2352" s="198" t="s">
        <v>92</v>
      </c>
      <c r="D2352" s="198" t="s">
        <v>88</v>
      </c>
      <c r="E2352" s="198" t="s">
        <v>93</v>
      </c>
      <c r="F2352" s="198" t="s">
        <v>94</v>
      </c>
      <c r="G2352" s="198" t="s">
        <v>95</v>
      </c>
      <c r="H2352" s="198" t="s">
        <v>96</v>
      </c>
    </row>
    <row r="2353" spans="1:8">
      <c r="A2353" s="207" t="s">
        <v>136</v>
      </c>
      <c r="B2353" s="207" t="s">
        <v>72</v>
      </c>
      <c r="C2353" s="207" t="s">
        <v>117</v>
      </c>
      <c r="D2353" s="207" t="s">
        <v>118</v>
      </c>
      <c r="E2353" s="207" t="s">
        <v>243</v>
      </c>
      <c r="F2353" s="207" t="s">
        <v>135</v>
      </c>
      <c r="G2353" s="207" t="s">
        <v>563</v>
      </c>
      <c r="H2353" s="207" t="s">
        <v>243</v>
      </c>
    </row>
    <row r="2354" spans="1:8">
      <c r="A2354" s="207" t="s">
        <v>137</v>
      </c>
      <c r="B2354" s="207" t="s">
        <v>73</v>
      </c>
      <c r="C2354" s="207" t="s">
        <v>117</v>
      </c>
      <c r="D2354" s="207" t="s">
        <v>118</v>
      </c>
      <c r="E2354" s="207" t="s">
        <v>114</v>
      </c>
      <c r="F2354" s="207" t="s">
        <v>138</v>
      </c>
      <c r="G2354" s="207" t="s">
        <v>138</v>
      </c>
      <c r="H2354" s="207" t="s">
        <v>114</v>
      </c>
    </row>
    <row r="2355" spans="1:8">
      <c r="A2355" s="207" t="s">
        <v>507</v>
      </c>
      <c r="B2355" s="207" t="s">
        <v>508</v>
      </c>
      <c r="C2355" s="207" t="s">
        <v>99</v>
      </c>
      <c r="D2355" s="207" t="s">
        <v>3</v>
      </c>
      <c r="E2355" s="207" t="s">
        <v>322</v>
      </c>
      <c r="F2355" s="207" t="s">
        <v>564</v>
      </c>
      <c r="G2355" s="207" t="s">
        <v>383</v>
      </c>
      <c r="H2355" s="207" t="s">
        <v>322</v>
      </c>
    </row>
    <row r="2356" spans="1:8">
      <c r="A2356" s="207" t="s">
        <v>509</v>
      </c>
      <c r="B2356" s="207" t="s">
        <v>510</v>
      </c>
      <c r="C2356" s="207" t="s">
        <v>99</v>
      </c>
      <c r="D2356" s="207" t="s">
        <v>115</v>
      </c>
      <c r="E2356" s="207" t="s">
        <v>565</v>
      </c>
      <c r="F2356" s="207" t="s">
        <v>504</v>
      </c>
      <c r="G2356" s="207" t="s">
        <v>566</v>
      </c>
      <c r="H2356" s="207" t="s">
        <v>565</v>
      </c>
    </row>
    <row r="2357" spans="1:8">
      <c r="A2357" s="207" t="s">
        <v>578</v>
      </c>
      <c r="B2357" s="207" t="s">
        <v>579</v>
      </c>
      <c r="C2357" s="207" t="s">
        <v>99</v>
      </c>
      <c r="D2357" s="207" t="s">
        <v>12</v>
      </c>
      <c r="E2357" s="207" t="s">
        <v>114</v>
      </c>
      <c r="F2357" s="207" t="s">
        <v>580</v>
      </c>
      <c r="G2357" s="207" t="s">
        <v>580</v>
      </c>
      <c r="H2357" s="207" t="s">
        <v>114</v>
      </c>
    </row>
    <row r="2358" spans="1:8">
      <c r="A2358" s="207"/>
      <c r="B2358" s="207"/>
      <c r="C2358" s="207"/>
      <c r="D2358" s="207"/>
      <c r="E2358" s="207"/>
      <c r="F2358" s="207" t="s">
        <v>103</v>
      </c>
      <c r="G2358" s="207" t="s">
        <v>570</v>
      </c>
      <c r="H2358" s="207"/>
    </row>
    <row r="2359" spans="1:8">
      <c r="A2359" s="207"/>
      <c r="B2359" s="207"/>
      <c r="C2359" s="207"/>
      <c r="D2359" s="207"/>
      <c r="E2359" s="207"/>
      <c r="F2359" s="207" t="s">
        <v>105</v>
      </c>
      <c r="G2359" s="207" t="s">
        <v>581</v>
      </c>
      <c r="H2359" s="207"/>
    </row>
    <row r="2360" spans="1:8">
      <c r="A2360" s="207"/>
      <c r="B2360" s="207"/>
      <c r="C2360" s="207"/>
      <c r="D2360" s="207"/>
      <c r="E2360" s="207"/>
      <c r="F2360" s="207" t="s">
        <v>106</v>
      </c>
      <c r="G2360" s="207" t="s">
        <v>582</v>
      </c>
      <c r="H2360" s="207"/>
    </row>
    <row r="2361" spans="1:8">
      <c r="A2361" s="207"/>
      <c r="B2361" s="207"/>
      <c r="C2361" s="207"/>
      <c r="D2361" s="207"/>
      <c r="E2361" s="207"/>
      <c r="F2361" s="207"/>
      <c r="G2361" s="207"/>
      <c r="H2361" s="207"/>
    </row>
    <row r="2362" spans="1:8">
      <c r="A2362" s="1518" t="s">
        <v>107</v>
      </c>
      <c r="B2362" s="1519"/>
      <c r="C2362" s="1519"/>
      <c r="D2362" s="1519"/>
      <c r="E2362" s="1519"/>
      <c r="F2362" s="1519"/>
      <c r="G2362" s="1519"/>
      <c r="H2362" s="1519"/>
    </row>
    <row r="2363" spans="1:8">
      <c r="A2363" s="207" t="s">
        <v>108</v>
      </c>
      <c r="B2363" s="207" t="s">
        <v>582</v>
      </c>
      <c r="C2363" s="207"/>
      <c r="D2363" s="207"/>
      <c r="E2363" s="207"/>
      <c r="F2363" s="207"/>
      <c r="G2363" s="207"/>
      <c r="H2363" s="207"/>
    </row>
    <row r="2364" spans="1:8">
      <c r="A2364" s="207" t="s">
        <v>109</v>
      </c>
      <c r="B2364" s="207" t="s">
        <v>573</v>
      </c>
      <c r="C2364" s="207"/>
      <c r="D2364" s="207"/>
      <c r="E2364" s="207"/>
      <c r="F2364" s="207"/>
      <c r="G2364" s="207"/>
      <c r="H2364" s="207"/>
    </row>
    <row r="2365" spans="1:8">
      <c r="A2365" s="207" t="s">
        <v>110</v>
      </c>
      <c r="B2365" s="207" t="s">
        <v>583</v>
      </c>
      <c r="C2365" s="207"/>
      <c r="D2365" s="207"/>
      <c r="E2365" s="207"/>
      <c r="F2365" s="207"/>
      <c r="G2365" s="207"/>
      <c r="H2365" s="207"/>
    </row>
    <row r="2366" spans="1:8">
      <c r="A2366" s="207" t="s">
        <v>111</v>
      </c>
      <c r="B2366" s="207" t="s">
        <v>584</v>
      </c>
      <c r="C2366" s="207"/>
      <c r="D2366" s="207"/>
      <c r="E2366" s="207"/>
      <c r="F2366" s="207"/>
      <c r="G2366" s="207"/>
      <c r="H2366" s="207"/>
    </row>
    <row r="2367" spans="1:8">
      <c r="A2367" s="207"/>
      <c r="B2367" s="207"/>
      <c r="C2367" s="207"/>
      <c r="D2367" s="207"/>
      <c r="E2367" s="207"/>
      <c r="F2367" s="207"/>
      <c r="G2367" s="207"/>
      <c r="H2367" s="207"/>
    </row>
    <row r="2368" spans="1:8">
      <c r="A2368" s="1539" t="s">
        <v>561</v>
      </c>
      <c r="B2368" s="1540"/>
      <c r="C2368" s="1540"/>
      <c r="D2368" s="1540"/>
      <c r="E2368" s="1540"/>
      <c r="F2368" s="1540"/>
      <c r="G2368" s="1540"/>
      <c r="H2368" s="1540"/>
    </row>
    <row r="2369" spans="1:8">
      <c r="A2369" s="1539" t="s">
        <v>562</v>
      </c>
      <c r="B2369" s="1540"/>
      <c r="C2369" s="1540"/>
      <c r="D2369" s="1540"/>
      <c r="E2369" s="1540"/>
      <c r="F2369" s="1540"/>
      <c r="G2369" s="1540"/>
      <c r="H2369" s="1540"/>
    </row>
    <row r="2371" spans="1:8">
      <c r="A2371" s="1540" t="s">
        <v>132</v>
      </c>
      <c r="B2371" s="1540"/>
      <c r="C2371" s="1540"/>
      <c r="D2371" s="1540"/>
      <c r="E2371" s="1540"/>
      <c r="F2371" s="1540"/>
      <c r="G2371" s="1540"/>
      <c r="H2371" s="1540"/>
    </row>
    <row r="2373" spans="1:8">
      <c r="A2373" s="1540" t="s">
        <v>176</v>
      </c>
      <c r="B2373" s="1540"/>
      <c r="C2373" s="1540"/>
      <c r="D2373" s="1540"/>
      <c r="E2373" s="1540"/>
      <c r="F2373" s="1540"/>
      <c r="G2373" s="1540"/>
      <c r="H2373" s="1540"/>
    </row>
    <row r="2375" spans="1:8">
      <c r="A2375" s="202" t="s">
        <v>30</v>
      </c>
      <c r="B2375" s="202" t="s">
        <v>19</v>
      </c>
      <c r="C2375" s="202" t="s">
        <v>92</v>
      </c>
      <c r="D2375" s="202" t="s">
        <v>88</v>
      </c>
      <c r="E2375" s="202" t="s">
        <v>93</v>
      </c>
      <c r="F2375" s="202" t="s">
        <v>94</v>
      </c>
      <c r="G2375" s="202" t="s">
        <v>95</v>
      </c>
      <c r="H2375" s="202" t="s">
        <v>96</v>
      </c>
    </row>
    <row r="2376" spans="1:8">
      <c r="A2376" s="208" t="s">
        <v>136</v>
      </c>
      <c r="B2376" s="208" t="s">
        <v>72</v>
      </c>
      <c r="C2376" s="208" t="s">
        <v>117</v>
      </c>
      <c r="D2376" s="208" t="s">
        <v>118</v>
      </c>
      <c r="E2376" s="208" t="s">
        <v>243</v>
      </c>
      <c r="F2376" s="208" t="s">
        <v>135</v>
      </c>
      <c r="G2376" s="208" t="s">
        <v>563</v>
      </c>
      <c r="H2376" s="208" t="s">
        <v>243</v>
      </c>
    </row>
    <row r="2377" spans="1:8">
      <c r="A2377" s="208" t="s">
        <v>137</v>
      </c>
      <c r="B2377" s="208" t="s">
        <v>73</v>
      </c>
      <c r="C2377" s="208" t="s">
        <v>117</v>
      </c>
      <c r="D2377" s="208" t="s">
        <v>118</v>
      </c>
      <c r="E2377" s="208" t="s">
        <v>114</v>
      </c>
      <c r="F2377" s="208" t="s">
        <v>138</v>
      </c>
      <c r="G2377" s="208" t="s">
        <v>138</v>
      </c>
      <c r="H2377" s="208" t="s">
        <v>114</v>
      </c>
    </row>
    <row r="2378" spans="1:8">
      <c r="A2378" s="208" t="s">
        <v>507</v>
      </c>
      <c r="B2378" s="208" t="s">
        <v>508</v>
      </c>
      <c r="C2378" s="208" t="s">
        <v>99</v>
      </c>
      <c r="D2378" s="208" t="s">
        <v>3</v>
      </c>
      <c r="E2378" s="208" t="s">
        <v>322</v>
      </c>
      <c r="F2378" s="208" t="s">
        <v>564</v>
      </c>
      <c r="G2378" s="208" t="s">
        <v>383</v>
      </c>
      <c r="H2378" s="208" t="s">
        <v>322</v>
      </c>
    </row>
    <row r="2379" spans="1:8">
      <c r="A2379" s="208" t="s">
        <v>509</v>
      </c>
      <c r="B2379" s="208" t="s">
        <v>510</v>
      </c>
      <c r="C2379" s="208" t="s">
        <v>99</v>
      </c>
      <c r="D2379" s="208" t="s">
        <v>115</v>
      </c>
      <c r="E2379" s="208" t="s">
        <v>565</v>
      </c>
      <c r="F2379" s="208" t="s">
        <v>504</v>
      </c>
      <c r="G2379" s="208" t="s">
        <v>566</v>
      </c>
      <c r="H2379" s="208" t="s">
        <v>565</v>
      </c>
    </row>
    <row r="2380" spans="1:8">
      <c r="A2380" s="208" t="s">
        <v>567</v>
      </c>
      <c r="B2380" s="208" t="s">
        <v>568</v>
      </c>
      <c r="C2380" s="208" t="s">
        <v>99</v>
      </c>
      <c r="D2380" s="208" t="s">
        <v>12</v>
      </c>
      <c r="E2380" s="208" t="s">
        <v>114</v>
      </c>
      <c r="F2380" s="208" t="s">
        <v>569</v>
      </c>
      <c r="G2380" s="208" t="s">
        <v>569</v>
      </c>
      <c r="H2380" s="208" t="s">
        <v>114</v>
      </c>
    </row>
    <row r="2381" spans="1:8">
      <c r="A2381" s="208"/>
      <c r="B2381" s="208"/>
      <c r="C2381" s="208"/>
      <c r="D2381" s="208"/>
      <c r="E2381" s="208"/>
      <c r="F2381" s="208" t="s">
        <v>103</v>
      </c>
      <c r="G2381" s="208" t="s">
        <v>570</v>
      </c>
      <c r="H2381" s="208"/>
    </row>
    <row r="2382" spans="1:8">
      <c r="A2382" s="208"/>
      <c r="B2382" s="208"/>
      <c r="C2382" s="208"/>
      <c r="D2382" s="208"/>
      <c r="E2382" s="208"/>
      <c r="F2382" s="208" t="s">
        <v>105</v>
      </c>
      <c r="G2382" s="208" t="s">
        <v>571</v>
      </c>
      <c r="H2382" s="208"/>
    </row>
    <row r="2383" spans="1:8">
      <c r="A2383" s="208"/>
      <c r="B2383" s="208"/>
      <c r="C2383" s="208"/>
      <c r="D2383" s="208"/>
      <c r="E2383" s="208"/>
      <c r="F2383" s="208" t="s">
        <v>106</v>
      </c>
      <c r="G2383" s="208" t="s">
        <v>572</v>
      </c>
      <c r="H2383" s="208"/>
    </row>
    <row r="2385" spans="1:8">
      <c r="A2385" s="1539" t="s">
        <v>107</v>
      </c>
      <c r="B2385" s="1540"/>
      <c r="C2385" s="1540"/>
      <c r="D2385" s="1540"/>
      <c r="E2385" s="1540"/>
      <c r="F2385" s="1540"/>
      <c r="G2385" s="1540"/>
      <c r="H2385" s="1540"/>
    </row>
    <row r="2386" spans="1:8">
      <c r="A2386" s="208" t="s">
        <v>108</v>
      </c>
      <c r="B2386" s="208" t="s">
        <v>572</v>
      </c>
      <c r="C2386" s="208"/>
      <c r="D2386" s="208"/>
      <c r="E2386" s="208"/>
      <c r="F2386" s="208"/>
      <c r="G2386" s="208"/>
      <c r="H2386" s="208"/>
    </row>
    <row r="2387" spans="1:8">
      <c r="A2387" s="208" t="s">
        <v>109</v>
      </c>
      <c r="B2387" s="208" t="s">
        <v>573</v>
      </c>
      <c r="C2387" s="208"/>
      <c r="D2387" s="208"/>
      <c r="E2387" s="208"/>
      <c r="F2387" s="208"/>
      <c r="G2387" s="208"/>
      <c r="H2387" s="208"/>
    </row>
    <row r="2388" spans="1:8">
      <c r="A2388" s="208" t="s">
        <v>110</v>
      </c>
      <c r="B2388" s="208" t="s">
        <v>574</v>
      </c>
      <c r="C2388" s="208"/>
      <c r="D2388" s="208"/>
      <c r="E2388" s="208"/>
      <c r="F2388" s="208"/>
      <c r="G2388" s="208"/>
      <c r="H2388" s="208"/>
    </row>
    <row r="2389" spans="1:8">
      <c r="A2389" s="208" t="s">
        <v>111</v>
      </c>
      <c r="B2389" s="208" t="s">
        <v>575</v>
      </c>
      <c r="C2389" s="208"/>
      <c r="D2389" s="208"/>
      <c r="E2389" s="208"/>
      <c r="F2389" s="208"/>
      <c r="G2389" s="208"/>
      <c r="H2389" s="208"/>
    </row>
    <row r="2391" spans="1:8">
      <c r="A2391" s="1518" t="s">
        <v>614</v>
      </c>
      <c r="B2391" s="1519"/>
      <c r="C2391" s="1519"/>
      <c r="D2391" s="1519"/>
      <c r="E2391" s="1519"/>
      <c r="F2391" s="1519"/>
      <c r="G2391" s="1519"/>
      <c r="H2391" s="1519"/>
    </row>
    <row r="2392" spans="1:8">
      <c r="A2392" s="1518" t="s">
        <v>585</v>
      </c>
      <c r="B2392" s="1519"/>
      <c r="C2392" s="1519"/>
      <c r="D2392" s="1519"/>
      <c r="E2392" s="1519"/>
      <c r="F2392" s="1519"/>
      <c r="G2392" s="1519"/>
      <c r="H2392" s="1519"/>
    </row>
    <row r="2394" spans="1:8">
      <c r="A2394" s="1519" t="s">
        <v>91</v>
      </c>
      <c r="B2394" s="1519"/>
      <c r="C2394" s="1519"/>
      <c r="D2394" s="1519"/>
      <c r="E2394" s="1519"/>
      <c r="F2394" s="1519"/>
      <c r="G2394" s="1519"/>
      <c r="H2394" s="1519"/>
    </row>
    <row r="2396" spans="1:8">
      <c r="A2396" s="1519" t="s">
        <v>112</v>
      </c>
      <c r="B2396" s="1519"/>
      <c r="C2396" s="1519"/>
      <c r="D2396" s="1519"/>
      <c r="E2396" s="1519"/>
      <c r="F2396" s="1519"/>
      <c r="G2396" s="1519"/>
      <c r="H2396" s="1519"/>
    </row>
    <row r="2398" spans="1:8">
      <c r="A2398" s="198" t="s">
        <v>30</v>
      </c>
      <c r="B2398" s="198" t="s">
        <v>19</v>
      </c>
      <c r="C2398" s="198" t="s">
        <v>92</v>
      </c>
      <c r="D2398" s="198" t="s">
        <v>88</v>
      </c>
      <c r="E2398" s="198" t="s">
        <v>93</v>
      </c>
      <c r="F2398" s="198" t="s">
        <v>94</v>
      </c>
      <c r="G2398" s="198" t="s">
        <v>95</v>
      </c>
      <c r="H2398" s="198" t="s">
        <v>96</v>
      </c>
    </row>
    <row r="2399" spans="1:8">
      <c r="A2399" s="207" t="s">
        <v>586</v>
      </c>
      <c r="B2399" s="207" t="s">
        <v>587</v>
      </c>
      <c r="C2399" s="207" t="s">
        <v>99</v>
      </c>
      <c r="D2399" s="207" t="s">
        <v>588</v>
      </c>
      <c r="E2399" s="207" t="s">
        <v>589</v>
      </c>
      <c r="F2399" s="207" t="s">
        <v>590</v>
      </c>
      <c r="G2399" s="207" t="s">
        <v>591</v>
      </c>
      <c r="H2399" s="207" t="s">
        <v>589</v>
      </c>
    </row>
    <row r="2400" spans="1:8">
      <c r="A2400" s="207" t="s">
        <v>592</v>
      </c>
      <c r="B2400" s="207" t="s">
        <v>593</v>
      </c>
      <c r="C2400" s="207" t="s">
        <v>99</v>
      </c>
      <c r="D2400" s="207" t="s">
        <v>4</v>
      </c>
      <c r="E2400" s="207" t="s">
        <v>594</v>
      </c>
      <c r="F2400" s="207" t="s">
        <v>595</v>
      </c>
      <c r="G2400" s="207" t="s">
        <v>596</v>
      </c>
      <c r="H2400" s="207" t="s">
        <v>594</v>
      </c>
    </row>
    <row r="2401" spans="1:8">
      <c r="A2401" s="207" t="s">
        <v>597</v>
      </c>
      <c r="B2401" s="207" t="s">
        <v>598</v>
      </c>
      <c r="C2401" s="207" t="s">
        <v>99</v>
      </c>
      <c r="D2401" s="207" t="s">
        <v>113</v>
      </c>
      <c r="E2401" s="207" t="s">
        <v>114</v>
      </c>
      <c r="F2401" s="207" t="s">
        <v>599</v>
      </c>
      <c r="G2401" s="207" t="s">
        <v>599</v>
      </c>
      <c r="H2401" s="207" t="s">
        <v>114</v>
      </c>
    </row>
    <row r="2402" spans="1:8">
      <c r="A2402" s="207" t="s">
        <v>267</v>
      </c>
      <c r="B2402" s="207" t="s">
        <v>268</v>
      </c>
      <c r="C2402" s="207" t="s">
        <v>99</v>
      </c>
      <c r="D2402" s="207" t="s">
        <v>5</v>
      </c>
      <c r="E2402" s="207" t="s">
        <v>600</v>
      </c>
      <c r="F2402" s="207" t="s">
        <v>270</v>
      </c>
      <c r="G2402" s="207" t="s">
        <v>601</v>
      </c>
      <c r="H2402" s="207" t="s">
        <v>600</v>
      </c>
    </row>
    <row r="2403" spans="1:8">
      <c r="A2403" s="207" t="s">
        <v>130</v>
      </c>
      <c r="B2403" s="207" t="s">
        <v>131</v>
      </c>
      <c r="C2403" s="207" t="s">
        <v>121</v>
      </c>
      <c r="D2403" s="207" t="s">
        <v>118</v>
      </c>
      <c r="E2403" s="207" t="s">
        <v>602</v>
      </c>
      <c r="F2403" s="207" t="s">
        <v>603</v>
      </c>
      <c r="G2403" s="207" t="s">
        <v>604</v>
      </c>
      <c r="H2403" s="207" t="s">
        <v>602</v>
      </c>
    </row>
    <row r="2404" spans="1:8">
      <c r="A2404" s="207" t="s">
        <v>122</v>
      </c>
      <c r="B2404" s="207" t="s">
        <v>123</v>
      </c>
      <c r="C2404" s="207" t="s">
        <v>121</v>
      </c>
      <c r="D2404" s="207" t="s">
        <v>118</v>
      </c>
      <c r="E2404" s="207" t="s">
        <v>605</v>
      </c>
      <c r="F2404" s="207" t="s">
        <v>606</v>
      </c>
      <c r="G2404" s="207" t="s">
        <v>607</v>
      </c>
      <c r="H2404" s="207" t="s">
        <v>605</v>
      </c>
    </row>
    <row r="2405" spans="1:8">
      <c r="A2405" s="207"/>
      <c r="B2405" s="207"/>
      <c r="C2405" s="207"/>
      <c r="D2405" s="207"/>
      <c r="E2405" s="207"/>
      <c r="F2405" s="207" t="s">
        <v>103</v>
      </c>
      <c r="G2405" s="207" t="s">
        <v>608</v>
      </c>
      <c r="H2405" s="207"/>
    </row>
    <row r="2406" spans="1:8">
      <c r="A2406" s="207"/>
      <c r="B2406" s="207"/>
      <c r="C2406" s="207"/>
      <c r="D2406" s="207"/>
      <c r="E2406" s="207"/>
      <c r="F2406" s="207" t="s">
        <v>105</v>
      </c>
      <c r="G2406" s="207" t="s">
        <v>609</v>
      </c>
      <c r="H2406" s="207"/>
    </row>
    <row r="2407" spans="1:8">
      <c r="A2407" s="207"/>
      <c r="B2407" s="207"/>
      <c r="C2407" s="207"/>
      <c r="D2407" s="207"/>
      <c r="E2407" s="207"/>
      <c r="F2407" s="207" t="s">
        <v>106</v>
      </c>
      <c r="G2407" s="207" t="s">
        <v>610</v>
      </c>
      <c r="H2407" s="207"/>
    </row>
    <row r="2408" spans="1:8">
      <c r="A2408" s="207"/>
      <c r="B2408" s="207"/>
      <c r="C2408" s="207"/>
      <c r="D2408" s="207"/>
      <c r="E2408" s="207"/>
      <c r="F2408" s="207"/>
      <c r="G2408" s="207"/>
      <c r="H2408" s="207"/>
    </row>
    <row r="2409" spans="1:8">
      <c r="A2409" s="1518" t="s">
        <v>107</v>
      </c>
      <c r="B2409" s="1519"/>
      <c r="C2409" s="1519"/>
      <c r="D2409" s="1519"/>
      <c r="E2409" s="1519"/>
      <c r="F2409" s="1519"/>
      <c r="G2409" s="1519"/>
      <c r="H2409" s="1519"/>
    </row>
    <row r="2410" spans="1:8">
      <c r="A2410" s="207" t="s">
        <v>108</v>
      </c>
      <c r="B2410" s="207" t="s">
        <v>610</v>
      </c>
      <c r="C2410" s="207"/>
      <c r="D2410" s="207"/>
      <c r="E2410" s="207"/>
      <c r="F2410" s="207"/>
      <c r="G2410" s="207"/>
      <c r="H2410" s="207"/>
    </row>
    <row r="2411" spans="1:8">
      <c r="A2411" s="207" t="s">
        <v>109</v>
      </c>
      <c r="B2411" s="207" t="s">
        <v>611</v>
      </c>
      <c r="C2411" s="207"/>
      <c r="D2411" s="207"/>
      <c r="E2411" s="207"/>
      <c r="F2411" s="207"/>
      <c r="G2411" s="207"/>
      <c r="H2411" s="207"/>
    </row>
    <row r="2412" spans="1:8">
      <c r="A2412" s="207" t="s">
        <v>110</v>
      </c>
      <c r="B2412" s="207" t="s">
        <v>612</v>
      </c>
      <c r="C2412" s="207"/>
      <c r="D2412" s="207"/>
      <c r="E2412" s="207"/>
      <c r="F2412" s="207"/>
      <c r="G2412" s="207"/>
      <c r="H2412" s="207"/>
    </row>
    <row r="2413" spans="1:8">
      <c r="A2413" s="207" t="s">
        <v>111</v>
      </c>
      <c r="B2413" s="207" t="s">
        <v>613</v>
      </c>
      <c r="C2413" s="207"/>
      <c r="D2413" s="207"/>
      <c r="E2413" s="207"/>
      <c r="F2413" s="207"/>
      <c r="G2413" s="207"/>
      <c r="H2413" s="207"/>
    </row>
    <row r="2417" spans="1:8">
      <c r="A2417" s="1518" t="s">
        <v>616</v>
      </c>
      <c r="B2417" s="1519"/>
      <c r="C2417" s="1519"/>
      <c r="D2417" s="1519"/>
      <c r="E2417" s="1519"/>
      <c r="F2417" s="1519"/>
      <c r="G2417" s="1519"/>
      <c r="H2417" s="1519"/>
    </row>
    <row r="2418" spans="1:8">
      <c r="A2418" s="1518" t="s">
        <v>617</v>
      </c>
      <c r="B2418" s="1519"/>
      <c r="C2418" s="1519"/>
      <c r="D2418" s="1519"/>
      <c r="E2418" s="1519"/>
      <c r="F2418" s="1519"/>
      <c r="G2418" s="1519"/>
      <c r="H2418" s="1519"/>
    </row>
    <row r="2420" spans="1:8">
      <c r="A2420" s="1519" t="s">
        <v>91</v>
      </c>
      <c r="B2420" s="1519"/>
      <c r="C2420" s="1519"/>
      <c r="D2420" s="1519"/>
      <c r="E2420" s="1519"/>
      <c r="F2420" s="1519"/>
      <c r="G2420" s="1519"/>
      <c r="H2420" s="1519"/>
    </row>
    <row r="2422" spans="1:8">
      <c r="A2422" s="1519" t="s">
        <v>133</v>
      </c>
      <c r="B2422" s="1519"/>
      <c r="C2422" s="1519"/>
      <c r="D2422" s="1519"/>
      <c r="E2422" s="1519"/>
      <c r="F2422" s="1519"/>
      <c r="G2422" s="1519"/>
      <c r="H2422" s="1519"/>
    </row>
    <row r="2424" spans="1:8">
      <c r="A2424" s="198" t="s">
        <v>30</v>
      </c>
      <c r="B2424" s="198" t="s">
        <v>19</v>
      </c>
      <c r="C2424" s="198" t="s">
        <v>92</v>
      </c>
      <c r="D2424" s="198" t="s">
        <v>88</v>
      </c>
      <c r="E2424" s="198" t="s">
        <v>93</v>
      </c>
      <c r="F2424" s="198" t="s">
        <v>94</v>
      </c>
      <c r="G2424" s="198" t="s">
        <v>95</v>
      </c>
      <c r="H2424" s="198" t="s">
        <v>96</v>
      </c>
    </row>
    <row r="2425" spans="1:8">
      <c r="A2425" s="207" t="s">
        <v>618</v>
      </c>
      <c r="B2425" s="207" t="s">
        <v>619</v>
      </c>
      <c r="C2425" s="207" t="s">
        <v>121</v>
      </c>
      <c r="D2425" s="207" t="s">
        <v>5</v>
      </c>
      <c r="E2425" s="207" t="s">
        <v>114</v>
      </c>
      <c r="F2425" s="207" t="s">
        <v>620</v>
      </c>
      <c r="G2425" s="207" t="s">
        <v>620</v>
      </c>
      <c r="H2425" s="207" t="s">
        <v>114</v>
      </c>
    </row>
    <row r="2426" spans="1:8">
      <c r="A2426" s="207" t="s">
        <v>621</v>
      </c>
      <c r="B2426" s="207" t="s">
        <v>622</v>
      </c>
      <c r="C2426" s="207" t="s">
        <v>121</v>
      </c>
      <c r="D2426" s="207" t="s">
        <v>5</v>
      </c>
      <c r="E2426" s="207" t="s">
        <v>114</v>
      </c>
      <c r="F2426" s="207" t="s">
        <v>623</v>
      </c>
      <c r="G2426" s="207" t="s">
        <v>623</v>
      </c>
      <c r="H2426" s="207" t="s">
        <v>114</v>
      </c>
    </row>
    <row r="2427" spans="1:8">
      <c r="A2427" s="207" t="s">
        <v>624</v>
      </c>
      <c r="B2427" s="207" t="s">
        <v>625</v>
      </c>
      <c r="C2427" s="207" t="s">
        <v>121</v>
      </c>
      <c r="D2427" s="207" t="s">
        <v>5</v>
      </c>
      <c r="E2427" s="207" t="s">
        <v>114</v>
      </c>
      <c r="F2427" s="207" t="s">
        <v>626</v>
      </c>
      <c r="G2427" s="207" t="s">
        <v>626</v>
      </c>
      <c r="H2427" s="207" t="s">
        <v>114</v>
      </c>
    </row>
    <row r="2428" spans="1:8">
      <c r="A2428" s="207" t="s">
        <v>627</v>
      </c>
      <c r="B2428" s="207" t="s">
        <v>628</v>
      </c>
      <c r="C2428" s="207" t="s">
        <v>121</v>
      </c>
      <c r="D2428" s="207" t="s">
        <v>5</v>
      </c>
      <c r="E2428" s="207" t="s">
        <v>119</v>
      </c>
      <c r="F2428" s="207" t="s">
        <v>629</v>
      </c>
      <c r="G2428" s="207" t="s">
        <v>630</v>
      </c>
      <c r="H2428" s="207" t="s">
        <v>119</v>
      </c>
    </row>
    <row r="2429" spans="1:8">
      <c r="A2429" s="207"/>
      <c r="B2429" s="207"/>
      <c r="C2429" s="207"/>
      <c r="D2429" s="207"/>
      <c r="E2429" s="207"/>
      <c r="F2429" s="207" t="s">
        <v>103</v>
      </c>
      <c r="G2429" s="207" t="s">
        <v>631</v>
      </c>
      <c r="H2429" s="207"/>
    </row>
    <row r="2430" spans="1:8">
      <c r="A2430" s="207"/>
      <c r="B2430" s="207"/>
      <c r="C2430" s="207"/>
      <c r="D2430" s="207"/>
      <c r="E2430" s="207"/>
      <c r="F2430" s="207" t="s">
        <v>105</v>
      </c>
      <c r="G2430" s="207" t="s">
        <v>632</v>
      </c>
      <c r="H2430" s="207"/>
    </row>
    <row r="2431" spans="1:8">
      <c r="A2431" s="207"/>
      <c r="B2431" s="207"/>
      <c r="C2431" s="207"/>
      <c r="D2431" s="207"/>
      <c r="E2431" s="207"/>
      <c r="F2431" s="207" t="s">
        <v>106</v>
      </c>
      <c r="G2431" s="207" t="s">
        <v>633</v>
      </c>
      <c r="H2431" s="207"/>
    </row>
    <row r="2433" spans="1:8">
      <c r="A2433" s="1518" t="s">
        <v>107</v>
      </c>
      <c r="B2433" s="1519"/>
      <c r="C2433" s="1519"/>
      <c r="D2433" s="1519"/>
      <c r="E2433" s="1519"/>
      <c r="F2433" s="1519"/>
      <c r="G2433" s="1519"/>
      <c r="H2433" s="1519"/>
    </row>
    <row r="2434" spans="1:8">
      <c r="A2434" s="207" t="s">
        <v>108</v>
      </c>
      <c r="B2434" s="207" t="s">
        <v>633</v>
      </c>
      <c r="C2434" s="207"/>
      <c r="D2434" s="207"/>
      <c r="E2434" s="207"/>
      <c r="F2434" s="207"/>
      <c r="G2434" s="207"/>
      <c r="H2434" s="207"/>
    </row>
    <row r="2435" spans="1:8">
      <c r="A2435" s="207" t="s">
        <v>109</v>
      </c>
      <c r="B2435" s="207" t="s">
        <v>634</v>
      </c>
      <c r="C2435" s="207"/>
      <c r="D2435" s="207"/>
      <c r="E2435" s="207"/>
      <c r="F2435" s="207"/>
      <c r="G2435" s="207"/>
      <c r="H2435" s="207"/>
    </row>
    <row r="2436" spans="1:8">
      <c r="A2436" s="207" t="s">
        <v>110</v>
      </c>
      <c r="B2436" s="207" t="s">
        <v>635</v>
      </c>
      <c r="C2436" s="207"/>
      <c r="D2436" s="207"/>
      <c r="E2436" s="207"/>
      <c r="F2436" s="207"/>
      <c r="G2436" s="207"/>
      <c r="H2436" s="207"/>
    </row>
    <row r="2437" spans="1:8">
      <c r="A2437" s="207" t="s">
        <v>111</v>
      </c>
      <c r="B2437" s="207" t="s">
        <v>636</v>
      </c>
      <c r="C2437" s="207"/>
      <c r="D2437" s="207"/>
      <c r="E2437" s="207"/>
      <c r="F2437" s="207"/>
      <c r="G2437" s="207"/>
      <c r="H2437" s="207"/>
    </row>
    <row r="2440" spans="1:8">
      <c r="A2440" s="1518" t="s">
        <v>639</v>
      </c>
      <c r="B2440" s="1519"/>
      <c r="C2440" s="1519"/>
      <c r="D2440" s="1519"/>
      <c r="E2440" s="1519"/>
      <c r="F2440" s="1519"/>
      <c r="G2440" s="1519"/>
      <c r="H2440" s="1519"/>
    </row>
    <row r="2441" spans="1:8">
      <c r="A2441" s="1518" t="s">
        <v>640</v>
      </c>
      <c r="B2441" s="1519"/>
      <c r="C2441" s="1519"/>
      <c r="D2441" s="1519"/>
      <c r="E2441" s="1519"/>
      <c r="F2441" s="1519"/>
      <c r="G2441" s="1519"/>
      <c r="H2441" s="1519"/>
    </row>
    <row r="2443" spans="1:8">
      <c r="A2443" s="1519" t="s">
        <v>91</v>
      </c>
      <c r="B2443" s="1519"/>
      <c r="C2443" s="1519"/>
      <c r="D2443" s="1519"/>
      <c r="E2443" s="1519"/>
      <c r="F2443" s="1519"/>
      <c r="G2443" s="1519"/>
      <c r="H2443" s="1519"/>
    </row>
    <row r="2445" spans="1:8">
      <c r="A2445" s="1519" t="s">
        <v>112</v>
      </c>
      <c r="B2445" s="1519"/>
      <c r="C2445" s="1519"/>
      <c r="D2445" s="1519"/>
      <c r="E2445" s="1519"/>
      <c r="F2445" s="1519"/>
      <c r="G2445" s="1519"/>
      <c r="H2445" s="1519"/>
    </row>
    <row r="2447" spans="1:8">
      <c r="A2447" s="198" t="s">
        <v>30</v>
      </c>
      <c r="B2447" s="198" t="s">
        <v>19</v>
      </c>
      <c r="C2447" s="198" t="s">
        <v>92</v>
      </c>
      <c r="D2447" s="198" t="s">
        <v>88</v>
      </c>
      <c r="E2447" s="198" t="s">
        <v>93</v>
      </c>
      <c r="F2447" s="198" t="s">
        <v>94</v>
      </c>
      <c r="G2447" s="198" t="s">
        <v>95</v>
      </c>
      <c r="H2447" s="198" t="s">
        <v>96</v>
      </c>
    </row>
    <row r="2448" spans="1:8">
      <c r="A2448" s="207" t="s">
        <v>641</v>
      </c>
      <c r="B2448" s="207" t="s">
        <v>642</v>
      </c>
      <c r="C2448" s="207" t="s">
        <v>99</v>
      </c>
      <c r="D2448" s="207" t="s">
        <v>115</v>
      </c>
      <c r="E2448" s="207" t="s">
        <v>124</v>
      </c>
      <c r="F2448" s="207" t="s">
        <v>643</v>
      </c>
      <c r="G2448" s="207" t="s">
        <v>270</v>
      </c>
      <c r="H2448" s="207" t="s">
        <v>124</v>
      </c>
    </row>
    <row r="2449" spans="1:8">
      <c r="A2449" s="207" t="s">
        <v>644</v>
      </c>
      <c r="B2449" s="207" t="s">
        <v>645</v>
      </c>
      <c r="C2449" s="207" t="s">
        <v>99</v>
      </c>
      <c r="D2449" s="207" t="s">
        <v>115</v>
      </c>
      <c r="E2449" s="207" t="s">
        <v>646</v>
      </c>
      <c r="F2449" s="207" t="s">
        <v>647</v>
      </c>
      <c r="G2449" s="207" t="s">
        <v>648</v>
      </c>
      <c r="H2449" s="207" t="s">
        <v>646</v>
      </c>
    </row>
    <row r="2450" spans="1:8">
      <c r="A2450" s="207" t="s">
        <v>649</v>
      </c>
      <c r="B2450" s="207" t="s">
        <v>650</v>
      </c>
      <c r="C2450" s="207" t="s">
        <v>99</v>
      </c>
      <c r="D2450" s="207" t="s">
        <v>113</v>
      </c>
      <c r="E2450" s="207" t="s">
        <v>651</v>
      </c>
      <c r="F2450" s="207" t="s">
        <v>652</v>
      </c>
      <c r="G2450" s="207" t="s">
        <v>653</v>
      </c>
      <c r="H2450" s="207" t="s">
        <v>651</v>
      </c>
    </row>
    <row r="2451" spans="1:8">
      <c r="A2451" s="207" t="s">
        <v>654</v>
      </c>
      <c r="B2451" s="207" t="s">
        <v>655</v>
      </c>
      <c r="C2451" s="207" t="s">
        <v>121</v>
      </c>
      <c r="D2451" s="207" t="s">
        <v>118</v>
      </c>
      <c r="E2451" s="207" t="s">
        <v>656</v>
      </c>
      <c r="F2451" s="207" t="s">
        <v>657</v>
      </c>
      <c r="G2451" s="207" t="s">
        <v>658</v>
      </c>
      <c r="H2451" s="207" t="s">
        <v>656</v>
      </c>
    </row>
    <row r="2452" spans="1:8">
      <c r="A2452" s="207" t="s">
        <v>122</v>
      </c>
      <c r="B2452" s="207" t="s">
        <v>123</v>
      </c>
      <c r="C2452" s="207" t="s">
        <v>121</v>
      </c>
      <c r="D2452" s="207" t="s">
        <v>118</v>
      </c>
      <c r="E2452" s="207" t="s">
        <v>503</v>
      </c>
      <c r="F2452" s="207" t="s">
        <v>606</v>
      </c>
      <c r="G2452" s="207" t="s">
        <v>659</v>
      </c>
      <c r="H2452" s="207" t="s">
        <v>503</v>
      </c>
    </row>
    <row r="2453" spans="1:8">
      <c r="A2453" s="207"/>
      <c r="B2453" s="207"/>
      <c r="C2453" s="207"/>
      <c r="D2453" s="207"/>
      <c r="E2453" s="207"/>
      <c r="F2453" s="207" t="s">
        <v>103</v>
      </c>
      <c r="G2453" s="207" t="s">
        <v>660</v>
      </c>
      <c r="H2453" s="207"/>
    </row>
    <row r="2454" spans="1:8">
      <c r="A2454" s="207"/>
      <c r="B2454" s="207"/>
      <c r="C2454" s="207"/>
      <c r="D2454" s="207"/>
      <c r="E2454" s="207"/>
      <c r="F2454" s="207" t="s">
        <v>105</v>
      </c>
      <c r="G2454" s="207" t="s">
        <v>661</v>
      </c>
      <c r="H2454" s="207"/>
    </row>
    <row r="2455" spans="1:8">
      <c r="A2455" s="207"/>
      <c r="B2455" s="207"/>
      <c r="C2455" s="207"/>
      <c r="D2455" s="207"/>
      <c r="E2455" s="207"/>
      <c r="F2455" s="207" t="s">
        <v>106</v>
      </c>
      <c r="G2455" s="207" t="s">
        <v>662</v>
      </c>
      <c r="H2455" s="207"/>
    </row>
    <row r="2457" spans="1:8">
      <c r="A2457" s="1518" t="s">
        <v>107</v>
      </c>
      <c r="B2457" s="1519"/>
      <c r="C2457" s="1519"/>
      <c r="D2457" s="1519"/>
      <c r="E2457" s="1519"/>
      <c r="F2457" s="1519"/>
      <c r="G2457" s="1519"/>
      <c r="H2457" s="1519"/>
    </row>
    <row r="2458" spans="1:8">
      <c r="A2458" s="207" t="s">
        <v>108</v>
      </c>
      <c r="B2458" s="207" t="s">
        <v>662</v>
      </c>
      <c r="C2458" s="207"/>
      <c r="D2458" s="207"/>
      <c r="E2458" s="207"/>
      <c r="F2458" s="207"/>
      <c r="G2458" s="207"/>
      <c r="H2458" s="207"/>
    </row>
    <row r="2459" spans="1:8">
      <c r="A2459" s="207" t="s">
        <v>109</v>
      </c>
      <c r="B2459" s="207" t="s">
        <v>663</v>
      </c>
      <c r="C2459" s="207"/>
      <c r="D2459" s="207"/>
      <c r="E2459" s="207"/>
      <c r="F2459" s="207"/>
      <c r="G2459" s="207"/>
      <c r="H2459" s="207"/>
    </row>
    <row r="2460" spans="1:8">
      <c r="A2460" s="207" t="s">
        <v>110</v>
      </c>
      <c r="B2460" s="207" t="s">
        <v>664</v>
      </c>
      <c r="C2460" s="207"/>
      <c r="D2460" s="207"/>
      <c r="E2460" s="207"/>
      <c r="F2460" s="207"/>
      <c r="G2460" s="207"/>
      <c r="H2460" s="207"/>
    </row>
    <row r="2461" spans="1:8">
      <c r="A2461" s="207" t="s">
        <v>111</v>
      </c>
      <c r="B2461" s="207" t="s">
        <v>665</v>
      </c>
      <c r="C2461" s="207"/>
      <c r="D2461" s="207"/>
      <c r="E2461" s="207"/>
      <c r="F2461" s="207"/>
      <c r="G2461" s="207"/>
      <c r="H2461" s="207"/>
    </row>
    <row r="2463" spans="1:8">
      <c r="A2463" s="1518" t="s">
        <v>670</v>
      </c>
      <c r="B2463" s="1519"/>
      <c r="C2463" s="1519"/>
      <c r="D2463" s="1519"/>
      <c r="E2463" s="1519"/>
      <c r="F2463" s="1519"/>
      <c r="G2463" s="1519"/>
      <c r="H2463" s="1519"/>
    </row>
    <row r="2464" spans="1:8">
      <c r="A2464" s="1518" t="s">
        <v>671</v>
      </c>
      <c r="B2464" s="1519"/>
      <c r="C2464" s="1519"/>
      <c r="D2464" s="1519"/>
      <c r="E2464" s="1519"/>
      <c r="F2464" s="1519"/>
      <c r="G2464" s="1519"/>
      <c r="H2464" s="1519"/>
    </row>
    <row r="2466" spans="1:8">
      <c r="A2466" s="1519" t="s">
        <v>91</v>
      </c>
      <c r="B2466" s="1519"/>
      <c r="C2466" s="1519"/>
      <c r="D2466" s="1519"/>
      <c r="E2466" s="1519"/>
      <c r="F2466" s="1519"/>
      <c r="G2466" s="1519"/>
      <c r="H2466" s="1519"/>
    </row>
    <row r="2468" spans="1:8">
      <c r="A2468" s="1519" t="s">
        <v>112</v>
      </c>
      <c r="B2468" s="1519"/>
      <c r="C2468" s="1519"/>
      <c r="D2468" s="1519"/>
      <c r="E2468" s="1519"/>
      <c r="F2468" s="1519"/>
      <c r="G2468" s="1519"/>
      <c r="H2468" s="1519"/>
    </row>
    <row r="2470" spans="1:8">
      <c r="A2470" s="198" t="s">
        <v>30</v>
      </c>
      <c r="B2470" s="198" t="s">
        <v>19</v>
      </c>
      <c r="C2470" s="198" t="s">
        <v>92</v>
      </c>
      <c r="D2470" s="198" t="s">
        <v>88</v>
      </c>
      <c r="E2470" s="198" t="s">
        <v>93</v>
      </c>
      <c r="F2470" s="198" t="s">
        <v>94</v>
      </c>
      <c r="G2470" s="198" t="s">
        <v>95</v>
      </c>
      <c r="H2470" s="198" t="s">
        <v>96</v>
      </c>
    </row>
    <row r="2471" spans="1:8">
      <c r="A2471" s="207" t="s">
        <v>666</v>
      </c>
      <c r="B2471" s="207" t="s">
        <v>667</v>
      </c>
      <c r="C2471" s="207" t="s">
        <v>99</v>
      </c>
      <c r="D2471" s="207" t="s">
        <v>113</v>
      </c>
      <c r="E2471" s="207" t="s">
        <v>672</v>
      </c>
      <c r="F2471" s="207" t="s">
        <v>668</v>
      </c>
      <c r="G2471" s="207" t="s">
        <v>673</v>
      </c>
      <c r="H2471" s="207" t="s">
        <v>672</v>
      </c>
    </row>
    <row r="2472" spans="1:8">
      <c r="A2472" s="207" t="s">
        <v>641</v>
      </c>
      <c r="B2472" s="207" t="s">
        <v>642</v>
      </c>
      <c r="C2472" s="207" t="s">
        <v>99</v>
      </c>
      <c r="D2472" s="207" t="s">
        <v>115</v>
      </c>
      <c r="E2472" s="207" t="s">
        <v>184</v>
      </c>
      <c r="F2472" s="207" t="s">
        <v>643</v>
      </c>
      <c r="G2472" s="207" t="s">
        <v>669</v>
      </c>
      <c r="H2472" s="207" t="s">
        <v>184</v>
      </c>
    </row>
    <row r="2473" spans="1:8">
      <c r="A2473" s="207" t="s">
        <v>644</v>
      </c>
      <c r="B2473" s="207" t="s">
        <v>645</v>
      </c>
      <c r="C2473" s="207" t="s">
        <v>99</v>
      </c>
      <c r="D2473" s="207" t="s">
        <v>115</v>
      </c>
      <c r="E2473" s="207" t="s">
        <v>646</v>
      </c>
      <c r="F2473" s="207" t="s">
        <v>647</v>
      </c>
      <c r="G2473" s="207" t="s">
        <v>648</v>
      </c>
      <c r="H2473" s="207" t="s">
        <v>646</v>
      </c>
    </row>
    <row r="2474" spans="1:8">
      <c r="A2474" s="207" t="s">
        <v>654</v>
      </c>
      <c r="B2474" s="207" t="s">
        <v>655</v>
      </c>
      <c r="C2474" s="207" t="s">
        <v>121</v>
      </c>
      <c r="D2474" s="207" t="s">
        <v>118</v>
      </c>
      <c r="E2474" s="207" t="s">
        <v>356</v>
      </c>
      <c r="F2474" s="207" t="s">
        <v>657</v>
      </c>
      <c r="G2474" s="207" t="s">
        <v>178</v>
      </c>
      <c r="H2474" s="207" t="s">
        <v>356</v>
      </c>
    </row>
    <row r="2475" spans="1:8">
      <c r="A2475" s="207" t="s">
        <v>122</v>
      </c>
      <c r="B2475" s="207" t="s">
        <v>123</v>
      </c>
      <c r="C2475" s="207" t="s">
        <v>121</v>
      </c>
      <c r="D2475" s="207" t="s">
        <v>118</v>
      </c>
      <c r="E2475" s="207" t="s">
        <v>674</v>
      </c>
      <c r="F2475" s="207" t="s">
        <v>606</v>
      </c>
      <c r="G2475" s="207" t="s">
        <v>675</v>
      </c>
      <c r="H2475" s="207" t="s">
        <v>674</v>
      </c>
    </row>
    <row r="2476" spans="1:8">
      <c r="A2476" s="207"/>
      <c r="B2476" s="207"/>
      <c r="C2476" s="207"/>
      <c r="D2476" s="207"/>
      <c r="E2476" s="207"/>
      <c r="F2476" s="207" t="s">
        <v>103</v>
      </c>
      <c r="G2476" s="207" t="s">
        <v>552</v>
      </c>
      <c r="H2476" s="207"/>
    </row>
    <row r="2477" spans="1:8">
      <c r="A2477" s="207"/>
      <c r="B2477" s="207"/>
      <c r="C2477" s="207"/>
      <c r="D2477" s="207"/>
      <c r="E2477" s="207"/>
      <c r="F2477" s="207" t="s">
        <v>105</v>
      </c>
      <c r="G2477" s="207" t="s">
        <v>181</v>
      </c>
      <c r="H2477" s="207"/>
    </row>
    <row r="2478" spans="1:8">
      <c r="A2478" s="207"/>
      <c r="B2478" s="207"/>
      <c r="C2478" s="207"/>
      <c r="D2478" s="207"/>
      <c r="E2478" s="207"/>
      <c r="F2478" s="207" t="s">
        <v>106</v>
      </c>
      <c r="G2478" s="207" t="s">
        <v>676</v>
      </c>
      <c r="H2478" s="207"/>
    </row>
    <row r="2480" spans="1:8">
      <c r="A2480" s="1518" t="s">
        <v>107</v>
      </c>
      <c r="B2480" s="1519"/>
      <c r="C2480" s="1519"/>
      <c r="D2480" s="1519"/>
      <c r="E2480" s="1519"/>
      <c r="F2480" s="1519"/>
      <c r="G2480" s="1519"/>
      <c r="H2480" s="1519"/>
    </row>
    <row r="2481" spans="1:8">
      <c r="A2481" s="207" t="s">
        <v>108</v>
      </c>
      <c r="B2481" s="207" t="s">
        <v>676</v>
      </c>
      <c r="C2481" s="207"/>
      <c r="D2481" s="207"/>
      <c r="E2481" s="207"/>
      <c r="F2481" s="207"/>
      <c r="G2481" s="207"/>
      <c r="H2481" s="207"/>
    </row>
    <row r="2482" spans="1:8">
      <c r="A2482" s="207" t="s">
        <v>109</v>
      </c>
      <c r="B2482" s="207" t="s">
        <v>677</v>
      </c>
      <c r="C2482" s="207"/>
      <c r="D2482" s="207"/>
      <c r="E2482" s="207"/>
      <c r="F2482" s="207"/>
      <c r="G2482" s="207"/>
      <c r="H2482" s="207"/>
    </row>
    <row r="2483" spans="1:8">
      <c r="A2483" s="207" t="s">
        <v>110</v>
      </c>
      <c r="B2483" s="207" t="s">
        <v>678</v>
      </c>
      <c r="C2483" s="207"/>
      <c r="D2483" s="207"/>
      <c r="E2483" s="207"/>
      <c r="F2483" s="207"/>
      <c r="G2483" s="207"/>
      <c r="H2483" s="207"/>
    </row>
    <row r="2484" spans="1:8">
      <c r="A2484" s="207" t="s">
        <v>111</v>
      </c>
      <c r="B2484" s="207" t="s">
        <v>679</v>
      </c>
      <c r="C2484" s="207"/>
      <c r="D2484" s="207"/>
      <c r="E2484" s="207"/>
      <c r="F2484" s="207"/>
      <c r="G2484" s="207"/>
      <c r="H2484" s="207"/>
    </row>
    <row r="2486" spans="1:8">
      <c r="A2486" s="1518" t="s">
        <v>680</v>
      </c>
      <c r="B2486" s="1519"/>
      <c r="C2486" s="1519"/>
      <c r="D2486" s="1519"/>
      <c r="E2486" s="1519"/>
      <c r="F2486" s="1519"/>
      <c r="G2486" s="1519"/>
      <c r="H2486" s="1519"/>
    </row>
    <row r="2487" spans="1:8">
      <c r="A2487" s="1518" t="s">
        <v>681</v>
      </c>
      <c r="B2487" s="1519"/>
      <c r="C2487" s="1519"/>
      <c r="D2487" s="1519"/>
      <c r="E2487" s="1519"/>
      <c r="F2487" s="1519"/>
      <c r="G2487" s="1519"/>
      <c r="H2487" s="1519"/>
    </row>
    <row r="2489" spans="1:8">
      <c r="A2489" s="1519" t="s">
        <v>91</v>
      </c>
      <c r="B2489" s="1519"/>
      <c r="C2489" s="1519"/>
      <c r="D2489" s="1519"/>
      <c r="E2489" s="1519"/>
      <c r="F2489" s="1519"/>
      <c r="G2489" s="1519"/>
      <c r="H2489" s="1519"/>
    </row>
    <row r="2491" spans="1:8">
      <c r="A2491" s="1519" t="s">
        <v>112</v>
      </c>
      <c r="B2491" s="1519"/>
      <c r="C2491" s="1519"/>
      <c r="D2491" s="1519"/>
      <c r="E2491" s="1519"/>
      <c r="F2491" s="1519"/>
      <c r="G2491" s="1519"/>
      <c r="H2491" s="1519"/>
    </row>
    <row r="2493" spans="1:8">
      <c r="A2493" s="198" t="s">
        <v>30</v>
      </c>
      <c r="B2493" s="198" t="s">
        <v>19</v>
      </c>
      <c r="C2493" s="198" t="s">
        <v>92</v>
      </c>
      <c r="D2493" s="198" t="s">
        <v>88</v>
      </c>
      <c r="E2493" s="198" t="s">
        <v>93</v>
      </c>
      <c r="F2493" s="198" t="s">
        <v>94</v>
      </c>
      <c r="G2493" s="198" t="s">
        <v>95</v>
      </c>
      <c r="H2493" s="198" t="s">
        <v>96</v>
      </c>
    </row>
    <row r="2494" spans="1:8">
      <c r="A2494" s="207" t="s">
        <v>682</v>
      </c>
      <c r="B2494" s="207" t="s">
        <v>683</v>
      </c>
      <c r="C2494" s="207" t="s">
        <v>121</v>
      </c>
      <c r="D2494" s="207" t="s">
        <v>125</v>
      </c>
      <c r="E2494" s="207" t="s">
        <v>684</v>
      </c>
      <c r="F2494" s="207" t="s">
        <v>685</v>
      </c>
      <c r="G2494" s="207" t="s">
        <v>686</v>
      </c>
      <c r="H2494" s="207" t="s">
        <v>684</v>
      </c>
    </row>
    <row r="2495" spans="1:8">
      <c r="A2495" s="207" t="s">
        <v>130</v>
      </c>
      <c r="B2495" s="207" t="s">
        <v>131</v>
      </c>
      <c r="C2495" s="207" t="s">
        <v>121</v>
      </c>
      <c r="D2495" s="207" t="s">
        <v>118</v>
      </c>
      <c r="E2495" s="207" t="s">
        <v>687</v>
      </c>
      <c r="F2495" s="207" t="s">
        <v>603</v>
      </c>
      <c r="G2495" s="207" t="s">
        <v>607</v>
      </c>
      <c r="H2495" s="207" t="s">
        <v>687</v>
      </c>
    </row>
    <row r="2496" spans="1:8">
      <c r="A2496" s="207" t="s">
        <v>122</v>
      </c>
      <c r="B2496" s="207" t="s">
        <v>123</v>
      </c>
      <c r="C2496" s="207" t="s">
        <v>121</v>
      </c>
      <c r="D2496" s="207" t="s">
        <v>118</v>
      </c>
      <c r="E2496" s="207" t="s">
        <v>363</v>
      </c>
      <c r="F2496" s="207" t="s">
        <v>606</v>
      </c>
      <c r="G2496" s="207" t="s">
        <v>129</v>
      </c>
      <c r="H2496" s="207" t="s">
        <v>363</v>
      </c>
    </row>
    <row r="2497" spans="1:8">
      <c r="A2497" s="207"/>
      <c r="B2497" s="207"/>
      <c r="C2497" s="207"/>
      <c r="D2497" s="207"/>
      <c r="E2497" s="207"/>
      <c r="F2497" s="207" t="s">
        <v>103</v>
      </c>
      <c r="G2497" s="207" t="s">
        <v>688</v>
      </c>
      <c r="H2497" s="207"/>
    </row>
    <row r="2498" spans="1:8">
      <c r="A2498" s="207"/>
      <c r="B2498" s="207"/>
      <c r="C2498" s="207"/>
      <c r="D2498" s="207"/>
      <c r="E2498" s="207"/>
      <c r="F2498" s="207" t="s">
        <v>105</v>
      </c>
      <c r="G2498" s="207" t="s">
        <v>689</v>
      </c>
      <c r="H2498" s="207"/>
    </row>
    <row r="2499" spans="1:8">
      <c r="A2499" s="207"/>
      <c r="B2499" s="207"/>
      <c r="C2499" s="207"/>
      <c r="D2499" s="207"/>
      <c r="E2499" s="207"/>
      <c r="F2499" s="207" t="s">
        <v>106</v>
      </c>
      <c r="G2499" s="207" t="s">
        <v>690</v>
      </c>
      <c r="H2499" s="207"/>
    </row>
    <row r="2501" spans="1:8">
      <c r="A2501" s="1518" t="s">
        <v>107</v>
      </c>
      <c r="B2501" s="1519"/>
      <c r="C2501" s="1519"/>
      <c r="D2501" s="1519"/>
      <c r="E2501" s="1519"/>
      <c r="F2501" s="1519"/>
      <c r="G2501" s="1519"/>
      <c r="H2501" s="1519"/>
    </row>
    <row r="2502" spans="1:8">
      <c r="A2502" s="207" t="s">
        <v>108</v>
      </c>
      <c r="B2502" s="207" t="s">
        <v>690</v>
      </c>
      <c r="C2502" s="207"/>
      <c r="D2502" s="207"/>
      <c r="E2502" s="207"/>
      <c r="F2502" s="207"/>
      <c r="G2502" s="207"/>
      <c r="H2502" s="207"/>
    </row>
    <row r="2503" spans="1:8">
      <c r="A2503" s="207" t="s">
        <v>109</v>
      </c>
      <c r="B2503" s="207" t="s">
        <v>102</v>
      </c>
      <c r="C2503" s="207"/>
      <c r="D2503" s="207"/>
      <c r="E2503" s="207"/>
      <c r="F2503" s="207"/>
      <c r="G2503" s="207"/>
      <c r="H2503" s="207"/>
    </row>
    <row r="2504" spans="1:8">
      <c r="A2504" s="207" t="s">
        <v>110</v>
      </c>
      <c r="B2504" s="207" t="s">
        <v>691</v>
      </c>
      <c r="C2504" s="207"/>
      <c r="D2504" s="207"/>
      <c r="E2504" s="207"/>
      <c r="F2504" s="207"/>
      <c r="G2504" s="207"/>
      <c r="H2504" s="207"/>
    </row>
    <row r="2505" spans="1:8">
      <c r="A2505" s="207" t="s">
        <v>111</v>
      </c>
      <c r="B2505" s="207" t="s">
        <v>692</v>
      </c>
      <c r="C2505" s="207"/>
      <c r="D2505" s="207"/>
      <c r="E2505" s="207"/>
      <c r="F2505" s="207"/>
      <c r="G2505" s="207"/>
      <c r="H2505" s="207"/>
    </row>
    <row r="2507" spans="1:8">
      <c r="A2507" s="1518" t="s">
        <v>693</v>
      </c>
      <c r="B2507" s="1519"/>
      <c r="C2507" s="1519"/>
      <c r="D2507" s="1519"/>
      <c r="E2507" s="1519"/>
      <c r="F2507" s="1519"/>
      <c r="G2507" s="1519"/>
      <c r="H2507" s="1519"/>
    </row>
    <row r="2508" spans="1:8">
      <c r="A2508" s="1518" t="s">
        <v>694</v>
      </c>
      <c r="B2508" s="1519"/>
      <c r="C2508" s="1519"/>
      <c r="D2508" s="1519"/>
      <c r="E2508" s="1519"/>
      <c r="F2508" s="1519"/>
      <c r="G2508" s="1519"/>
      <c r="H2508" s="1519"/>
    </row>
    <row r="2510" spans="1:8">
      <c r="A2510" s="1519" t="s">
        <v>531</v>
      </c>
      <c r="B2510" s="1519"/>
      <c r="C2510" s="1519"/>
      <c r="D2510" s="1519"/>
      <c r="E2510" s="1519"/>
      <c r="F2510" s="1519"/>
      <c r="G2510" s="1519"/>
      <c r="H2510" s="1519"/>
    </row>
    <row r="2512" spans="1:8">
      <c r="A2512" s="1519" t="s">
        <v>112</v>
      </c>
      <c r="B2512" s="1519"/>
      <c r="C2512" s="1519"/>
      <c r="D2512" s="1519"/>
      <c r="E2512" s="1519"/>
      <c r="F2512" s="1519"/>
      <c r="G2512" s="1519"/>
      <c r="H2512" s="1519"/>
    </row>
    <row r="2514" spans="1:8">
      <c r="A2514" s="198" t="s">
        <v>30</v>
      </c>
      <c r="B2514" s="198" t="s">
        <v>19</v>
      </c>
      <c r="C2514" s="198" t="s">
        <v>92</v>
      </c>
      <c r="D2514" s="198" t="s">
        <v>88</v>
      </c>
      <c r="E2514" s="198" t="s">
        <v>93</v>
      </c>
      <c r="F2514" s="198" t="s">
        <v>94</v>
      </c>
      <c r="G2514" s="198" t="s">
        <v>95</v>
      </c>
      <c r="H2514" s="198" t="s">
        <v>96</v>
      </c>
    </row>
    <row r="2515" spans="1:8">
      <c r="A2515" s="207" t="s">
        <v>695</v>
      </c>
      <c r="B2515" s="207" t="s">
        <v>696</v>
      </c>
      <c r="C2515" s="207" t="s">
        <v>117</v>
      </c>
      <c r="D2515" s="207" t="s">
        <v>118</v>
      </c>
      <c r="E2515" s="207" t="s">
        <v>697</v>
      </c>
      <c r="F2515" s="207" t="s">
        <v>533</v>
      </c>
      <c r="G2515" s="207" t="s">
        <v>698</v>
      </c>
      <c r="H2515" s="207" t="s">
        <v>697</v>
      </c>
    </row>
    <row r="2516" spans="1:8">
      <c r="A2516" s="207" t="s">
        <v>534</v>
      </c>
      <c r="B2516" s="207" t="s">
        <v>116</v>
      </c>
      <c r="C2516" s="207" t="s">
        <v>117</v>
      </c>
      <c r="D2516" s="207" t="s">
        <v>118</v>
      </c>
      <c r="E2516" s="207" t="s">
        <v>697</v>
      </c>
      <c r="F2516" s="207" t="s">
        <v>535</v>
      </c>
      <c r="G2516" s="207" t="s">
        <v>341</v>
      </c>
      <c r="H2516" s="207" t="s">
        <v>697</v>
      </c>
    </row>
    <row r="2517" spans="1:8">
      <c r="A2517" s="207" t="s">
        <v>699</v>
      </c>
      <c r="B2517" s="207" t="s">
        <v>700</v>
      </c>
      <c r="C2517" s="207" t="s">
        <v>99</v>
      </c>
      <c r="D2517" s="207" t="s">
        <v>113</v>
      </c>
      <c r="E2517" s="207" t="s">
        <v>701</v>
      </c>
      <c r="F2517" s="207" t="s">
        <v>702</v>
      </c>
      <c r="G2517" s="207" t="s">
        <v>703</v>
      </c>
      <c r="H2517" s="207" t="s">
        <v>701</v>
      </c>
    </row>
    <row r="2518" spans="1:8">
      <c r="A2518" s="207" t="s">
        <v>704</v>
      </c>
      <c r="B2518" s="207" t="s">
        <v>705</v>
      </c>
      <c r="C2518" s="207" t="s">
        <v>99</v>
      </c>
      <c r="D2518" s="207" t="s">
        <v>115</v>
      </c>
      <c r="E2518" s="207" t="s">
        <v>269</v>
      </c>
      <c r="F2518" s="207" t="s">
        <v>706</v>
      </c>
      <c r="G2518" s="207" t="s">
        <v>707</v>
      </c>
      <c r="H2518" s="207" t="s">
        <v>269</v>
      </c>
    </row>
    <row r="2519" spans="1:8">
      <c r="A2519" s="207"/>
      <c r="B2519" s="207"/>
      <c r="C2519" s="207"/>
      <c r="D2519" s="207"/>
      <c r="E2519" s="207"/>
      <c r="F2519" s="207" t="s">
        <v>103</v>
      </c>
      <c r="G2519" s="207" t="s">
        <v>708</v>
      </c>
      <c r="H2519" s="207"/>
    </row>
    <row r="2520" spans="1:8">
      <c r="A2520" s="207"/>
      <c r="B2520" s="207"/>
      <c r="C2520" s="207"/>
      <c r="D2520" s="207"/>
      <c r="E2520" s="207"/>
      <c r="F2520" s="207" t="s">
        <v>105</v>
      </c>
      <c r="G2520" s="207" t="s">
        <v>709</v>
      </c>
      <c r="H2520" s="207"/>
    </row>
    <row r="2521" spans="1:8">
      <c r="A2521" s="207"/>
      <c r="B2521" s="207"/>
      <c r="C2521" s="207"/>
      <c r="D2521" s="207"/>
      <c r="E2521" s="207"/>
      <c r="F2521" s="207" t="s">
        <v>106</v>
      </c>
      <c r="G2521" s="207" t="s">
        <v>710</v>
      </c>
      <c r="H2521" s="207"/>
    </row>
    <row r="2523" spans="1:8">
      <c r="A2523" s="1518" t="s">
        <v>107</v>
      </c>
      <c r="B2523" s="1519"/>
      <c r="C2523" s="1519"/>
      <c r="D2523" s="1519"/>
      <c r="E2523" s="1519"/>
      <c r="F2523" s="1519"/>
      <c r="G2523" s="1519"/>
      <c r="H2523" s="1519"/>
    </row>
    <row r="2524" spans="1:8">
      <c r="A2524" s="207" t="s">
        <v>108</v>
      </c>
      <c r="B2524" s="207" t="s">
        <v>710</v>
      </c>
      <c r="C2524" s="207"/>
      <c r="D2524" s="207"/>
      <c r="E2524" s="207"/>
      <c r="F2524" s="207"/>
      <c r="G2524" s="207"/>
      <c r="H2524" s="207"/>
    </row>
    <row r="2525" spans="1:8">
      <c r="A2525" s="207" t="s">
        <v>109</v>
      </c>
      <c r="B2525" s="207" t="s">
        <v>711</v>
      </c>
      <c r="C2525" s="207"/>
      <c r="D2525" s="207"/>
      <c r="E2525" s="207"/>
      <c r="F2525" s="207"/>
      <c r="G2525" s="207"/>
      <c r="H2525" s="207"/>
    </row>
    <row r="2526" spans="1:8">
      <c r="A2526" s="207" t="s">
        <v>110</v>
      </c>
      <c r="B2526" s="207" t="s">
        <v>712</v>
      </c>
      <c r="C2526" s="207"/>
      <c r="D2526" s="207"/>
      <c r="E2526" s="207"/>
      <c r="F2526" s="207"/>
      <c r="G2526" s="207"/>
      <c r="H2526" s="207"/>
    </row>
    <row r="2527" spans="1:8">
      <c r="A2527" s="207" t="s">
        <v>111</v>
      </c>
      <c r="B2527" s="207" t="s">
        <v>713</v>
      </c>
      <c r="C2527" s="207"/>
      <c r="D2527" s="207"/>
      <c r="E2527" s="207"/>
      <c r="F2527" s="207"/>
      <c r="G2527" s="207"/>
      <c r="H2527" s="207"/>
    </row>
    <row r="2528" spans="1:8">
      <c r="A2528" s="207"/>
      <c r="B2528" s="207"/>
      <c r="C2528" s="207"/>
      <c r="D2528" s="207"/>
      <c r="E2528" s="207"/>
      <c r="F2528" s="207"/>
      <c r="G2528" s="207"/>
      <c r="H2528" s="207"/>
    </row>
    <row r="2529" spans="1:8">
      <c r="A2529" s="207"/>
      <c r="B2529" s="207"/>
      <c r="C2529" s="207"/>
      <c r="D2529" s="207"/>
      <c r="E2529" s="207"/>
      <c r="F2529" s="207"/>
      <c r="G2529" s="207"/>
      <c r="H2529" s="207"/>
    </row>
    <row r="2530" spans="1:8">
      <c r="A2530" s="1518" t="s">
        <v>785</v>
      </c>
      <c r="B2530" s="1519"/>
      <c r="C2530" s="1519"/>
      <c r="D2530" s="1519"/>
      <c r="E2530" s="1519"/>
      <c r="F2530" s="1519"/>
      <c r="G2530" s="1519"/>
      <c r="H2530" s="1519"/>
    </row>
    <row r="2531" spans="1:8">
      <c r="A2531" s="1518" t="s">
        <v>786</v>
      </c>
      <c r="B2531" s="1519"/>
      <c r="C2531" s="1519"/>
      <c r="D2531" s="1519"/>
      <c r="E2531" s="1519"/>
      <c r="F2531" s="1519"/>
      <c r="G2531" s="1519"/>
      <c r="H2531" s="1519"/>
    </row>
    <row r="2532" spans="1:8">
      <c r="A2532" s="207"/>
      <c r="B2532" s="207"/>
      <c r="C2532" s="207"/>
      <c r="D2532" s="207"/>
      <c r="E2532" s="207"/>
      <c r="F2532" s="207"/>
      <c r="G2532" s="207"/>
      <c r="H2532" s="207"/>
    </row>
    <row r="2533" spans="1:8">
      <c r="A2533" s="1519" t="s">
        <v>120</v>
      </c>
      <c r="B2533" s="1519"/>
      <c r="C2533" s="1519"/>
      <c r="D2533" s="1519"/>
      <c r="E2533" s="1519"/>
      <c r="F2533" s="1519"/>
      <c r="G2533" s="1519"/>
      <c r="H2533" s="1519"/>
    </row>
    <row r="2534" spans="1:8">
      <c r="A2534" s="207"/>
      <c r="B2534" s="207"/>
      <c r="C2534" s="207"/>
      <c r="D2534" s="207"/>
      <c r="E2534" s="207"/>
      <c r="F2534" s="207"/>
      <c r="G2534" s="207"/>
      <c r="H2534" s="207"/>
    </row>
    <row r="2535" spans="1:8">
      <c r="A2535" s="1519" t="s">
        <v>112</v>
      </c>
      <c r="B2535" s="1519"/>
      <c r="C2535" s="1519"/>
      <c r="D2535" s="1519"/>
      <c r="E2535" s="1519"/>
      <c r="F2535" s="1519"/>
      <c r="G2535" s="1519"/>
      <c r="H2535" s="1519"/>
    </row>
    <row r="2536" spans="1:8">
      <c r="A2536" s="207"/>
      <c r="B2536" s="207"/>
      <c r="C2536" s="207"/>
      <c r="D2536" s="207"/>
      <c r="E2536" s="207"/>
      <c r="F2536" s="207"/>
      <c r="G2536" s="207"/>
      <c r="H2536" s="207"/>
    </row>
    <row r="2537" spans="1:8">
      <c r="A2537" s="198" t="s">
        <v>30</v>
      </c>
      <c r="B2537" s="198" t="s">
        <v>19</v>
      </c>
      <c r="C2537" s="198" t="s">
        <v>92</v>
      </c>
      <c r="D2537" s="198" t="s">
        <v>88</v>
      </c>
      <c r="E2537" s="198" t="s">
        <v>93</v>
      </c>
      <c r="F2537" s="198" t="s">
        <v>94</v>
      </c>
      <c r="G2537" s="198" t="s">
        <v>95</v>
      </c>
      <c r="H2537" s="198" t="s">
        <v>96</v>
      </c>
    </row>
    <row r="2538" spans="1:8">
      <c r="A2538" s="207" t="s">
        <v>787</v>
      </c>
      <c r="B2538" s="207" t="s">
        <v>788</v>
      </c>
      <c r="C2538" s="207" t="s">
        <v>99</v>
      </c>
      <c r="D2538" s="207" t="s">
        <v>115</v>
      </c>
      <c r="E2538" s="207" t="s">
        <v>299</v>
      </c>
      <c r="F2538" s="207" t="s">
        <v>789</v>
      </c>
      <c r="G2538" s="207" t="s">
        <v>674</v>
      </c>
      <c r="H2538" s="207" t="s">
        <v>299</v>
      </c>
    </row>
    <row r="2539" spans="1:8">
      <c r="A2539" s="207" t="s">
        <v>790</v>
      </c>
      <c r="B2539" s="207" t="s">
        <v>791</v>
      </c>
      <c r="C2539" s="207" t="s">
        <v>99</v>
      </c>
      <c r="D2539" s="207" t="s">
        <v>115</v>
      </c>
      <c r="E2539" s="207" t="s">
        <v>299</v>
      </c>
      <c r="F2539" s="207" t="s">
        <v>792</v>
      </c>
      <c r="G2539" s="207" t="s">
        <v>793</v>
      </c>
      <c r="H2539" s="207" t="s">
        <v>299</v>
      </c>
    </row>
    <row r="2540" spans="1:8">
      <c r="A2540" s="207" t="s">
        <v>794</v>
      </c>
      <c r="B2540" s="207" t="s">
        <v>795</v>
      </c>
      <c r="C2540" s="207" t="s">
        <v>121</v>
      </c>
      <c r="D2540" s="207" t="s">
        <v>125</v>
      </c>
      <c r="E2540" s="207" t="s">
        <v>796</v>
      </c>
      <c r="F2540" s="207" t="s">
        <v>797</v>
      </c>
      <c r="G2540" s="207" t="s">
        <v>706</v>
      </c>
      <c r="H2540" s="207" t="s">
        <v>796</v>
      </c>
    </row>
    <row r="2541" spans="1:8">
      <c r="A2541" s="207" t="s">
        <v>798</v>
      </c>
      <c r="B2541" s="207" t="s">
        <v>799</v>
      </c>
      <c r="C2541" s="207" t="s">
        <v>99</v>
      </c>
      <c r="D2541" s="207" t="s">
        <v>113</v>
      </c>
      <c r="E2541" s="207" t="s">
        <v>701</v>
      </c>
      <c r="F2541" s="207" t="s">
        <v>800</v>
      </c>
      <c r="G2541" s="207" t="s">
        <v>801</v>
      </c>
      <c r="H2541" s="207" t="s">
        <v>701</v>
      </c>
    </row>
    <row r="2542" spans="1:8">
      <c r="A2542" s="207" t="s">
        <v>802</v>
      </c>
      <c r="B2542" s="207" t="s">
        <v>803</v>
      </c>
      <c r="C2542" s="207" t="s">
        <v>121</v>
      </c>
      <c r="D2542" s="207" t="s">
        <v>113</v>
      </c>
      <c r="E2542" s="207" t="s">
        <v>114</v>
      </c>
      <c r="F2542" s="207" t="s">
        <v>146</v>
      </c>
      <c r="G2542" s="207" t="s">
        <v>146</v>
      </c>
      <c r="H2542" s="207" t="s">
        <v>114</v>
      </c>
    </row>
    <row r="2543" spans="1:8">
      <c r="A2543" s="207" t="s">
        <v>804</v>
      </c>
      <c r="B2543" s="207" t="s">
        <v>805</v>
      </c>
      <c r="C2543" s="207" t="s">
        <v>121</v>
      </c>
      <c r="D2543" s="207" t="s">
        <v>113</v>
      </c>
      <c r="E2543" s="207" t="s">
        <v>114</v>
      </c>
      <c r="F2543" s="207" t="s">
        <v>806</v>
      </c>
      <c r="G2543" s="207" t="s">
        <v>806</v>
      </c>
      <c r="H2543" s="207" t="s">
        <v>114</v>
      </c>
    </row>
    <row r="2544" spans="1:8">
      <c r="A2544" s="207" t="s">
        <v>807</v>
      </c>
      <c r="B2544" s="207" t="s">
        <v>808</v>
      </c>
      <c r="C2544" s="207" t="s">
        <v>117</v>
      </c>
      <c r="D2544" s="207" t="s">
        <v>118</v>
      </c>
      <c r="E2544" s="207" t="s">
        <v>809</v>
      </c>
      <c r="F2544" s="207" t="s">
        <v>810</v>
      </c>
      <c r="G2544" s="207" t="s">
        <v>811</v>
      </c>
      <c r="H2544" s="207" t="s">
        <v>809</v>
      </c>
    </row>
    <row r="2545" spans="1:8">
      <c r="A2545" s="207" t="s">
        <v>187</v>
      </c>
      <c r="B2545" s="207" t="s">
        <v>188</v>
      </c>
      <c r="C2545" s="207" t="s">
        <v>117</v>
      </c>
      <c r="D2545" s="207" t="s">
        <v>118</v>
      </c>
      <c r="E2545" s="207" t="s">
        <v>809</v>
      </c>
      <c r="F2545" s="207" t="s">
        <v>189</v>
      </c>
      <c r="G2545" s="207" t="s">
        <v>812</v>
      </c>
      <c r="H2545" s="207" t="s">
        <v>809</v>
      </c>
    </row>
    <row r="2546" spans="1:8">
      <c r="A2546" s="207"/>
      <c r="B2546" s="207"/>
      <c r="C2546" s="207"/>
      <c r="D2546" s="207"/>
      <c r="E2546" s="207"/>
      <c r="F2546" s="207" t="s">
        <v>103</v>
      </c>
      <c r="G2546" s="207" t="s">
        <v>813</v>
      </c>
      <c r="H2546" s="207"/>
    </row>
    <row r="2547" spans="1:8">
      <c r="A2547" s="207"/>
      <c r="B2547" s="207"/>
      <c r="C2547" s="207"/>
      <c r="D2547" s="207"/>
      <c r="E2547" s="207"/>
      <c r="F2547" s="207" t="s">
        <v>105</v>
      </c>
      <c r="G2547" s="207" t="s">
        <v>814</v>
      </c>
      <c r="H2547" s="207"/>
    </row>
    <row r="2548" spans="1:8">
      <c r="A2548" s="207"/>
      <c r="B2548" s="207"/>
      <c r="C2548" s="207"/>
      <c r="D2548" s="207"/>
      <c r="E2548" s="207"/>
      <c r="F2548" s="207" t="s">
        <v>106</v>
      </c>
      <c r="G2548" s="207" t="s">
        <v>815</v>
      </c>
      <c r="H2548" s="207"/>
    </row>
    <row r="2549" spans="1:8">
      <c r="A2549" s="207"/>
      <c r="B2549" s="207"/>
      <c r="C2549" s="207"/>
      <c r="D2549" s="207"/>
      <c r="E2549" s="207"/>
      <c r="F2549" s="207"/>
      <c r="G2549" s="207"/>
      <c r="H2549" s="207"/>
    </row>
    <row r="2550" spans="1:8">
      <c r="A2550" s="1518" t="s">
        <v>107</v>
      </c>
      <c r="B2550" s="1519"/>
      <c r="C2550" s="1519"/>
      <c r="D2550" s="1519"/>
      <c r="E2550" s="1519"/>
      <c r="F2550" s="1519"/>
      <c r="G2550" s="1519"/>
      <c r="H2550" s="1519"/>
    </row>
    <row r="2551" spans="1:8">
      <c r="A2551" s="207" t="s">
        <v>108</v>
      </c>
      <c r="B2551" s="207" t="s">
        <v>815</v>
      </c>
      <c r="C2551" s="207"/>
      <c r="D2551" s="207"/>
      <c r="E2551" s="207"/>
      <c r="F2551" s="207"/>
      <c r="G2551" s="207"/>
      <c r="H2551" s="207"/>
    </row>
    <row r="2552" spans="1:8">
      <c r="A2552" s="207" t="s">
        <v>109</v>
      </c>
      <c r="B2552" s="207" t="s">
        <v>816</v>
      </c>
      <c r="C2552" s="207"/>
      <c r="D2552" s="207"/>
      <c r="E2552" s="207"/>
      <c r="F2552" s="207"/>
      <c r="G2552" s="207"/>
      <c r="H2552" s="207"/>
    </row>
    <row r="2553" spans="1:8">
      <c r="A2553" s="207" t="s">
        <v>110</v>
      </c>
      <c r="B2553" s="207" t="s">
        <v>817</v>
      </c>
      <c r="C2553" s="207"/>
      <c r="D2553" s="207"/>
      <c r="E2553" s="207"/>
      <c r="F2553" s="207"/>
      <c r="G2553" s="207"/>
      <c r="H2553" s="207"/>
    </row>
    <row r="2554" spans="1:8">
      <c r="A2554" s="207" t="s">
        <v>111</v>
      </c>
      <c r="B2554" s="207" t="s">
        <v>818</v>
      </c>
      <c r="C2554" s="207"/>
      <c r="D2554" s="207"/>
      <c r="E2554" s="207"/>
      <c r="F2554" s="207"/>
      <c r="G2554" s="207"/>
      <c r="H2554" s="207"/>
    </row>
    <row r="2555" spans="1:8">
      <c r="A2555" s="207"/>
      <c r="B2555" s="207"/>
      <c r="C2555" s="207"/>
      <c r="D2555" s="207"/>
      <c r="E2555" s="207"/>
      <c r="F2555" s="207"/>
      <c r="G2555" s="207"/>
      <c r="H2555" s="207"/>
    </row>
    <row r="2557" spans="1:8">
      <c r="A2557" s="1518" t="s">
        <v>736</v>
      </c>
      <c r="B2557" s="1519"/>
      <c r="C2557" s="1519"/>
      <c r="D2557" s="1519"/>
      <c r="E2557" s="1519"/>
      <c r="F2557" s="1519"/>
      <c r="G2557" s="1519"/>
      <c r="H2557" s="1519"/>
    </row>
    <row r="2558" spans="1:8">
      <c r="A2558" s="1518" t="s">
        <v>714</v>
      </c>
      <c r="B2558" s="1519"/>
      <c r="C2558" s="1519"/>
      <c r="D2558" s="1519"/>
      <c r="E2558" s="1519"/>
      <c r="F2558" s="1519"/>
      <c r="G2558" s="1519"/>
      <c r="H2558" s="1519"/>
    </row>
    <row r="2560" spans="1:8">
      <c r="A2560" s="1519" t="s">
        <v>737</v>
      </c>
      <c r="B2560" s="1519"/>
      <c r="C2560" s="1519"/>
      <c r="D2560" s="1519"/>
      <c r="E2560" s="1519"/>
      <c r="F2560" s="1519"/>
      <c r="G2560" s="1519"/>
      <c r="H2560" s="1519"/>
    </row>
    <row r="2562" spans="1:8">
      <c r="A2562" s="1519" t="s">
        <v>715</v>
      </c>
      <c r="B2562" s="1519"/>
      <c r="C2562" s="1519"/>
      <c r="D2562" s="1519"/>
      <c r="E2562" s="1519"/>
      <c r="F2562" s="1519"/>
      <c r="G2562" s="1519"/>
      <c r="H2562" s="1519"/>
    </row>
    <row r="2564" spans="1:8">
      <c r="A2564" s="198" t="s">
        <v>30</v>
      </c>
      <c r="B2564" s="198" t="s">
        <v>19</v>
      </c>
      <c r="C2564" s="198" t="s">
        <v>92</v>
      </c>
      <c r="D2564" s="198" t="s">
        <v>88</v>
      </c>
      <c r="E2564" s="198" t="s">
        <v>93</v>
      </c>
      <c r="F2564" s="198" t="s">
        <v>94</v>
      </c>
      <c r="G2564" s="198" t="s">
        <v>95</v>
      </c>
      <c r="H2564" s="198" t="s">
        <v>96</v>
      </c>
    </row>
    <row r="2565" spans="1:8">
      <c r="A2565" s="207" t="s">
        <v>716</v>
      </c>
      <c r="B2565" s="207" t="s">
        <v>717</v>
      </c>
      <c r="C2565" s="207" t="s">
        <v>121</v>
      </c>
      <c r="D2565" s="207" t="s">
        <v>125</v>
      </c>
      <c r="E2565" s="207" t="s">
        <v>718</v>
      </c>
      <c r="F2565" s="207" t="s">
        <v>719</v>
      </c>
      <c r="G2565" s="192">
        <f>E2565*F2565</f>
        <v>0.78922199999999998</v>
      </c>
      <c r="H2565" s="207" t="s">
        <v>718</v>
      </c>
    </row>
    <row r="2566" spans="1:8">
      <c r="A2566" s="207" t="s">
        <v>739</v>
      </c>
      <c r="B2566" s="207" t="s">
        <v>738</v>
      </c>
      <c r="C2566" s="207" t="s">
        <v>99</v>
      </c>
      <c r="D2566" s="207" t="s">
        <v>113</v>
      </c>
      <c r="E2566" s="207" t="s">
        <v>721</v>
      </c>
      <c r="F2566" s="192">
        <v>496</v>
      </c>
      <c r="G2566" s="192">
        <f t="shared" ref="G2566:G2573" si="132">E2566*F2566</f>
        <v>654.72</v>
      </c>
      <c r="H2566" s="207" t="s">
        <v>721</v>
      </c>
    </row>
    <row r="2567" spans="1:8">
      <c r="A2567" s="207" t="s">
        <v>722</v>
      </c>
      <c r="B2567" s="207" t="s">
        <v>723</v>
      </c>
      <c r="C2567" s="207" t="s">
        <v>99</v>
      </c>
      <c r="D2567" s="207" t="s">
        <v>5</v>
      </c>
      <c r="E2567" s="207" t="s">
        <v>114</v>
      </c>
      <c r="F2567" s="207" t="s">
        <v>724</v>
      </c>
      <c r="G2567" s="192">
        <f t="shared" si="132"/>
        <v>56.93</v>
      </c>
      <c r="H2567" s="207" t="s">
        <v>114</v>
      </c>
    </row>
    <row r="2568" spans="1:8">
      <c r="A2568" s="207" t="s">
        <v>725</v>
      </c>
      <c r="B2568" s="207" t="s">
        <v>726</v>
      </c>
      <c r="C2568" s="207" t="s">
        <v>99</v>
      </c>
      <c r="D2568" s="207" t="s">
        <v>115</v>
      </c>
      <c r="E2568" s="207" t="s">
        <v>340</v>
      </c>
      <c r="F2568" s="207" t="s">
        <v>727</v>
      </c>
      <c r="G2568" s="192">
        <f t="shared" si="132"/>
        <v>3.1559999999999997</v>
      </c>
      <c r="H2568" s="207" t="s">
        <v>340</v>
      </c>
    </row>
    <row r="2569" spans="1:8">
      <c r="A2569" s="207" t="s">
        <v>728</v>
      </c>
      <c r="B2569" s="207" t="s">
        <v>729</v>
      </c>
      <c r="C2569" s="207" t="s">
        <v>99</v>
      </c>
      <c r="D2569" s="207" t="s">
        <v>5</v>
      </c>
      <c r="E2569" s="207" t="s">
        <v>114</v>
      </c>
      <c r="F2569" s="207" t="s">
        <v>730</v>
      </c>
      <c r="G2569" s="192">
        <f t="shared" si="132"/>
        <v>53</v>
      </c>
      <c r="H2569" s="207" t="s">
        <v>114</v>
      </c>
    </row>
    <row r="2570" spans="1:8">
      <c r="A2570" s="207" t="s">
        <v>731</v>
      </c>
      <c r="B2570" s="207" t="s">
        <v>732</v>
      </c>
      <c r="C2570" s="207" t="s">
        <v>99</v>
      </c>
      <c r="D2570" s="207" t="s">
        <v>5</v>
      </c>
      <c r="E2570" s="207" t="s">
        <v>114</v>
      </c>
      <c r="F2570" s="207" t="s">
        <v>174</v>
      </c>
      <c r="G2570" s="192">
        <f t="shared" si="132"/>
        <v>28.73</v>
      </c>
      <c r="H2570" s="207" t="s">
        <v>114</v>
      </c>
    </row>
    <row r="2571" spans="1:8">
      <c r="A2571" s="207" t="s">
        <v>733</v>
      </c>
      <c r="B2571" s="207" t="s">
        <v>734</v>
      </c>
      <c r="C2571" s="207" t="s">
        <v>117</v>
      </c>
      <c r="D2571" s="207" t="s">
        <v>118</v>
      </c>
      <c r="E2571" s="207" t="s">
        <v>243</v>
      </c>
      <c r="F2571" s="207" t="s">
        <v>533</v>
      </c>
      <c r="G2571" s="192">
        <f t="shared" si="132"/>
        <v>9.7349999999999994</v>
      </c>
      <c r="H2571" s="207" t="s">
        <v>243</v>
      </c>
    </row>
    <row r="2572" spans="1:8">
      <c r="A2572" s="207" t="s">
        <v>532</v>
      </c>
      <c r="B2572" s="207" t="s">
        <v>143</v>
      </c>
      <c r="C2572" s="207" t="s">
        <v>117</v>
      </c>
      <c r="D2572" s="207" t="s">
        <v>118</v>
      </c>
      <c r="E2572" s="207" t="s">
        <v>177</v>
      </c>
      <c r="F2572" s="207" t="s">
        <v>533</v>
      </c>
      <c r="G2572" s="192">
        <f t="shared" si="132"/>
        <v>9.0860000000000003</v>
      </c>
      <c r="H2572" s="207" t="s">
        <v>177</v>
      </c>
    </row>
    <row r="2573" spans="1:8">
      <c r="A2573" s="207" t="s">
        <v>534</v>
      </c>
      <c r="B2573" s="207" t="s">
        <v>116</v>
      </c>
      <c r="C2573" s="207" t="s">
        <v>117</v>
      </c>
      <c r="D2573" s="207" t="s">
        <v>118</v>
      </c>
      <c r="E2573" s="207" t="s">
        <v>735</v>
      </c>
      <c r="F2573" s="207" t="s">
        <v>535</v>
      </c>
      <c r="G2573" s="192">
        <f t="shared" si="132"/>
        <v>12.818</v>
      </c>
      <c r="H2573" s="207" t="s">
        <v>735</v>
      </c>
    </row>
    <row r="2574" spans="1:8">
      <c r="A2574" s="207"/>
      <c r="B2574" s="207"/>
      <c r="C2574" s="207"/>
      <c r="D2574" s="207"/>
      <c r="E2574" s="207"/>
      <c r="F2574" s="207"/>
      <c r="G2574" s="192"/>
      <c r="H2574" s="207"/>
    </row>
    <row r="2575" spans="1:8">
      <c r="A2575" s="207"/>
      <c r="B2575" s="207"/>
      <c r="C2575" s="207"/>
      <c r="D2575" s="207"/>
      <c r="E2575" s="207"/>
      <c r="F2575" s="207" t="s">
        <v>103</v>
      </c>
      <c r="G2575" s="192">
        <f>SUM(G2571:G2573)</f>
        <v>31.638999999999996</v>
      </c>
      <c r="H2575" s="207"/>
    </row>
    <row r="2576" spans="1:8">
      <c r="A2576" s="207"/>
      <c r="B2576" s="207"/>
      <c r="C2576" s="207"/>
      <c r="D2576" s="207"/>
      <c r="E2576" s="207"/>
      <c r="F2576" s="207" t="s">
        <v>105</v>
      </c>
      <c r="G2576" s="192">
        <f>SUM(G2565:G2570)</f>
        <v>797.32522199999994</v>
      </c>
      <c r="H2576" s="207"/>
    </row>
    <row r="2577" spans="1:8">
      <c r="A2577" s="207"/>
      <c r="B2577" s="207"/>
      <c r="C2577" s="207"/>
      <c r="D2577" s="207"/>
      <c r="E2577" s="207"/>
      <c r="F2577" s="207" t="s">
        <v>106</v>
      </c>
      <c r="G2577" s="192">
        <f>G2576+G2575</f>
        <v>828.96422199999995</v>
      </c>
      <c r="H2577" s="207"/>
    </row>
    <row r="2579" spans="1:8">
      <c r="A2579" s="1518" t="s">
        <v>107</v>
      </c>
      <c r="B2579" s="1519"/>
      <c r="C2579" s="1519"/>
      <c r="D2579" s="1519"/>
      <c r="E2579" s="1519"/>
      <c r="F2579" s="1519"/>
      <c r="G2579" s="1519"/>
      <c r="H2579" s="1519"/>
    </row>
    <row r="2580" spans="1:8">
      <c r="A2580" s="207" t="s">
        <v>108</v>
      </c>
      <c r="B2580" s="192">
        <f>G2577</f>
        <v>828.96422199999995</v>
      </c>
      <c r="C2580" s="207"/>
      <c r="D2580" s="207"/>
      <c r="E2580" s="207"/>
      <c r="F2580" s="207"/>
      <c r="G2580" s="207"/>
      <c r="H2580" s="207"/>
    </row>
    <row r="2581" spans="1:8">
      <c r="A2581" s="207" t="s">
        <v>109</v>
      </c>
      <c r="B2581" s="192">
        <f>G2575*0.7237</f>
        <v>22.897144299999997</v>
      </c>
      <c r="C2581" s="207"/>
      <c r="D2581" s="207"/>
      <c r="E2581" s="207"/>
      <c r="F2581" s="207"/>
      <c r="G2581" s="207"/>
      <c r="H2581" s="207"/>
    </row>
    <row r="2582" spans="1:8">
      <c r="A2582" s="207" t="s">
        <v>110</v>
      </c>
      <c r="B2582" s="192">
        <f>(B2580+B2581)*0.2457</f>
        <v>209.30233769991</v>
      </c>
      <c r="C2582" s="207"/>
      <c r="D2582" s="207"/>
      <c r="E2582" s="207"/>
      <c r="F2582" s="207"/>
      <c r="G2582" s="207"/>
      <c r="H2582" s="207"/>
    </row>
    <row r="2583" spans="1:8">
      <c r="A2583" s="207" t="s">
        <v>111</v>
      </c>
      <c r="B2583" s="192">
        <f>SUM(B2580:B2582)</f>
        <v>1061.16370399991</v>
      </c>
      <c r="C2583" s="207"/>
      <c r="D2583" s="207"/>
      <c r="E2583" s="207"/>
      <c r="F2583" s="207"/>
      <c r="G2583" s="207"/>
      <c r="H2583" s="207"/>
    </row>
    <row r="2587" spans="1:8">
      <c r="A2587" s="1518" t="s">
        <v>756</v>
      </c>
      <c r="B2587" s="1519"/>
      <c r="C2587" s="1519"/>
      <c r="D2587" s="1519"/>
      <c r="E2587" s="1519"/>
      <c r="F2587" s="1519"/>
      <c r="G2587" s="1519"/>
      <c r="H2587" s="1519"/>
    </row>
    <row r="2588" spans="1:8">
      <c r="A2588" s="1518" t="s">
        <v>751</v>
      </c>
      <c r="B2588" s="1519"/>
      <c r="C2588" s="1519"/>
      <c r="D2588" s="1519"/>
      <c r="E2588" s="1519"/>
      <c r="F2588" s="1519"/>
      <c r="G2588" s="1519"/>
      <c r="H2588" s="1519"/>
    </row>
    <row r="2590" spans="1:8">
      <c r="A2590" s="1519" t="s">
        <v>757</v>
      </c>
      <c r="B2590" s="1519"/>
      <c r="C2590" s="1519"/>
      <c r="D2590" s="1519"/>
      <c r="E2590" s="1519"/>
      <c r="F2590" s="1519"/>
      <c r="G2590" s="1519"/>
      <c r="H2590" s="1519"/>
    </row>
    <row r="2592" spans="1:8">
      <c r="A2592" s="1519" t="s">
        <v>715</v>
      </c>
      <c r="B2592" s="1519"/>
      <c r="C2592" s="1519"/>
      <c r="D2592" s="1519"/>
      <c r="E2592" s="1519"/>
      <c r="F2592" s="1519"/>
      <c r="G2592" s="1519"/>
      <c r="H2592" s="1519"/>
    </row>
    <row r="2594" spans="1:8">
      <c r="A2594" s="198" t="s">
        <v>30</v>
      </c>
      <c r="B2594" s="198" t="s">
        <v>19</v>
      </c>
      <c r="C2594" s="198" t="s">
        <v>92</v>
      </c>
      <c r="D2594" s="198" t="s">
        <v>88</v>
      </c>
      <c r="E2594" s="198" t="s">
        <v>93</v>
      </c>
      <c r="F2594" s="198" t="s">
        <v>94</v>
      </c>
      <c r="G2594" s="198" t="s">
        <v>95</v>
      </c>
      <c r="H2594" s="198" t="s">
        <v>96</v>
      </c>
    </row>
    <row r="2595" spans="1:8">
      <c r="A2595" s="207" t="s">
        <v>716</v>
      </c>
      <c r="B2595" s="207" t="s">
        <v>717</v>
      </c>
      <c r="C2595" s="207" t="s">
        <v>121</v>
      </c>
      <c r="D2595" s="207" t="s">
        <v>125</v>
      </c>
      <c r="E2595" s="191" t="s">
        <v>718</v>
      </c>
      <c r="F2595" s="207" t="s">
        <v>719</v>
      </c>
      <c r="G2595" s="192">
        <f>E2595*F2595</f>
        <v>0.78922199999999998</v>
      </c>
      <c r="H2595" s="207" t="s">
        <v>718</v>
      </c>
    </row>
    <row r="2596" spans="1:8">
      <c r="A2596" s="207" t="s">
        <v>720</v>
      </c>
      <c r="B2596" s="207" t="s">
        <v>755</v>
      </c>
      <c r="C2596" s="207" t="s">
        <v>99</v>
      </c>
      <c r="D2596" s="207" t="s">
        <v>113</v>
      </c>
      <c r="E2596" s="191">
        <v>1.44</v>
      </c>
      <c r="F2596" s="192">
        <v>490</v>
      </c>
      <c r="G2596" s="192">
        <f t="shared" ref="G2596:G2603" si="133">E2596*F2596</f>
        <v>705.6</v>
      </c>
      <c r="H2596" s="207" t="s">
        <v>721</v>
      </c>
    </row>
    <row r="2597" spans="1:8">
      <c r="A2597" s="207" t="s">
        <v>752</v>
      </c>
      <c r="B2597" s="207" t="s">
        <v>753</v>
      </c>
      <c r="C2597" s="207" t="s">
        <v>99</v>
      </c>
      <c r="D2597" s="207" t="s">
        <v>5</v>
      </c>
      <c r="E2597" s="191" t="s">
        <v>114</v>
      </c>
      <c r="F2597" s="207" t="s">
        <v>754</v>
      </c>
      <c r="G2597" s="192">
        <f t="shared" si="133"/>
        <v>141</v>
      </c>
      <c r="H2597" s="207" t="s">
        <v>114</v>
      </c>
    </row>
    <row r="2598" spans="1:8">
      <c r="A2598" s="207" t="s">
        <v>725</v>
      </c>
      <c r="B2598" s="207" t="s">
        <v>726</v>
      </c>
      <c r="C2598" s="207" t="s">
        <v>99</v>
      </c>
      <c r="D2598" s="207" t="s">
        <v>115</v>
      </c>
      <c r="E2598" s="191" t="s">
        <v>340</v>
      </c>
      <c r="F2598" s="207" t="s">
        <v>727</v>
      </c>
      <c r="G2598" s="192">
        <f t="shared" si="133"/>
        <v>3.1559999999999997</v>
      </c>
      <c r="H2598" s="207" t="s">
        <v>340</v>
      </c>
    </row>
    <row r="2599" spans="1:8">
      <c r="A2599" s="207" t="s">
        <v>728</v>
      </c>
      <c r="B2599" s="207" t="s">
        <v>729</v>
      </c>
      <c r="C2599" s="207" t="s">
        <v>99</v>
      </c>
      <c r="D2599" s="207" t="s">
        <v>5</v>
      </c>
      <c r="E2599" s="191" t="s">
        <v>114</v>
      </c>
      <c r="F2599" s="207" t="s">
        <v>730</v>
      </c>
      <c r="G2599" s="192">
        <f t="shared" si="133"/>
        <v>53</v>
      </c>
      <c r="H2599" s="207" t="s">
        <v>114</v>
      </c>
    </row>
    <row r="2600" spans="1:8">
      <c r="A2600" s="207" t="s">
        <v>731</v>
      </c>
      <c r="B2600" s="207" t="s">
        <v>732</v>
      </c>
      <c r="C2600" s="207" t="s">
        <v>99</v>
      </c>
      <c r="D2600" s="207" t="s">
        <v>5</v>
      </c>
      <c r="E2600" s="191" t="s">
        <v>114</v>
      </c>
      <c r="F2600" s="207" t="s">
        <v>174</v>
      </c>
      <c r="G2600" s="192">
        <f t="shared" si="133"/>
        <v>28.73</v>
      </c>
      <c r="H2600" s="207" t="s">
        <v>114</v>
      </c>
    </row>
    <row r="2601" spans="1:8">
      <c r="A2601" s="207" t="s">
        <v>733</v>
      </c>
      <c r="B2601" s="207" t="s">
        <v>734</v>
      </c>
      <c r="C2601" s="207" t="s">
        <v>117</v>
      </c>
      <c r="D2601" s="207" t="s">
        <v>118</v>
      </c>
      <c r="E2601" s="191" t="s">
        <v>243</v>
      </c>
      <c r="F2601" s="207" t="s">
        <v>533</v>
      </c>
      <c r="G2601" s="192">
        <f t="shared" si="133"/>
        <v>9.7349999999999994</v>
      </c>
      <c r="H2601" s="207" t="s">
        <v>243</v>
      </c>
    </row>
    <row r="2602" spans="1:8">
      <c r="A2602" s="207" t="s">
        <v>532</v>
      </c>
      <c r="B2602" s="207" t="s">
        <v>143</v>
      </c>
      <c r="C2602" s="207" t="s">
        <v>117</v>
      </c>
      <c r="D2602" s="207" t="s">
        <v>118</v>
      </c>
      <c r="E2602" s="191" t="s">
        <v>177</v>
      </c>
      <c r="F2602" s="207" t="s">
        <v>533</v>
      </c>
      <c r="G2602" s="192">
        <f t="shared" si="133"/>
        <v>9.0860000000000003</v>
      </c>
      <c r="H2602" s="207" t="s">
        <v>177</v>
      </c>
    </row>
    <row r="2603" spans="1:8">
      <c r="A2603" s="207" t="s">
        <v>534</v>
      </c>
      <c r="B2603" s="207" t="s">
        <v>116</v>
      </c>
      <c r="C2603" s="207" t="s">
        <v>117</v>
      </c>
      <c r="D2603" s="207" t="s">
        <v>118</v>
      </c>
      <c r="E2603" s="191" t="s">
        <v>735</v>
      </c>
      <c r="F2603" s="207" t="s">
        <v>535</v>
      </c>
      <c r="G2603" s="192">
        <f t="shared" si="133"/>
        <v>12.818</v>
      </c>
      <c r="H2603" s="207" t="s">
        <v>735</v>
      </c>
    </row>
    <row r="2604" spans="1:8">
      <c r="A2604" s="207"/>
      <c r="B2604" s="207"/>
      <c r="C2604" s="207"/>
      <c r="D2604" s="207"/>
      <c r="E2604" s="207"/>
      <c r="F2604" s="207" t="s">
        <v>103</v>
      </c>
      <c r="G2604" s="192">
        <f>SUM(G2601:G2603)</f>
        <v>31.638999999999996</v>
      </c>
      <c r="H2604" s="207"/>
    </row>
    <row r="2605" spans="1:8">
      <c r="A2605" s="207"/>
      <c r="B2605" s="207"/>
      <c r="C2605" s="207"/>
      <c r="D2605" s="207"/>
      <c r="E2605" s="207"/>
      <c r="F2605" s="207" t="s">
        <v>105</v>
      </c>
      <c r="G2605" s="192">
        <f>SUM(G2595:G2600)</f>
        <v>932.27522199999999</v>
      </c>
      <c r="H2605" s="207"/>
    </row>
    <row r="2606" spans="1:8">
      <c r="A2606" s="207"/>
      <c r="B2606" s="207"/>
      <c r="C2606" s="207"/>
      <c r="D2606" s="207"/>
      <c r="E2606" s="207"/>
      <c r="F2606" s="207" t="s">
        <v>106</v>
      </c>
      <c r="G2606" s="192">
        <f>SUM(G2604:G2605)</f>
        <v>963.914222</v>
      </c>
      <c r="H2606" s="207"/>
    </row>
    <row r="2608" spans="1:8">
      <c r="A2608" s="1518" t="s">
        <v>107</v>
      </c>
      <c r="B2608" s="1519"/>
      <c r="C2608" s="1519"/>
      <c r="D2608" s="1519"/>
      <c r="E2608" s="1519"/>
      <c r="F2608" s="1519"/>
      <c r="G2608" s="1519"/>
      <c r="H2608" s="1519"/>
    </row>
    <row r="2609" spans="1:8">
      <c r="A2609" s="207" t="s">
        <v>108</v>
      </c>
      <c r="B2609" s="192">
        <f>G2606</f>
        <v>963.914222</v>
      </c>
      <c r="C2609" s="207"/>
      <c r="D2609" s="207"/>
      <c r="E2609" s="207"/>
      <c r="F2609" s="207"/>
      <c r="G2609" s="207"/>
      <c r="H2609" s="207"/>
    </row>
    <row r="2610" spans="1:8">
      <c r="A2610" s="207" t="s">
        <v>109</v>
      </c>
      <c r="B2610" s="192">
        <f>G2604*0.7237</f>
        <v>22.897144299999997</v>
      </c>
      <c r="C2610" s="207"/>
      <c r="D2610" s="207"/>
      <c r="E2610" s="207"/>
      <c r="F2610" s="207"/>
      <c r="G2610" s="207"/>
      <c r="H2610" s="207"/>
    </row>
    <row r="2611" spans="1:8">
      <c r="A2611" s="207" t="s">
        <v>110</v>
      </c>
      <c r="B2611" s="192">
        <f>(B2609+B2610)*0.2457</f>
        <v>242.45955269991001</v>
      </c>
      <c r="C2611" s="207"/>
      <c r="D2611" s="207"/>
      <c r="E2611" s="207"/>
      <c r="F2611" s="207"/>
      <c r="G2611" s="207"/>
      <c r="H2611" s="207"/>
    </row>
    <row r="2612" spans="1:8">
      <c r="A2612" s="207" t="s">
        <v>111</v>
      </c>
      <c r="B2612" s="192">
        <f>SUM(B2609:B2611)</f>
        <v>1229.27091899991</v>
      </c>
      <c r="C2612" s="207"/>
      <c r="D2612" s="207"/>
      <c r="E2612" s="207"/>
      <c r="F2612" s="207"/>
      <c r="G2612" s="207"/>
      <c r="H2612" s="207"/>
    </row>
    <row r="2614" spans="1:8">
      <c r="A2614" s="1518" t="s">
        <v>749</v>
      </c>
      <c r="B2614" s="1519"/>
      <c r="C2614" s="1519"/>
      <c r="D2614" s="1519"/>
      <c r="E2614" s="1519"/>
      <c r="F2614" s="1519"/>
      <c r="G2614" s="1519"/>
      <c r="H2614" s="1519"/>
    </row>
    <row r="2615" spans="1:8">
      <c r="A2615" s="1518" t="s">
        <v>748</v>
      </c>
      <c r="B2615" s="1519"/>
      <c r="C2615" s="1519"/>
      <c r="D2615" s="1519"/>
      <c r="E2615" s="1519"/>
      <c r="F2615" s="1519"/>
      <c r="G2615" s="1519"/>
      <c r="H2615" s="1519"/>
    </row>
    <row r="2617" spans="1:8">
      <c r="A2617" s="1519" t="s">
        <v>531</v>
      </c>
      <c r="B2617" s="1519"/>
      <c r="C2617" s="1519"/>
      <c r="D2617" s="1519"/>
      <c r="E2617" s="1519"/>
      <c r="F2617" s="1519"/>
      <c r="G2617" s="1519"/>
      <c r="H2617" s="1519"/>
    </row>
    <row r="2619" spans="1:8">
      <c r="A2619" s="1519" t="s">
        <v>133</v>
      </c>
      <c r="B2619" s="1519"/>
      <c r="C2619" s="1519"/>
      <c r="D2619" s="1519"/>
      <c r="E2619" s="1519"/>
      <c r="F2619" s="1519"/>
      <c r="G2619" s="1519"/>
      <c r="H2619" s="1519"/>
    </row>
    <row r="2621" spans="1:8">
      <c r="A2621" s="198" t="s">
        <v>30</v>
      </c>
      <c r="B2621" s="198" t="s">
        <v>19</v>
      </c>
      <c r="C2621" s="198" t="s">
        <v>92</v>
      </c>
      <c r="D2621" s="198" t="s">
        <v>88</v>
      </c>
      <c r="E2621" s="198" t="s">
        <v>93</v>
      </c>
      <c r="F2621" s="198" t="s">
        <v>94</v>
      </c>
      <c r="G2621" s="198" t="s">
        <v>95</v>
      </c>
      <c r="H2621" s="198" t="s">
        <v>96</v>
      </c>
    </row>
    <row r="2622" spans="1:8">
      <c r="A2622" s="207" t="s">
        <v>740</v>
      </c>
      <c r="B2622" s="207" t="s">
        <v>741</v>
      </c>
      <c r="C2622" s="207" t="s">
        <v>117</v>
      </c>
      <c r="D2622" s="207" t="s">
        <v>118</v>
      </c>
      <c r="E2622" s="207" t="s">
        <v>742</v>
      </c>
      <c r="F2622" s="191" t="s">
        <v>743</v>
      </c>
      <c r="G2622" s="192">
        <f>E2622*F2622</f>
        <v>3.1004999999999998</v>
      </c>
      <c r="H2622" s="207" t="s">
        <v>742</v>
      </c>
    </row>
    <row r="2623" spans="1:8">
      <c r="A2623" s="207" t="s">
        <v>744</v>
      </c>
      <c r="B2623" s="207" t="s">
        <v>745</v>
      </c>
      <c r="C2623" s="207" t="s">
        <v>99</v>
      </c>
      <c r="D2623" s="207" t="s">
        <v>4</v>
      </c>
      <c r="E2623" s="207" t="s">
        <v>746</v>
      </c>
      <c r="F2623" s="191" t="s">
        <v>747</v>
      </c>
      <c r="G2623" s="192">
        <f>E2623*F2623</f>
        <v>0.10640000000000001</v>
      </c>
      <c r="H2623" s="207" t="s">
        <v>746</v>
      </c>
    </row>
    <row r="2624" spans="1:8">
      <c r="A2624" s="207" t="s">
        <v>739</v>
      </c>
      <c r="B2624" s="207" t="s">
        <v>750</v>
      </c>
      <c r="C2624" s="207" t="s">
        <v>99</v>
      </c>
      <c r="D2624" s="207" t="s">
        <v>5</v>
      </c>
      <c r="E2624" s="207" t="s">
        <v>114</v>
      </c>
      <c r="F2624" s="192">
        <v>245</v>
      </c>
      <c r="G2624" s="192">
        <f t="shared" ref="G2624:G2625" si="134">E2624*F2624</f>
        <v>245</v>
      </c>
      <c r="H2624" s="207" t="s">
        <v>114</v>
      </c>
    </row>
    <row r="2625" spans="1:8">
      <c r="A2625" s="207" t="s">
        <v>733</v>
      </c>
      <c r="B2625" s="207" t="s">
        <v>734</v>
      </c>
      <c r="C2625" s="207" t="s">
        <v>117</v>
      </c>
      <c r="D2625" s="207" t="s">
        <v>118</v>
      </c>
      <c r="E2625" s="207" t="s">
        <v>742</v>
      </c>
      <c r="F2625" s="191" t="s">
        <v>533</v>
      </c>
      <c r="G2625" s="192">
        <f t="shared" si="134"/>
        <v>4.2185000000000006</v>
      </c>
      <c r="H2625" s="207" t="s">
        <v>742</v>
      </c>
    </row>
    <row r="2626" spans="1:8">
      <c r="A2626" s="207"/>
      <c r="B2626" s="207"/>
      <c r="C2626" s="207"/>
      <c r="D2626" s="207"/>
      <c r="E2626" s="207"/>
      <c r="F2626" s="207" t="s">
        <v>103</v>
      </c>
      <c r="G2626" s="192">
        <f>G2622+G2625</f>
        <v>7.3190000000000008</v>
      </c>
      <c r="H2626" s="207"/>
    </row>
    <row r="2627" spans="1:8">
      <c r="A2627" s="207"/>
      <c r="B2627" s="207"/>
      <c r="C2627" s="207"/>
      <c r="D2627" s="207"/>
      <c r="E2627" s="207"/>
      <c r="F2627" s="207" t="s">
        <v>105</v>
      </c>
      <c r="G2627" s="192">
        <f>G2624+G2623</f>
        <v>245.10640000000001</v>
      </c>
      <c r="H2627" s="207"/>
    </row>
    <row r="2628" spans="1:8">
      <c r="A2628" s="207"/>
      <c r="B2628" s="207"/>
      <c r="C2628" s="207"/>
      <c r="D2628" s="207"/>
      <c r="E2628" s="207"/>
      <c r="F2628" s="207" t="s">
        <v>106</v>
      </c>
      <c r="G2628" s="192">
        <f>SUM(G2626:G2627)</f>
        <v>252.4254</v>
      </c>
      <c r="H2628" s="207"/>
    </row>
    <row r="2630" spans="1:8">
      <c r="A2630" s="1518" t="s">
        <v>107</v>
      </c>
      <c r="B2630" s="1519"/>
      <c r="C2630" s="1519"/>
      <c r="D2630" s="1519"/>
      <c r="E2630" s="1519"/>
      <c r="F2630" s="1519"/>
      <c r="G2630" s="1519"/>
      <c r="H2630" s="1519"/>
    </row>
    <row r="2631" spans="1:8">
      <c r="A2631" s="207" t="s">
        <v>108</v>
      </c>
      <c r="B2631" s="192">
        <f>G2628</f>
        <v>252.4254</v>
      </c>
      <c r="C2631" s="207"/>
      <c r="D2631" s="207"/>
      <c r="E2631" s="207"/>
      <c r="F2631" s="207"/>
      <c r="G2631" s="207"/>
      <c r="H2631" s="207"/>
    </row>
    <row r="2632" spans="1:8">
      <c r="A2632" s="207" t="s">
        <v>109</v>
      </c>
      <c r="B2632" s="192">
        <f>G2626*0.7237</f>
        <v>5.2967603000000008</v>
      </c>
      <c r="C2632" s="207"/>
      <c r="D2632" s="207"/>
      <c r="E2632" s="207"/>
      <c r="F2632" s="207"/>
      <c r="G2632" s="207"/>
      <c r="H2632" s="207"/>
    </row>
    <row r="2633" spans="1:8">
      <c r="A2633" s="207" t="s">
        <v>110</v>
      </c>
      <c r="B2633" s="192">
        <f>(B2631+B2632)*0.2457</f>
        <v>63.322334785709998</v>
      </c>
      <c r="C2633" s="207"/>
      <c r="D2633" s="207"/>
      <c r="E2633" s="207"/>
      <c r="F2633" s="207"/>
      <c r="G2633" s="207"/>
      <c r="H2633" s="207"/>
    </row>
    <row r="2634" spans="1:8">
      <c r="A2634" s="207" t="s">
        <v>111</v>
      </c>
      <c r="B2634" s="192">
        <f>SUM(B2631:B2633)</f>
        <v>321.04449508570997</v>
      </c>
      <c r="C2634" s="207"/>
      <c r="D2634" s="207"/>
      <c r="E2634" s="207"/>
      <c r="F2634" s="207"/>
      <c r="G2634" s="207"/>
      <c r="H2634" s="207"/>
    </row>
    <row r="2635" spans="1:8">
      <c r="A2635" s="207"/>
      <c r="B2635" s="192"/>
      <c r="C2635" s="207"/>
      <c r="D2635" s="207"/>
      <c r="E2635" s="207"/>
      <c r="F2635" s="207"/>
      <c r="G2635" s="207"/>
      <c r="H2635" s="207"/>
    </row>
    <row r="2636" spans="1:8">
      <c r="A2636" s="207"/>
      <c r="B2636" s="192"/>
      <c r="C2636" s="207"/>
      <c r="D2636" s="207"/>
      <c r="E2636" s="207"/>
      <c r="F2636" s="207"/>
      <c r="G2636" s="207"/>
      <c r="H2636" s="207"/>
    </row>
    <row r="2637" spans="1:8">
      <c r="A2637" s="1518" t="s">
        <v>772</v>
      </c>
      <c r="B2637" s="1519"/>
      <c r="C2637" s="1519"/>
      <c r="D2637" s="1519"/>
      <c r="E2637" s="1519"/>
      <c r="F2637" s="1519"/>
      <c r="G2637" s="1519"/>
      <c r="H2637" s="1519"/>
    </row>
    <row r="2638" spans="1:8">
      <c r="A2638" s="1518" t="s">
        <v>758</v>
      </c>
      <c r="B2638" s="1519"/>
      <c r="C2638" s="1519"/>
      <c r="D2638" s="1519"/>
      <c r="E2638" s="1519"/>
      <c r="F2638" s="1519"/>
      <c r="G2638" s="1519"/>
      <c r="H2638" s="1519"/>
    </row>
    <row r="2639" spans="1:8">
      <c r="A2639" s="206"/>
      <c r="B2639" s="207"/>
      <c r="C2639" s="207"/>
      <c r="D2639" s="207"/>
      <c r="E2639" s="207"/>
      <c r="F2639" s="207"/>
      <c r="G2639" s="207"/>
      <c r="H2639" s="207"/>
    </row>
    <row r="2640" spans="1:8">
      <c r="A2640" s="1519" t="s">
        <v>91</v>
      </c>
      <c r="B2640" s="1519"/>
      <c r="C2640" s="1519"/>
      <c r="D2640" s="1519"/>
      <c r="E2640" s="1519"/>
      <c r="F2640" s="1519"/>
      <c r="G2640" s="1519"/>
      <c r="H2640" s="1519"/>
    </row>
    <row r="2641" spans="1:8">
      <c r="A2641" s="207"/>
      <c r="B2641" s="207"/>
      <c r="C2641" s="207"/>
      <c r="D2641" s="207"/>
      <c r="E2641" s="207"/>
      <c r="F2641" s="207"/>
      <c r="G2641" s="207"/>
      <c r="H2641" s="207"/>
    </row>
    <row r="2642" spans="1:8">
      <c r="A2642" s="1519" t="s">
        <v>133</v>
      </c>
      <c r="B2642" s="1519"/>
      <c r="C2642" s="1519"/>
      <c r="D2642" s="1519"/>
      <c r="E2642" s="1519"/>
      <c r="F2642" s="1519"/>
      <c r="G2642" s="1519"/>
      <c r="H2642" s="1519"/>
    </row>
    <row r="2643" spans="1:8">
      <c r="A2643" s="207"/>
      <c r="B2643" s="207"/>
      <c r="C2643" s="207"/>
      <c r="D2643" s="207"/>
      <c r="E2643" s="207"/>
      <c r="F2643" s="207"/>
      <c r="G2643" s="207"/>
      <c r="H2643" s="207"/>
    </row>
    <row r="2644" spans="1:8">
      <c r="A2644" s="198" t="s">
        <v>30</v>
      </c>
      <c r="B2644" s="198" t="s">
        <v>19</v>
      </c>
      <c r="C2644" s="198" t="s">
        <v>92</v>
      </c>
      <c r="D2644" s="198" t="s">
        <v>88</v>
      </c>
      <c r="E2644" s="198" t="s">
        <v>93</v>
      </c>
      <c r="F2644" s="198" t="s">
        <v>94</v>
      </c>
      <c r="G2644" s="198" t="s">
        <v>95</v>
      </c>
      <c r="H2644" s="198" t="s">
        <v>96</v>
      </c>
    </row>
    <row r="2645" spans="1:8">
      <c r="A2645" s="207" t="s">
        <v>759</v>
      </c>
      <c r="B2645" s="207" t="s">
        <v>760</v>
      </c>
      <c r="C2645" s="207" t="s">
        <v>99</v>
      </c>
      <c r="D2645" s="207" t="s">
        <v>5</v>
      </c>
      <c r="E2645" s="207" t="s">
        <v>114</v>
      </c>
      <c r="F2645" s="207" t="s">
        <v>761</v>
      </c>
      <c r="G2645" s="207" t="s">
        <v>761</v>
      </c>
      <c r="H2645" s="207" t="s">
        <v>114</v>
      </c>
    </row>
    <row r="2646" spans="1:8">
      <c r="A2646" s="207" t="s">
        <v>292</v>
      </c>
      <c r="B2646" s="207" t="s">
        <v>293</v>
      </c>
      <c r="C2646" s="207" t="s">
        <v>99</v>
      </c>
      <c r="D2646" s="207" t="s">
        <v>5</v>
      </c>
      <c r="E2646" s="207" t="s">
        <v>294</v>
      </c>
      <c r="F2646" s="207" t="s">
        <v>338</v>
      </c>
      <c r="G2646" s="207" t="s">
        <v>296</v>
      </c>
      <c r="H2646" s="207" t="s">
        <v>294</v>
      </c>
    </row>
    <row r="2647" spans="1:8">
      <c r="A2647" s="207" t="s">
        <v>297</v>
      </c>
      <c r="B2647" s="207" t="s">
        <v>298</v>
      </c>
      <c r="C2647" s="207" t="s">
        <v>121</v>
      </c>
      <c r="D2647" s="207" t="s">
        <v>118</v>
      </c>
      <c r="E2647" s="207" t="s">
        <v>762</v>
      </c>
      <c r="F2647" s="207" t="s">
        <v>763</v>
      </c>
      <c r="G2647" s="207" t="s">
        <v>764</v>
      </c>
      <c r="H2647" s="207" t="s">
        <v>762</v>
      </c>
    </row>
    <row r="2648" spans="1:8">
      <c r="A2648" s="207" t="s">
        <v>122</v>
      </c>
      <c r="B2648" s="207" t="s">
        <v>123</v>
      </c>
      <c r="C2648" s="207" t="s">
        <v>121</v>
      </c>
      <c r="D2648" s="207" t="s">
        <v>118</v>
      </c>
      <c r="E2648" s="207" t="s">
        <v>195</v>
      </c>
      <c r="F2648" s="207" t="s">
        <v>606</v>
      </c>
      <c r="G2648" s="207" t="s">
        <v>765</v>
      </c>
      <c r="H2648" s="207" t="s">
        <v>195</v>
      </c>
    </row>
    <row r="2649" spans="1:8">
      <c r="A2649" s="207"/>
      <c r="B2649" s="207"/>
      <c r="C2649" s="207"/>
      <c r="D2649" s="207"/>
      <c r="E2649" s="207"/>
      <c r="F2649" s="207" t="s">
        <v>103</v>
      </c>
      <c r="G2649" s="207" t="s">
        <v>766</v>
      </c>
      <c r="H2649" s="207"/>
    </row>
    <row r="2650" spans="1:8">
      <c r="A2650" s="207"/>
      <c r="B2650" s="207"/>
      <c r="C2650" s="207"/>
      <c r="D2650" s="207"/>
      <c r="E2650" s="207"/>
      <c r="F2650" s="207" t="s">
        <v>105</v>
      </c>
      <c r="G2650" s="207" t="s">
        <v>767</v>
      </c>
      <c r="H2650" s="207"/>
    </row>
    <row r="2651" spans="1:8">
      <c r="A2651" s="207"/>
      <c r="B2651" s="207"/>
      <c r="C2651" s="207"/>
      <c r="D2651" s="207"/>
      <c r="E2651" s="207"/>
      <c r="F2651" s="207" t="s">
        <v>106</v>
      </c>
      <c r="G2651" s="207" t="s">
        <v>768</v>
      </c>
      <c r="H2651" s="207"/>
    </row>
    <row r="2652" spans="1:8">
      <c r="A2652" s="207"/>
      <c r="B2652" s="207"/>
      <c r="C2652" s="207"/>
      <c r="D2652" s="207"/>
      <c r="E2652" s="207"/>
      <c r="F2652" s="207"/>
      <c r="G2652" s="207"/>
      <c r="H2652" s="207"/>
    </row>
    <row r="2653" spans="1:8">
      <c r="A2653" s="1518" t="s">
        <v>107</v>
      </c>
      <c r="B2653" s="1519"/>
      <c r="C2653" s="1519"/>
      <c r="D2653" s="1519"/>
      <c r="E2653" s="1519"/>
      <c r="F2653" s="1519"/>
      <c r="G2653" s="1519"/>
      <c r="H2653" s="1519"/>
    </row>
    <row r="2654" spans="1:8">
      <c r="A2654" s="207" t="s">
        <v>108</v>
      </c>
      <c r="B2654" s="207" t="s">
        <v>768</v>
      </c>
      <c r="C2654" s="207"/>
      <c r="D2654" s="207"/>
      <c r="E2654" s="207"/>
      <c r="F2654" s="207"/>
      <c r="G2654" s="207"/>
      <c r="H2654" s="207"/>
    </row>
    <row r="2655" spans="1:8">
      <c r="A2655" s="207" t="s">
        <v>109</v>
      </c>
      <c r="B2655" s="207" t="s">
        <v>769</v>
      </c>
      <c r="C2655" s="207"/>
      <c r="D2655" s="207"/>
      <c r="E2655" s="207"/>
      <c r="F2655" s="207"/>
      <c r="G2655" s="207"/>
      <c r="H2655" s="207"/>
    </row>
    <row r="2656" spans="1:8">
      <c r="A2656" s="207" t="s">
        <v>110</v>
      </c>
      <c r="B2656" s="207" t="s">
        <v>770</v>
      </c>
      <c r="C2656" s="207"/>
      <c r="D2656" s="207"/>
      <c r="E2656" s="207"/>
      <c r="F2656" s="207"/>
      <c r="G2656" s="207"/>
      <c r="H2656" s="207"/>
    </row>
    <row r="2657" spans="1:8">
      <c r="A2657" s="207" t="s">
        <v>111</v>
      </c>
      <c r="B2657" s="207" t="s">
        <v>771</v>
      </c>
      <c r="C2657" s="207"/>
      <c r="D2657" s="207"/>
      <c r="E2657" s="207"/>
      <c r="F2657" s="207"/>
      <c r="G2657" s="207"/>
      <c r="H2657" s="207"/>
    </row>
    <row r="2660" spans="1:8">
      <c r="A2660" s="1518" t="s">
        <v>773</v>
      </c>
      <c r="B2660" s="1519"/>
      <c r="C2660" s="1519"/>
      <c r="D2660" s="1519"/>
      <c r="E2660" s="1519"/>
      <c r="F2660" s="1519"/>
      <c r="G2660" s="1519"/>
      <c r="H2660" s="1519"/>
    </row>
    <row r="2661" spans="1:8">
      <c r="A2661" s="1518" t="s">
        <v>774</v>
      </c>
      <c r="B2661" s="1519"/>
      <c r="C2661" s="1519"/>
      <c r="D2661" s="1519"/>
      <c r="E2661" s="1519"/>
      <c r="F2661" s="1519"/>
      <c r="G2661" s="1519"/>
      <c r="H2661" s="1519"/>
    </row>
    <row r="2663" spans="1:8">
      <c r="A2663" s="1519" t="s">
        <v>531</v>
      </c>
      <c r="B2663" s="1519"/>
      <c r="C2663" s="1519"/>
      <c r="D2663" s="1519"/>
      <c r="E2663" s="1519"/>
      <c r="F2663" s="1519"/>
      <c r="G2663" s="1519"/>
      <c r="H2663" s="1519"/>
    </row>
    <row r="2665" spans="1:8">
      <c r="A2665" s="1519" t="s">
        <v>112</v>
      </c>
      <c r="B2665" s="1519"/>
      <c r="C2665" s="1519"/>
      <c r="D2665" s="1519"/>
      <c r="E2665" s="1519"/>
      <c r="F2665" s="1519"/>
      <c r="G2665" s="1519"/>
      <c r="H2665" s="1519"/>
    </row>
    <row r="2667" spans="1:8">
      <c r="A2667" s="198" t="s">
        <v>30</v>
      </c>
      <c r="B2667" s="198" t="s">
        <v>19</v>
      </c>
      <c r="C2667" s="198" t="s">
        <v>92</v>
      </c>
      <c r="D2667" s="198" t="s">
        <v>88</v>
      </c>
      <c r="E2667" s="198" t="s">
        <v>93</v>
      </c>
      <c r="F2667" s="198" t="s">
        <v>94</v>
      </c>
      <c r="G2667" s="198" t="s">
        <v>95</v>
      </c>
      <c r="H2667" s="198" t="s">
        <v>96</v>
      </c>
    </row>
    <row r="2668" spans="1:8">
      <c r="A2668" s="207" t="s">
        <v>775</v>
      </c>
      <c r="B2668" s="207" t="s">
        <v>776</v>
      </c>
      <c r="C2668" s="207" t="s">
        <v>99</v>
      </c>
      <c r="D2668" s="207" t="s">
        <v>125</v>
      </c>
      <c r="E2668" s="207" t="s">
        <v>777</v>
      </c>
      <c r="F2668" s="207" t="s">
        <v>778</v>
      </c>
      <c r="G2668" s="192">
        <f>E2668*F2668</f>
        <v>0.36799999999999999</v>
      </c>
      <c r="H2668" s="207" t="s">
        <v>777</v>
      </c>
    </row>
    <row r="2669" spans="1:8">
      <c r="A2669" s="207" t="s">
        <v>779</v>
      </c>
      <c r="B2669" s="207" t="s">
        <v>780</v>
      </c>
      <c r="C2669" s="207" t="s">
        <v>99</v>
      </c>
      <c r="D2669" s="207" t="s">
        <v>115</v>
      </c>
      <c r="E2669" s="207" t="s">
        <v>781</v>
      </c>
      <c r="F2669" s="207" t="s">
        <v>782</v>
      </c>
      <c r="G2669" s="192">
        <f t="shared" ref="G2669:G2672" si="135">E2669*F2669</f>
        <v>1.6</v>
      </c>
      <c r="H2669" s="207" t="s">
        <v>781</v>
      </c>
    </row>
    <row r="2670" spans="1:8">
      <c r="A2670" s="207" t="s">
        <v>784</v>
      </c>
      <c r="B2670" s="207" t="s">
        <v>783</v>
      </c>
      <c r="C2670" s="207" t="s">
        <v>99</v>
      </c>
      <c r="D2670" s="207" t="s">
        <v>113</v>
      </c>
      <c r="E2670" s="207" t="s">
        <v>114</v>
      </c>
      <c r="F2670" s="207">
        <v>490</v>
      </c>
      <c r="G2670" s="192">
        <f t="shared" si="135"/>
        <v>490</v>
      </c>
      <c r="H2670" s="207" t="s">
        <v>114</v>
      </c>
    </row>
    <row r="2671" spans="1:8">
      <c r="A2671" s="207" t="s">
        <v>532</v>
      </c>
      <c r="B2671" s="207" t="s">
        <v>143</v>
      </c>
      <c r="C2671" s="207" t="s">
        <v>117</v>
      </c>
      <c r="D2671" s="207" t="s">
        <v>118</v>
      </c>
      <c r="E2671" s="207" t="s">
        <v>380</v>
      </c>
      <c r="F2671" s="207" t="s">
        <v>533</v>
      </c>
      <c r="G2671" s="192">
        <f t="shared" si="135"/>
        <v>7.7880000000000003</v>
      </c>
      <c r="H2671" s="207" t="s">
        <v>380</v>
      </c>
    </row>
    <row r="2672" spans="1:8">
      <c r="A2672" s="207" t="s">
        <v>534</v>
      </c>
      <c r="B2672" s="207" t="s">
        <v>116</v>
      </c>
      <c r="C2672" s="207" t="s">
        <v>117</v>
      </c>
      <c r="D2672" s="207" t="s">
        <v>118</v>
      </c>
      <c r="E2672" s="207" t="s">
        <v>119</v>
      </c>
      <c r="F2672" s="207" t="s">
        <v>535</v>
      </c>
      <c r="G2672" s="192">
        <f t="shared" si="135"/>
        <v>8.84</v>
      </c>
      <c r="H2672" s="207" t="s">
        <v>119</v>
      </c>
    </row>
    <row r="2673" spans="1:8">
      <c r="A2673" s="207"/>
      <c r="B2673" s="207"/>
      <c r="C2673" s="207"/>
      <c r="D2673" s="207"/>
      <c r="E2673" s="207"/>
      <c r="F2673" s="207"/>
      <c r="G2673" s="192"/>
      <c r="H2673" s="207"/>
    </row>
    <row r="2674" spans="1:8">
      <c r="A2674" s="207"/>
      <c r="B2674" s="207"/>
      <c r="C2674" s="207"/>
      <c r="D2674" s="207"/>
      <c r="E2674" s="207"/>
      <c r="F2674" s="207" t="s">
        <v>103</v>
      </c>
      <c r="G2674" s="192">
        <f>SUM(G2671:G2672)</f>
        <v>16.628</v>
      </c>
      <c r="H2674" s="207"/>
    </row>
    <row r="2675" spans="1:8">
      <c r="A2675" s="207"/>
      <c r="B2675" s="207"/>
      <c r="C2675" s="207"/>
      <c r="D2675" s="207"/>
      <c r="E2675" s="207"/>
      <c r="F2675" s="207" t="s">
        <v>105</v>
      </c>
      <c r="G2675" s="192">
        <f>SUM(G2668:G2670)</f>
        <v>491.96800000000002</v>
      </c>
      <c r="H2675" s="207"/>
    </row>
    <row r="2676" spans="1:8">
      <c r="A2676" s="207"/>
      <c r="B2676" s="207"/>
      <c r="C2676" s="207"/>
      <c r="D2676" s="207"/>
      <c r="E2676" s="207"/>
      <c r="F2676" s="207" t="s">
        <v>106</v>
      </c>
      <c r="G2676" s="192">
        <f>G2675+G2674</f>
        <v>508.596</v>
      </c>
      <c r="H2676" s="207"/>
    </row>
    <row r="2678" spans="1:8">
      <c r="A2678" s="1518" t="s">
        <v>107</v>
      </c>
      <c r="B2678" s="1519"/>
      <c r="C2678" s="1519"/>
      <c r="D2678" s="1519"/>
      <c r="E2678" s="1519"/>
      <c r="F2678" s="1519"/>
      <c r="G2678" s="1519"/>
      <c r="H2678" s="1519"/>
    </row>
    <row r="2679" spans="1:8">
      <c r="A2679" s="207" t="s">
        <v>108</v>
      </c>
      <c r="B2679" s="192">
        <f>G2676</f>
        <v>508.596</v>
      </c>
      <c r="C2679" s="207"/>
      <c r="D2679" s="207"/>
      <c r="E2679" s="207"/>
      <c r="F2679" s="207"/>
      <c r="G2679" s="207"/>
      <c r="H2679" s="207"/>
    </row>
    <row r="2680" spans="1:8">
      <c r="A2680" s="207" t="s">
        <v>109</v>
      </c>
      <c r="B2680" s="192">
        <f>G2674*0.7237</f>
        <v>12.0336836</v>
      </c>
      <c r="C2680" s="207"/>
      <c r="D2680" s="207"/>
      <c r="E2680" s="207"/>
      <c r="F2680" s="207"/>
      <c r="G2680" s="207"/>
      <c r="H2680" s="207"/>
    </row>
    <row r="2681" spans="1:8">
      <c r="A2681" s="207" t="s">
        <v>110</v>
      </c>
      <c r="B2681" s="192">
        <f>(B2679+B2680)*0.2457</f>
        <v>127.91871326052001</v>
      </c>
      <c r="C2681" s="207"/>
      <c r="D2681" s="207"/>
      <c r="E2681" s="207"/>
      <c r="F2681" s="207"/>
      <c r="G2681" s="207"/>
      <c r="H2681" s="207"/>
    </row>
    <row r="2682" spans="1:8">
      <c r="A2682" s="207" t="s">
        <v>111</v>
      </c>
      <c r="B2682" s="192">
        <f>SUM(B2679:B2681)</f>
        <v>648.54839686052003</v>
      </c>
      <c r="C2682" s="207"/>
      <c r="D2682" s="207"/>
      <c r="E2682" s="207"/>
      <c r="F2682" s="207"/>
      <c r="G2682" s="207"/>
      <c r="H2682" s="207"/>
    </row>
    <row r="2684" spans="1:8">
      <c r="A2684" s="1518" t="s">
        <v>824</v>
      </c>
      <c r="B2684" s="1519"/>
      <c r="C2684" s="1519"/>
      <c r="D2684" s="1519"/>
      <c r="E2684" s="1519"/>
      <c r="F2684" s="1519"/>
      <c r="G2684" s="1519"/>
      <c r="H2684" s="1519"/>
    </row>
    <row r="2685" spans="1:8">
      <c r="A2685" s="1518" t="s">
        <v>819</v>
      </c>
      <c r="B2685" s="1519"/>
      <c r="C2685" s="1519"/>
      <c r="D2685" s="1519"/>
      <c r="E2685" s="1519"/>
      <c r="F2685" s="1519"/>
      <c r="G2685" s="1519"/>
      <c r="H2685" s="1519"/>
    </row>
    <row r="2687" spans="1:8">
      <c r="A2687" s="1519" t="s">
        <v>737</v>
      </c>
      <c r="B2687" s="1519"/>
      <c r="C2687" s="1519"/>
      <c r="D2687" s="1519"/>
      <c r="E2687" s="1519"/>
      <c r="F2687" s="1519"/>
      <c r="G2687" s="1519"/>
      <c r="H2687" s="1519"/>
    </row>
    <row r="2689" spans="1:8">
      <c r="A2689" s="1519" t="s">
        <v>133</v>
      </c>
      <c r="B2689" s="1519"/>
      <c r="C2689" s="1519"/>
      <c r="D2689" s="1519"/>
      <c r="E2689" s="1519"/>
      <c r="F2689" s="1519"/>
      <c r="G2689" s="1519"/>
      <c r="H2689" s="1519"/>
    </row>
    <row r="2691" spans="1:8">
      <c r="A2691" s="198" t="s">
        <v>30</v>
      </c>
      <c r="B2691" s="198" t="s">
        <v>19</v>
      </c>
      <c r="C2691" s="198" t="s">
        <v>92</v>
      </c>
      <c r="D2691" s="198" t="s">
        <v>88</v>
      </c>
      <c r="E2691" s="198" t="s">
        <v>93</v>
      </c>
      <c r="F2691" s="198" t="s">
        <v>94</v>
      </c>
      <c r="G2691" s="198" t="s">
        <v>95</v>
      </c>
      <c r="H2691" s="198" t="s">
        <v>96</v>
      </c>
    </row>
    <row r="2692" spans="1:8">
      <c r="A2692" s="207" t="s">
        <v>825</v>
      </c>
      <c r="B2692" s="207" t="s">
        <v>820</v>
      </c>
      <c r="C2692" s="207" t="s">
        <v>99</v>
      </c>
      <c r="D2692" s="207" t="s">
        <v>5</v>
      </c>
      <c r="E2692" s="207" t="s">
        <v>114</v>
      </c>
      <c r="F2692" s="192">
        <v>112.8</v>
      </c>
      <c r="G2692" s="192">
        <f>E2692*F2692</f>
        <v>112.8</v>
      </c>
      <c r="H2692" s="207" t="s">
        <v>114</v>
      </c>
    </row>
    <row r="2693" spans="1:8">
      <c r="A2693" s="207" t="s">
        <v>821</v>
      </c>
      <c r="B2693" s="207" t="s">
        <v>822</v>
      </c>
      <c r="C2693" s="207" t="s">
        <v>121</v>
      </c>
      <c r="D2693" s="207" t="s">
        <v>5</v>
      </c>
      <c r="E2693" s="207" t="s">
        <v>119</v>
      </c>
      <c r="F2693" s="207" t="s">
        <v>823</v>
      </c>
      <c r="G2693" s="192">
        <f>E2693*F2693</f>
        <v>5.54</v>
      </c>
      <c r="H2693" s="207" t="s">
        <v>119</v>
      </c>
    </row>
    <row r="2694" spans="1:8">
      <c r="A2694" s="207"/>
      <c r="B2694" s="207"/>
      <c r="C2694" s="207"/>
      <c r="D2694" s="207"/>
      <c r="E2694" s="207"/>
      <c r="F2694" s="207" t="s">
        <v>103</v>
      </c>
      <c r="G2694" s="192">
        <f>G2693</f>
        <v>5.54</v>
      </c>
      <c r="H2694" s="207"/>
    </row>
    <row r="2695" spans="1:8">
      <c r="A2695" s="207"/>
      <c r="B2695" s="207"/>
      <c r="C2695" s="207"/>
      <c r="D2695" s="207"/>
      <c r="E2695" s="207"/>
      <c r="F2695" s="207" t="s">
        <v>105</v>
      </c>
      <c r="G2695" s="192">
        <f>G2692</f>
        <v>112.8</v>
      </c>
      <c r="H2695" s="207"/>
    </row>
    <row r="2696" spans="1:8">
      <c r="A2696" s="207"/>
      <c r="B2696" s="207"/>
      <c r="C2696" s="207"/>
      <c r="D2696" s="207"/>
      <c r="E2696" s="207"/>
      <c r="F2696" s="207" t="s">
        <v>106</v>
      </c>
      <c r="G2696" s="192">
        <f>SUM(G2694:G2695)</f>
        <v>118.34</v>
      </c>
      <c r="H2696" s="207"/>
    </row>
    <row r="2698" spans="1:8">
      <c r="A2698" s="1518" t="s">
        <v>107</v>
      </c>
      <c r="B2698" s="1519"/>
      <c r="C2698" s="1519"/>
      <c r="D2698" s="1519"/>
      <c r="E2698" s="1519"/>
      <c r="F2698" s="1519"/>
      <c r="G2698" s="1519"/>
      <c r="H2698" s="1519"/>
    </row>
    <row r="2699" spans="1:8">
      <c r="A2699" s="207" t="s">
        <v>108</v>
      </c>
      <c r="B2699" s="192">
        <f>G2696</f>
        <v>118.34</v>
      </c>
      <c r="C2699" s="207"/>
      <c r="D2699" s="207"/>
      <c r="E2699" s="207"/>
      <c r="F2699" s="207"/>
      <c r="G2699" s="207"/>
      <c r="H2699" s="207"/>
    </row>
    <row r="2700" spans="1:8">
      <c r="A2700" s="207" t="s">
        <v>109</v>
      </c>
      <c r="B2700" s="192">
        <f>G2694*0.7237</f>
        <v>4.0092980000000003</v>
      </c>
      <c r="C2700" s="207"/>
      <c r="D2700" s="207"/>
      <c r="E2700" s="207"/>
      <c r="F2700" s="207"/>
      <c r="G2700" s="207"/>
      <c r="H2700" s="207"/>
    </row>
    <row r="2701" spans="1:8">
      <c r="A2701" s="207" t="s">
        <v>110</v>
      </c>
      <c r="B2701" s="192">
        <f>(B2699+B2700)*0.2457</f>
        <v>30.061222518600001</v>
      </c>
      <c r="C2701" s="207"/>
      <c r="D2701" s="207"/>
      <c r="E2701" s="207"/>
      <c r="F2701" s="207"/>
      <c r="G2701" s="207"/>
      <c r="H2701" s="207"/>
    </row>
    <row r="2702" spans="1:8">
      <c r="A2702" s="207" t="s">
        <v>111</v>
      </c>
      <c r="B2702" s="192">
        <f>SUM(B2699:B2701)</f>
        <v>152.41052051860001</v>
      </c>
      <c r="C2702" s="207"/>
      <c r="D2702" s="207"/>
      <c r="E2702" s="207"/>
      <c r="F2702" s="207"/>
      <c r="G2702" s="207"/>
      <c r="H2702" s="207"/>
    </row>
    <row r="2704" spans="1:8">
      <c r="A2704" s="1518" t="s">
        <v>824</v>
      </c>
      <c r="B2704" s="1519"/>
      <c r="C2704" s="1519"/>
      <c r="D2704" s="1519"/>
      <c r="E2704" s="1519"/>
      <c r="F2704" s="1519"/>
      <c r="G2704" s="1519"/>
      <c r="H2704" s="1519"/>
    </row>
    <row r="2705" spans="1:8">
      <c r="A2705" s="1518" t="s">
        <v>826</v>
      </c>
      <c r="B2705" s="1519"/>
      <c r="C2705" s="1519"/>
      <c r="D2705" s="1519"/>
      <c r="E2705" s="1519"/>
      <c r="F2705" s="1519"/>
      <c r="G2705" s="1519"/>
      <c r="H2705" s="1519"/>
    </row>
    <row r="2708" spans="1:8">
      <c r="A2708" s="1518" t="s">
        <v>827</v>
      </c>
      <c r="B2708" s="1519"/>
      <c r="C2708" s="1519"/>
      <c r="D2708" s="1519"/>
      <c r="E2708" s="1519"/>
      <c r="F2708" s="1519"/>
      <c r="G2708" s="1519"/>
      <c r="H2708" s="1519"/>
    </row>
    <row r="2709" spans="1:8">
      <c r="A2709" s="1518" t="s">
        <v>828</v>
      </c>
      <c r="B2709" s="1519"/>
      <c r="C2709" s="1519"/>
      <c r="D2709" s="1519"/>
      <c r="E2709" s="1519"/>
      <c r="F2709" s="1519"/>
      <c r="G2709" s="1519"/>
      <c r="H2709" s="1519"/>
    </row>
    <row r="2711" spans="1:8">
      <c r="A2711" s="1519" t="s">
        <v>91</v>
      </c>
      <c r="B2711" s="1519"/>
      <c r="C2711" s="1519"/>
      <c r="D2711" s="1519"/>
      <c r="E2711" s="1519"/>
      <c r="F2711" s="1519"/>
      <c r="G2711" s="1519"/>
      <c r="H2711" s="1519"/>
    </row>
    <row r="2713" spans="1:8">
      <c r="A2713" s="1519" t="s">
        <v>133</v>
      </c>
      <c r="B2713" s="1519"/>
      <c r="C2713" s="1519"/>
      <c r="D2713" s="1519"/>
      <c r="E2713" s="1519"/>
      <c r="F2713" s="1519"/>
      <c r="G2713" s="1519"/>
      <c r="H2713" s="1519"/>
    </row>
    <row r="2715" spans="1:8">
      <c r="A2715" s="198" t="s">
        <v>30</v>
      </c>
      <c r="B2715" s="198" t="s">
        <v>19</v>
      </c>
      <c r="C2715" s="198" t="s">
        <v>92</v>
      </c>
      <c r="D2715" s="198" t="s">
        <v>88</v>
      </c>
      <c r="E2715" s="198" t="s">
        <v>93</v>
      </c>
      <c r="F2715" s="198" t="s">
        <v>94</v>
      </c>
      <c r="G2715" s="198" t="s">
        <v>95</v>
      </c>
      <c r="H2715" s="198" t="s">
        <v>96</v>
      </c>
    </row>
    <row r="2716" spans="1:8">
      <c r="A2716" s="207" t="s">
        <v>829</v>
      </c>
      <c r="B2716" s="207" t="s">
        <v>830</v>
      </c>
      <c r="C2716" s="207" t="s">
        <v>99</v>
      </c>
      <c r="D2716" s="207" t="s">
        <v>5</v>
      </c>
      <c r="E2716" s="207" t="s">
        <v>114</v>
      </c>
      <c r="F2716" s="207" t="s">
        <v>831</v>
      </c>
      <c r="G2716" s="207" t="s">
        <v>831</v>
      </c>
      <c r="H2716" s="207" t="s">
        <v>114</v>
      </c>
    </row>
    <row r="2717" spans="1:8">
      <c r="A2717" s="207" t="s">
        <v>292</v>
      </c>
      <c r="B2717" s="207" t="s">
        <v>293</v>
      </c>
      <c r="C2717" s="207" t="s">
        <v>99</v>
      </c>
      <c r="D2717" s="207" t="s">
        <v>5</v>
      </c>
      <c r="E2717" s="207" t="s">
        <v>832</v>
      </c>
      <c r="F2717" s="207" t="s">
        <v>338</v>
      </c>
      <c r="G2717" s="207" t="s">
        <v>833</v>
      </c>
      <c r="H2717" s="207" t="s">
        <v>832</v>
      </c>
    </row>
    <row r="2718" spans="1:8">
      <c r="A2718" s="207" t="s">
        <v>297</v>
      </c>
      <c r="B2718" s="207" t="s">
        <v>298</v>
      </c>
      <c r="C2718" s="207" t="s">
        <v>121</v>
      </c>
      <c r="D2718" s="207" t="s">
        <v>118</v>
      </c>
      <c r="E2718" s="207" t="s">
        <v>834</v>
      </c>
      <c r="F2718" s="207" t="s">
        <v>763</v>
      </c>
      <c r="G2718" s="207" t="s">
        <v>835</v>
      </c>
      <c r="H2718" s="207" t="s">
        <v>834</v>
      </c>
    </row>
    <row r="2719" spans="1:8">
      <c r="A2719" s="207" t="s">
        <v>122</v>
      </c>
      <c r="B2719" s="207" t="s">
        <v>123</v>
      </c>
      <c r="C2719" s="207" t="s">
        <v>121</v>
      </c>
      <c r="D2719" s="207" t="s">
        <v>118</v>
      </c>
      <c r="E2719" s="207" t="s">
        <v>836</v>
      </c>
      <c r="F2719" s="207" t="s">
        <v>606</v>
      </c>
      <c r="G2719" s="207" t="s">
        <v>295</v>
      </c>
      <c r="H2719" s="207" t="s">
        <v>836</v>
      </c>
    </row>
    <row r="2720" spans="1:8">
      <c r="A2720" s="207"/>
      <c r="B2720" s="207"/>
      <c r="C2720" s="207"/>
      <c r="D2720" s="207"/>
      <c r="E2720" s="207"/>
      <c r="F2720" s="207" t="s">
        <v>103</v>
      </c>
      <c r="G2720" s="207" t="s">
        <v>837</v>
      </c>
      <c r="H2720" s="207"/>
    </row>
    <row r="2721" spans="1:8">
      <c r="A2721" s="207"/>
      <c r="B2721" s="207"/>
      <c r="C2721" s="207"/>
      <c r="D2721" s="207"/>
      <c r="E2721" s="207"/>
      <c r="F2721" s="207" t="s">
        <v>105</v>
      </c>
      <c r="G2721" s="207" t="s">
        <v>838</v>
      </c>
      <c r="H2721" s="207"/>
    </row>
    <row r="2722" spans="1:8">
      <c r="A2722" s="207"/>
      <c r="B2722" s="207"/>
      <c r="C2722" s="207"/>
      <c r="D2722" s="207"/>
      <c r="E2722" s="207"/>
      <c r="F2722" s="207" t="s">
        <v>106</v>
      </c>
      <c r="G2722" s="207" t="s">
        <v>839</v>
      </c>
      <c r="H2722" s="207"/>
    </row>
    <row r="2724" spans="1:8">
      <c r="A2724" s="1518" t="s">
        <v>107</v>
      </c>
      <c r="B2724" s="1519"/>
      <c r="C2724" s="1519"/>
      <c r="D2724" s="1519"/>
      <c r="E2724" s="1519"/>
      <c r="F2724" s="1519"/>
      <c r="G2724" s="1519"/>
      <c r="H2724" s="1519"/>
    </row>
    <row r="2725" spans="1:8">
      <c r="A2725" s="207" t="s">
        <v>108</v>
      </c>
      <c r="B2725" s="207" t="s">
        <v>839</v>
      </c>
      <c r="C2725" s="207"/>
      <c r="D2725" s="207"/>
      <c r="E2725" s="207"/>
      <c r="F2725" s="207"/>
      <c r="G2725" s="207"/>
      <c r="H2725" s="207"/>
    </row>
    <row r="2726" spans="1:8">
      <c r="A2726" s="207" t="s">
        <v>109</v>
      </c>
      <c r="B2726" s="207" t="s">
        <v>840</v>
      </c>
      <c r="C2726" s="207"/>
      <c r="D2726" s="207"/>
      <c r="E2726" s="207"/>
      <c r="F2726" s="207"/>
      <c r="G2726" s="207"/>
      <c r="H2726" s="207"/>
    </row>
    <row r="2727" spans="1:8">
      <c r="A2727" s="207" t="s">
        <v>110</v>
      </c>
      <c r="B2727" s="207" t="s">
        <v>841</v>
      </c>
      <c r="C2727" s="207"/>
      <c r="D2727" s="207"/>
      <c r="E2727" s="207"/>
      <c r="F2727" s="207"/>
      <c r="G2727" s="207"/>
      <c r="H2727" s="207"/>
    </row>
    <row r="2728" spans="1:8">
      <c r="A2728" s="207" t="s">
        <v>111</v>
      </c>
      <c r="B2728" s="207" t="s">
        <v>842</v>
      </c>
      <c r="C2728" s="207"/>
      <c r="D2728" s="207"/>
      <c r="E2728" s="207"/>
      <c r="F2728" s="207"/>
      <c r="G2728" s="207"/>
      <c r="H2728" s="207"/>
    </row>
    <row r="2730" spans="1:8">
      <c r="A2730" s="1518" t="s">
        <v>846</v>
      </c>
      <c r="B2730" s="1519"/>
      <c r="C2730" s="1519"/>
      <c r="D2730" s="1519"/>
      <c r="E2730" s="1519"/>
      <c r="F2730" s="1519"/>
      <c r="G2730" s="1519"/>
      <c r="H2730" s="1519"/>
    </row>
    <row r="2731" spans="1:8">
      <c r="A2731" s="1518" t="s">
        <v>843</v>
      </c>
      <c r="B2731" s="1519"/>
      <c r="C2731" s="1519"/>
      <c r="D2731" s="1519"/>
      <c r="E2731" s="1519"/>
      <c r="F2731" s="1519"/>
      <c r="G2731" s="1519"/>
      <c r="H2731" s="1519"/>
    </row>
    <row r="2733" spans="1:8">
      <c r="A2733" s="1519" t="s">
        <v>531</v>
      </c>
      <c r="B2733" s="1519"/>
      <c r="C2733" s="1519"/>
      <c r="D2733" s="1519"/>
      <c r="E2733" s="1519"/>
      <c r="F2733" s="1519"/>
      <c r="G2733" s="1519"/>
      <c r="H2733" s="1519"/>
    </row>
    <row r="2735" spans="1:8">
      <c r="A2735" s="1519" t="s">
        <v>133</v>
      </c>
      <c r="B2735" s="1519"/>
      <c r="C2735" s="1519"/>
      <c r="D2735" s="1519"/>
      <c r="E2735" s="1519"/>
      <c r="F2735" s="1519"/>
      <c r="G2735" s="1519"/>
      <c r="H2735" s="1519"/>
    </row>
    <row r="2737" spans="1:8">
      <c r="A2737" s="198" t="s">
        <v>30</v>
      </c>
      <c r="B2737" s="198" t="s">
        <v>19</v>
      </c>
      <c r="C2737" s="198" t="s">
        <v>92</v>
      </c>
      <c r="D2737" s="198" t="s">
        <v>88</v>
      </c>
      <c r="E2737" s="198" t="s">
        <v>93</v>
      </c>
      <c r="F2737" s="198" t="s">
        <v>94</v>
      </c>
      <c r="G2737" s="198" t="s">
        <v>95</v>
      </c>
      <c r="H2737" s="198" t="s">
        <v>96</v>
      </c>
    </row>
    <row r="2738" spans="1:8">
      <c r="A2738" s="207" t="s">
        <v>740</v>
      </c>
      <c r="B2738" s="207" t="s">
        <v>741</v>
      </c>
      <c r="C2738" s="207" t="s">
        <v>117</v>
      </c>
      <c r="D2738" s="207" t="s">
        <v>118</v>
      </c>
      <c r="E2738" s="207" t="s">
        <v>161</v>
      </c>
      <c r="F2738" s="207" t="s">
        <v>743</v>
      </c>
      <c r="G2738" s="192">
        <f>E2738*F2738</f>
        <v>2.3849999999999998</v>
      </c>
      <c r="H2738" s="207" t="s">
        <v>161</v>
      </c>
    </row>
    <row r="2739" spans="1:8">
      <c r="A2739" s="207" t="s">
        <v>744</v>
      </c>
      <c r="B2739" s="207" t="s">
        <v>745</v>
      </c>
      <c r="C2739" s="207" t="s">
        <v>99</v>
      </c>
      <c r="D2739" s="207" t="s">
        <v>4</v>
      </c>
      <c r="E2739" s="207" t="s">
        <v>746</v>
      </c>
      <c r="F2739" s="207" t="s">
        <v>747</v>
      </c>
      <c r="G2739" s="192">
        <f t="shared" ref="G2739:G2741" si="136">E2739*F2739</f>
        <v>0.10640000000000001</v>
      </c>
      <c r="H2739" s="207" t="s">
        <v>746</v>
      </c>
    </row>
    <row r="2740" spans="1:8">
      <c r="A2740" s="207" t="s">
        <v>733</v>
      </c>
      <c r="B2740" s="207" t="s">
        <v>734</v>
      </c>
      <c r="C2740" s="207" t="s">
        <v>117</v>
      </c>
      <c r="D2740" s="207" t="s">
        <v>118</v>
      </c>
      <c r="E2740" s="207" t="s">
        <v>161</v>
      </c>
      <c r="F2740" s="207" t="s">
        <v>533</v>
      </c>
      <c r="G2740" s="192">
        <f t="shared" si="136"/>
        <v>3.2450000000000001</v>
      </c>
      <c r="H2740" s="207" t="s">
        <v>161</v>
      </c>
    </row>
    <row r="2741" spans="1:8">
      <c r="A2741" s="207" t="s">
        <v>844</v>
      </c>
      <c r="B2741" s="207" t="s">
        <v>845</v>
      </c>
      <c r="C2741" s="207" t="s">
        <v>99</v>
      </c>
      <c r="D2741" s="207" t="s">
        <v>5</v>
      </c>
      <c r="E2741" s="207" t="s">
        <v>114</v>
      </c>
      <c r="F2741" s="191">
        <v>177.45</v>
      </c>
      <c r="G2741" s="192">
        <f t="shared" si="136"/>
        <v>177.45</v>
      </c>
      <c r="H2741" s="207" t="s">
        <v>114</v>
      </c>
    </row>
    <row r="2742" spans="1:8">
      <c r="A2742" s="207"/>
      <c r="B2742" s="207"/>
      <c r="C2742" s="207"/>
      <c r="D2742" s="207"/>
      <c r="E2742" s="207"/>
      <c r="F2742" s="207"/>
      <c r="G2742" s="192"/>
      <c r="H2742" s="207"/>
    </row>
    <row r="2743" spans="1:8">
      <c r="A2743" s="207"/>
      <c r="B2743" s="207"/>
      <c r="C2743" s="207"/>
      <c r="D2743" s="207"/>
      <c r="E2743" s="207"/>
      <c r="F2743" s="207" t="s">
        <v>103</v>
      </c>
      <c r="G2743" s="192">
        <f>G2740+G2738</f>
        <v>5.63</v>
      </c>
      <c r="H2743" s="207"/>
    </row>
    <row r="2744" spans="1:8">
      <c r="A2744" s="207"/>
      <c r="B2744" s="207"/>
      <c r="C2744" s="207"/>
      <c r="D2744" s="207"/>
      <c r="E2744" s="207"/>
      <c r="F2744" s="207" t="s">
        <v>105</v>
      </c>
      <c r="G2744" s="192">
        <f>SUM(G2741+G2739)</f>
        <v>177.5564</v>
      </c>
      <c r="H2744" s="207"/>
    </row>
    <row r="2745" spans="1:8">
      <c r="A2745" s="207"/>
      <c r="B2745" s="207"/>
      <c r="C2745" s="207"/>
      <c r="D2745" s="207"/>
      <c r="E2745" s="207"/>
      <c r="F2745" s="207" t="s">
        <v>106</v>
      </c>
      <c r="G2745" s="192">
        <f>SUM(G2743:G2744)</f>
        <v>183.18639999999999</v>
      </c>
      <c r="H2745" s="207"/>
    </row>
    <row r="2747" spans="1:8">
      <c r="A2747" s="1518" t="s">
        <v>107</v>
      </c>
      <c r="B2747" s="1519"/>
      <c r="C2747" s="1519"/>
      <c r="D2747" s="1519"/>
      <c r="E2747" s="1519"/>
      <c r="F2747" s="1519"/>
      <c r="G2747" s="1519"/>
      <c r="H2747" s="1519"/>
    </row>
    <row r="2748" spans="1:8">
      <c r="A2748" s="207" t="s">
        <v>108</v>
      </c>
      <c r="B2748" s="192">
        <f>G2745</f>
        <v>183.18639999999999</v>
      </c>
      <c r="C2748" s="207"/>
      <c r="D2748" s="207"/>
      <c r="E2748" s="207"/>
      <c r="F2748" s="207"/>
      <c r="G2748" s="207"/>
      <c r="H2748" s="207"/>
    </row>
    <row r="2749" spans="1:8">
      <c r="A2749" s="207" t="s">
        <v>109</v>
      </c>
      <c r="B2749" s="192">
        <f>G2743*0.7337</f>
        <v>4.1307309999999999</v>
      </c>
      <c r="C2749" s="207"/>
      <c r="D2749" s="207"/>
      <c r="E2749" s="207"/>
      <c r="F2749" s="207"/>
      <c r="G2749" s="207"/>
      <c r="H2749" s="207"/>
    </row>
    <row r="2750" spans="1:8">
      <c r="A2750" s="207" t="s">
        <v>110</v>
      </c>
      <c r="B2750" s="192">
        <f>SUM(B2748:B2749)*0.2457</f>
        <v>46.023819086699994</v>
      </c>
      <c r="C2750" s="207"/>
      <c r="D2750" s="207"/>
      <c r="E2750" s="207"/>
      <c r="F2750" s="207"/>
      <c r="G2750" s="207"/>
      <c r="H2750" s="207"/>
    </row>
    <row r="2751" spans="1:8">
      <c r="A2751" s="207" t="s">
        <v>111</v>
      </c>
      <c r="B2751" s="192">
        <f>SUM(B2748:B2750)</f>
        <v>233.34095008669999</v>
      </c>
      <c r="C2751" s="207"/>
      <c r="D2751" s="207"/>
      <c r="E2751" s="207"/>
      <c r="F2751" s="207"/>
      <c r="G2751" s="207"/>
      <c r="H2751" s="207"/>
    </row>
    <row r="2754" spans="1:8">
      <c r="A2754" s="1518" t="s">
        <v>849</v>
      </c>
      <c r="B2754" s="1519"/>
      <c r="C2754" s="1519"/>
      <c r="D2754" s="1519"/>
      <c r="E2754" s="1519"/>
      <c r="F2754" s="1519"/>
      <c r="G2754" s="1519"/>
      <c r="H2754" s="1519"/>
    </row>
    <row r="2755" spans="1:8">
      <c r="A2755" s="1518" t="s">
        <v>850</v>
      </c>
      <c r="B2755" s="1519"/>
      <c r="C2755" s="1519"/>
      <c r="D2755" s="1519"/>
      <c r="E2755" s="1519"/>
      <c r="F2755" s="1519"/>
      <c r="G2755" s="1519"/>
      <c r="H2755" s="1519"/>
    </row>
    <row r="2757" spans="1:8">
      <c r="A2757" s="1519" t="s">
        <v>91</v>
      </c>
      <c r="B2757" s="1519"/>
      <c r="C2757" s="1519"/>
      <c r="D2757" s="1519"/>
      <c r="E2757" s="1519"/>
      <c r="F2757" s="1519"/>
      <c r="G2757" s="1519"/>
      <c r="H2757" s="1519"/>
    </row>
    <row r="2759" spans="1:8">
      <c r="A2759" s="1519" t="s">
        <v>112</v>
      </c>
      <c r="B2759" s="1519"/>
      <c r="C2759" s="1519"/>
      <c r="D2759" s="1519"/>
      <c r="E2759" s="1519"/>
      <c r="F2759" s="1519"/>
      <c r="G2759" s="1519"/>
      <c r="H2759" s="1519"/>
    </row>
    <row r="2761" spans="1:8">
      <c r="A2761" s="198" t="s">
        <v>30</v>
      </c>
      <c r="B2761" s="198" t="s">
        <v>19</v>
      </c>
      <c r="C2761" s="198" t="s">
        <v>92</v>
      </c>
      <c r="D2761" s="198" t="s">
        <v>88</v>
      </c>
      <c r="E2761" s="198" t="s">
        <v>93</v>
      </c>
      <c r="F2761" s="198" t="s">
        <v>94</v>
      </c>
      <c r="G2761" s="198" t="s">
        <v>95</v>
      </c>
      <c r="H2761" s="198" t="s">
        <v>96</v>
      </c>
    </row>
    <row r="2762" spans="1:8">
      <c r="A2762" s="225" t="s">
        <v>851</v>
      </c>
      <c r="B2762" s="225" t="s">
        <v>852</v>
      </c>
      <c r="C2762" s="225" t="s">
        <v>99</v>
      </c>
      <c r="D2762" s="225" t="s">
        <v>115</v>
      </c>
      <c r="E2762" s="225" t="s">
        <v>307</v>
      </c>
      <c r="F2762" s="225" t="s">
        <v>853</v>
      </c>
      <c r="G2762" s="225" t="s">
        <v>854</v>
      </c>
      <c r="H2762" s="225" t="s">
        <v>307</v>
      </c>
    </row>
    <row r="2763" spans="1:8">
      <c r="A2763" s="225" t="s">
        <v>855</v>
      </c>
      <c r="B2763" s="225" t="s">
        <v>856</v>
      </c>
      <c r="C2763" s="225" t="s">
        <v>99</v>
      </c>
      <c r="D2763" s="225" t="s">
        <v>115</v>
      </c>
      <c r="E2763" s="225" t="s">
        <v>503</v>
      </c>
      <c r="F2763" s="225" t="s">
        <v>857</v>
      </c>
      <c r="G2763" s="225" t="s">
        <v>858</v>
      </c>
      <c r="H2763" s="225" t="s">
        <v>503</v>
      </c>
    </row>
    <row r="2764" spans="1:8">
      <c r="A2764" s="225" t="s">
        <v>859</v>
      </c>
      <c r="B2764" s="225" t="s">
        <v>860</v>
      </c>
      <c r="C2764" s="225" t="s">
        <v>99</v>
      </c>
      <c r="D2764" s="225" t="s">
        <v>115</v>
      </c>
      <c r="E2764" s="225" t="s">
        <v>861</v>
      </c>
      <c r="F2764" s="225" t="s">
        <v>862</v>
      </c>
      <c r="G2764" s="225" t="s">
        <v>863</v>
      </c>
      <c r="H2764" s="225" t="s">
        <v>861</v>
      </c>
    </row>
    <row r="2765" spans="1:8">
      <c r="A2765" s="225" t="s">
        <v>864</v>
      </c>
      <c r="B2765" s="225" t="s">
        <v>865</v>
      </c>
      <c r="C2765" s="225" t="s">
        <v>99</v>
      </c>
      <c r="D2765" s="225" t="s">
        <v>115</v>
      </c>
      <c r="E2765" s="225" t="s">
        <v>866</v>
      </c>
      <c r="F2765" s="225" t="s">
        <v>862</v>
      </c>
      <c r="G2765" s="225" t="s">
        <v>867</v>
      </c>
      <c r="H2765" s="225" t="s">
        <v>866</v>
      </c>
    </row>
    <row r="2766" spans="1:8">
      <c r="A2766" s="225" t="s">
        <v>868</v>
      </c>
      <c r="B2766" s="225" t="s">
        <v>869</v>
      </c>
      <c r="C2766" s="225" t="s">
        <v>99</v>
      </c>
      <c r="D2766" s="225" t="s">
        <v>870</v>
      </c>
      <c r="E2766" s="225" t="s">
        <v>296</v>
      </c>
      <c r="F2766" s="225" t="s">
        <v>871</v>
      </c>
      <c r="G2766" s="225" t="s">
        <v>274</v>
      </c>
      <c r="H2766" s="225" t="s">
        <v>296</v>
      </c>
    </row>
    <row r="2767" spans="1:8">
      <c r="A2767" s="225" t="s">
        <v>872</v>
      </c>
      <c r="B2767" s="225" t="s">
        <v>873</v>
      </c>
      <c r="C2767" s="225" t="s">
        <v>99</v>
      </c>
      <c r="D2767" s="225" t="s">
        <v>870</v>
      </c>
      <c r="E2767" s="225" t="s">
        <v>874</v>
      </c>
      <c r="F2767" s="225" t="s">
        <v>875</v>
      </c>
      <c r="G2767" s="225" t="s">
        <v>876</v>
      </c>
      <c r="H2767" s="225" t="s">
        <v>874</v>
      </c>
    </row>
    <row r="2768" spans="1:8">
      <c r="A2768" s="225" t="s">
        <v>877</v>
      </c>
      <c r="B2768" s="225" t="s">
        <v>878</v>
      </c>
      <c r="C2768" s="225" t="s">
        <v>99</v>
      </c>
      <c r="D2768" s="225" t="s">
        <v>115</v>
      </c>
      <c r="E2768" s="225" t="s">
        <v>879</v>
      </c>
      <c r="F2768" s="225" t="s">
        <v>880</v>
      </c>
      <c r="G2768" s="225" t="s">
        <v>881</v>
      </c>
      <c r="H2768" s="225" t="s">
        <v>879</v>
      </c>
    </row>
    <row r="2769" spans="1:8">
      <c r="A2769" s="225" t="s">
        <v>882</v>
      </c>
      <c r="B2769" s="225" t="s">
        <v>883</v>
      </c>
      <c r="C2769" s="225" t="s">
        <v>99</v>
      </c>
      <c r="D2769" s="225" t="s">
        <v>870</v>
      </c>
      <c r="E2769" s="225" t="s">
        <v>884</v>
      </c>
      <c r="F2769" s="225" t="s">
        <v>885</v>
      </c>
      <c r="G2769" s="225" t="s">
        <v>301</v>
      </c>
      <c r="H2769" s="225" t="s">
        <v>884</v>
      </c>
    </row>
    <row r="2770" spans="1:8">
      <c r="A2770" s="225" t="s">
        <v>886</v>
      </c>
      <c r="B2770" s="225" t="s">
        <v>887</v>
      </c>
      <c r="C2770" s="225" t="s">
        <v>121</v>
      </c>
      <c r="D2770" s="225" t="s">
        <v>118</v>
      </c>
      <c r="E2770" s="225" t="s">
        <v>888</v>
      </c>
      <c r="F2770" s="225" t="s">
        <v>889</v>
      </c>
      <c r="G2770" s="225" t="s">
        <v>890</v>
      </c>
      <c r="H2770" s="225" t="s">
        <v>888</v>
      </c>
    </row>
    <row r="2771" spans="1:8">
      <c r="A2771" s="225" t="s">
        <v>122</v>
      </c>
      <c r="B2771" s="225" t="s">
        <v>123</v>
      </c>
      <c r="C2771" s="225" t="s">
        <v>121</v>
      </c>
      <c r="D2771" s="225" t="s">
        <v>118</v>
      </c>
      <c r="E2771" s="225" t="s">
        <v>891</v>
      </c>
      <c r="F2771" s="225" t="s">
        <v>606</v>
      </c>
      <c r="G2771" s="225" t="s">
        <v>892</v>
      </c>
      <c r="H2771" s="225" t="s">
        <v>891</v>
      </c>
    </row>
    <row r="2772" spans="1:8">
      <c r="A2772" s="225" t="s">
        <v>893</v>
      </c>
      <c r="B2772" s="225" t="s">
        <v>894</v>
      </c>
      <c r="C2772" s="225" t="s">
        <v>121</v>
      </c>
      <c r="D2772" s="225" t="s">
        <v>895</v>
      </c>
      <c r="E2772" s="225" t="s">
        <v>896</v>
      </c>
      <c r="F2772" s="225" t="s">
        <v>897</v>
      </c>
      <c r="G2772" s="225" t="s">
        <v>324</v>
      </c>
      <c r="H2772" s="225" t="s">
        <v>896</v>
      </c>
    </row>
    <row r="2773" spans="1:8">
      <c r="A2773" s="225" t="s">
        <v>898</v>
      </c>
      <c r="B2773" s="225" t="s">
        <v>899</v>
      </c>
      <c r="C2773" s="225" t="s">
        <v>121</v>
      </c>
      <c r="D2773" s="225" t="s">
        <v>900</v>
      </c>
      <c r="E2773" s="225" t="s">
        <v>901</v>
      </c>
      <c r="F2773" s="225" t="s">
        <v>902</v>
      </c>
      <c r="G2773" s="225" t="s">
        <v>184</v>
      </c>
      <c r="H2773" s="225" t="s">
        <v>901</v>
      </c>
    </row>
    <row r="2774" spans="1:8">
      <c r="A2774" s="225"/>
      <c r="B2774" s="225"/>
      <c r="C2774" s="225"/>
      <c r="D2774" s="225"/>
      <c r="E2774" s="225"/>
      <c r="F2774" s="225" t="s">
        <v>103</v>
      </c>
      <c r="G2774" s="225" t="s">
        <v>903</v>
      </c>
      <c r="H2774" s="225"/>
    </row>
    <row r="2775" spans="1:8">
      <c r="A2775" s="225"/>
      <c r="B2775" s="225"/>
      <c r="C2775" s="225"/>
      <c r="D2775" s="225"/>
      <c r="E2775" s="225"/>
      <c r="F2775" s="225" t="s">
        <v>105</v>
      </c>
      <c r="G2775" s="225" t="s">
        <v>904</v>
      </c>
      <c r="H2775" s="225"/>
    </row>
    <row r="2776" spans="1:8">
      <c r="A2776" s="225"/>
      <c r="B2776" s="225"/>
      <c r="C2776" s="225"/>
      <c r="D2776" s="225"/>
      <c r="E2776" s="225"/>
      <c r="F2776" s="225" t="s">
        <v>106</v>
      </c>
      <c r="G2776" s="225" t="s">
        <v>905</v>
      </c>
      <c r="H2776" s="225"/>
    </row>
    <row r="2778" spans="1:8">
      <c r="A2778" s="1518" t="s">
        <v>107</v>
      </c>
      <c r="B2778" s="1519"/>
      <c r="C2778" s="1519"/>
      <c r="D2778" s="1519"/>
      <c r="E2778" s="1519"/>
      <c r="F2778" s="1519"/>
      <c r="G2778" s="1519"/>
      <c r="H2778" s="1519"/>
    </row>
    <row r="2779" spans="1:8">
      <c r="A2779" s="225" t="s">
        <v>108</v>
      </c>
      <c r="B2779" s="225" t="s">
        <v>905</v>
      </c>
      <c r="C2779" s="225"/>
      <c r="D2779" s="225"/>
      <c r="E2779" s="225"/>
      <c r="F2779" s="225"/>
      <c r="G2779" s="225"/>
      <c r="H2779" s="225"/>
    </row>
    <row r="2780" spans="1:8">
      <c r="A2780" s="225" t="s">
        <v>109</v>
      </c>
      <c r="B2780" s="225" t="s">
        <v>197</v>
      </c>
      <c r="C2780" s="225"/>
      <c r="D2780" s="225"/>
      <c r="E2780" s="225"/>
      <c r="F2780" s="225"/>
      <c r="G2780" s="225"/>
      <c r="H2780" s="225"/>
    </row>
    <row r="2781" spans="1:8">
      <c r="A2781" s="225" t="s">
        <v>110</v>
      </c>
      <c r="B2781" s="225" t="s">
        <v>273</v>
      </c>
      <c r="C2781" s="225"/>
      <c r="D2781" s="225"/>
      <c r="E2781" s="225"/>
      <c r="F2781" s="225"/>
      <c r="G2781" s="225"/>
      <c r="H2781" s="225"/>
    </row>
    <row r="2782" spans="1:8">
      <c r="A2782" s="225" t="s">
        <v>111</v>
      </c>
      <c r="B2782" s="225" t="s">
        <v>906</v>
      </c>
      <c r="C2782" s="225"/>
      <c r="D2782" s="225"/>
      <c r="E2782" s="225"/>
      <c r="F2782" s="225"/>
      <c r="G2782" s="225"/>
      <c r="H2782" s="225"/>
    </row>
    <row r="2784" spans="1:8">
      <c r="A2784" s="1518" t="s">
        <v>907</v>
      </c>
      <c r="B2784" s="1519"/>
      <c r="C2784" s="1519"/>
      <c r="D2784" s="1519"/>
      <c r="E2784" s="1519"/>
      <c r="F2784" s="1519"/>
      <c r="G2784" s="1519"/>
      <c r="H2784" s="1519"/>
    </row>
    <row r="2785" spans="1:8">
      <c r="A2785" s="1518" t="s">
        <v>908</v>
      </c>
      <c r="B2785" s="1519"/>
      <c r="C2785" s="1519"/>
      <c r="D2785" s="1519"/>
      <c r="E2785" s="1519"/>
      <c r="F2785" s="1519"/>
      <c r="G2785" s="1519"/>
      <c r="H2785" s="1519"/>
    </row>
    <row r="2787" spans="1:8">
      <c r="A2787" s="1519" t="s">
        <v>91</v>
      </c>
      <c r="B2787" s="1519"/>
      <c r="C2787" s="1519"/>
      <c r="D2787" s="1519"/>
      <c r="E2787" s="1519"/>
      <c r="F2787" s="1519"/>
      <c r="G2787" s="1519"/>
      <c r="H2787" s="1519"/>
    </row>
    <row r="2789" spans="1:8">
      <c r="A2789" s="1519" t="s">
        <v>909</v>
      </c>
      <c r="B2789" s="1519"/>
      <c r="C2789" s="1519"/>
      <c r="D2789" s="1519"/>
      <c r="E2789" s="1519"/>
      <c r="F2789" s="1519"/>
      <c r="G2789" s="1519"/>
      <c r="H2789" s="1519"/>
    </row>
    <row r="2791" spans="1:8">
      <c r="A2791" s="198" t="s">
        <v>30</v>
      </c>
      <c r="B2791" s="198" t="s">
        <v>19</v>
      </c>
      <c r="C2791" s="198" t="s">
        <v>92</v>
      </c>
      <c r="D2791" s="198" t="s">
        <v>88</v>
      </c>
      <c r="E2791" s="198" t="s">
        <v>93</v>
      </c>
      <c r="F2791" s="198" t="s">
        <v>94</v>
      </c>
      <c r="G2791" s="198" t="s">
        <v>95</v>
      </c>
      <c r="H2791" s="198" t="s">
        <v>96</v>
      </c>
    </row>
    <row r="2792" spans="1:8">
      <c r="A2792" s="225" t="s">
        <v>910</v>
      </c>
      <c r="B2792" s="225" t="s">
        <v>911</v>
      </c>
      <c r="C2792" s="225" t="s">
        <v>99</v>
      </c>
      <c r="D2792" s="225" t="s">
        <v>115</v>
      </c>
      <c r="E2792" s="225" t="s">
        <v>912</v>
      </c>
      <c r="F2792" s="225" t="s">
        <v>913</v>
      </c>
      <c r="G2792" s="225" t="s">
        <v>914</v>
      </c>
      <c r="H2792" s="225" t="s">
        <v>912</v>
      </c>
    </row>
    <row r="2793" spans="1:8">
      <c r="A2793" s="225" t="s">
        <v>586</v>
      </c>
      <c r="B2793" s="225" t="s">
        <v>587</v>
      </c>
      <c r="C2793" s="225" t="s">
        <v>99</v>
      </c>
      <c r="D2793" s="225" t="s">
        <v>588</v>
      </c>
      <c r="E2793" s="225" t="s">
        <v>915</v>
      </c>
      <c r="F2793" s="225" t="s">
        <v>590</v>
      </c>
      <c r="G2793" s="225" t="s">
        <v>916</v>
      </c>
      <c r="H2793" s="225" t="s">
        <v>915</v>
      </c>
    </row>
    <row r="2794" spans="1:8">
      <c r="A2794" s="225" t="s">
        <v>917</v>
      </c>
      <c r="B2794" s="225" t="s">
        <v>918</v>
      </c>
      <c r="C2794" s="225" t="s">
        <v>99</v>
      </c>
      <c r="D2794" s="225" t="s">
        <v>4</v>
      </c>
      <c r="E2794" s="225" t="s">
        <v>455</v>
      </c>
      <c r="F2794" s="225" t="s">
        <v>919</v>
      </c>
      <c r="G2794" s="225" t="s">
        <v>920</v>
      </c>
      <c r="H2794" s="225" t="s">
        <v>455</v>
      </c>
    </row>
    <row r="2795" spans="1:8">
      <c r="A2795" s="225" t="s">
        <v>921</v>
      </c>
      <c r="B2795" s="225" t="s">
        <v>922</v>
      </c>
      <c r="C2795" s="225" t="s">
        <v>99</v>
      </c>
      <c r="D2795" s="225" t="s">
        <v>115</v>
      </c>
      <c r="E2795" s="225" t="s">
        <v>777</v>
      </c>
      <c r="F2795" s="225" t="s">
        <v>923</v>
      </c>
      <c r="G2795" s="225" t="s">
        <v>296</v>
      </c>
      <c r="H2795" s="225" t="s">
        <v>777</v>
      </c>
    </row>
    <row r="2796" spans="1:8">
      <c r="A2796" s="225" t="s">
        <v>924</v>
      </c>
      <c r="B2796" s="225" t="s">
        <v>925</v>
      </c>
      <c r="C2796" s="225" t="s">
        <v>99</v>
      </c>
      <c r="D2796" s="225" t="s">
        <v>115</v>
      </c>
      <c r="E2796" s="225" t="s">
        <v>926</v>
      </c>
      <c r="F2796" s="225" t="s">
        <v>927</v>
      </c>
      <c r="G2796" s="225" t="s">
        <v>195</v>
      </c>
      <c r="H2796" s="225" t="s">
        <v>926</v>
      </c>
    </row>
    <row r="2797" spans="1:8">
      <c r="A2797" s="225" t="s">
        <v>122</v>
      </c>
      <c r="B2797" s="225" t="s">
        <v>123</v>
      </c>
      <c r="C2797" s="225" t="s">
        <v>121</v>
      </c>
      <c r="D2797" s="225" t="s">
        <v>118</v>
      </c>
      <c r="E2797" s="225" t="s">
        <v>928</v>
      </c>
      <c r="F2797" s="225" t="s">
        <v>606</v>
      </c>
      <c r="G2797" s="225" t="s">
        <v>929</v>
      </c>
      <c r="H2797" s="225" t="s">
        <v>928</v>
      </c>
    </row>
    <row r="2798" spans="1:8">
      <c r="A2798" s="225" t="s">
        <v>930</v>
      </c>
      <c r="B2798" s="225" t="s">
        <v>931</v>
      </c>
      <c r="C2798" s="225" t="s">
        <v>121</v>
      </c>
      <c r="D2798" s="225" t="s">
        <v>118</v>
      </c>
      <c r="E2798" s="225" t="s">
        <v>932</v>
      </c>
      <c r="F2798" s="225" t="s">
        <v>933</v>
      </c>
      <c r="G2798" s="225" t="s">
        <v>180</v>
      </c>
      <c r="H2798" s="225" t="s">
        <v>932</v>
      </c>
    </row>
    <row r="2799" spans="1:8">
      <c r="A2799" s="225" t="s">
        <v>893</v>
      </c>
      <c r="B2799" s="225" t="s">
        <v>894</v>
      </c>
      <c r="C2799" s="225" t="s">
        <v>121</v>
      </c>
      <c r="D2799" s="225" t="s">
        <v>895</v>
      </c>
      <c r="E2799" s="225" t="s">
        <v>934</v>
      </c>
      <c r="F2799" s="225" t="s">
        <v>897</v>
      </c>
      <c r="G2799" s="225" t="s">
        <v>762</v>
      </c>
      <c r="H2799" s="225" t="s">
        <v>934</v>
      </c>
    </row>
    <row r="2800" spans="1:8">
      <c r="A2800" s="225" t="s">
        <v>898</v>
      </c>
      <c r="B2800" s="225" t="s">
        <v>899</v>
      </c>
      <c r="C2800" s="225" t="s">
        <v>121</v>
      </c>
      <c r="D2800" s="225" t="s">
        <v>900</v>
      </c>
      <c r="E2800" s="225" t="s">
        <v>935</v>
      </c>
      <c r="F2800" s="225" t="s">
        <v>902</v>
      </c>
      <c r="G2800" s="225" t="s">
        <v>936</v>
      </c>
      <c r="H2800" s="225" t="s">
        <v>935</v>
      </c>
    </row>
    <row r="2801" spans="1:8">
      <c r="A2801" s="225"/>
      <c r="B2801" s="225"/>
      <c r="C2801" s="225"/>
      <c r="D2801" s="225"/>
      <c r="E2801" s="225"/>
      <c r="F2801" s="225" t="s">
        <v>103</v>
      </c>
      <c r="G2801" s="225" t="s">
        <v>937</v>
      </c>
      <c r="H2801" s="225"/>
    </row>
    <row r="2802" spans="1:8">
      <c r="A2802" s="225"/>
      <c r="B2802" s="225"/>
      <c r="C2802" s="225"/>
      <c r="D2802" s="225"/>
      <c r="E2802" s="225"/>
      <c r="F2802" s="225" t="s">
        <v>105</v>
      </c>
      <c r="G2802" s="225" t="s">
        <v>938</v>
      </c>
      <c r="H2802" s="225"/>
    </row>
    <row r="2803" spans="1:8">
      <c r="A2803" s="225"/>
      <c r="B2803" s="225"/>
      <c r="C2803" s="225"/>
      <c r="D2803" s="225"/>
      <c r="E2803" s="225"/>
      <c r="F2803" s="225" t="s">
        <v>106</v>
      </c>
      <c r="G2803" s="225" t="s">
        <v>939</v>
      </c>
      <c r="H2803" s="225"/>
    </row>
    <row r="2805" spans="1:8">
      <c r="A2805" s="1518" t="s">
        <v>107</v>
      </c>
      <c r="B2805" s="1519"/>
      <c r="C2805" s="1519"/>
      <c r="D2805" s="1519"/>
      <c r="E2805" s="1519"/>
      <c r="F2805" s="1519"/>
      <c r="G2805" s="1519"/>
      <c r="H2805" s="1519"/>
    </row>
    <row r="2806" spans="1:8">
      <c r="A2806" s="225" t="s">
        <v>108</v>
      </c>
      <c r="B2806" s="225" t="s">
        <v>939</v>
      </c>
      <c r="C2806" s="225"/>
      <c r="D2806" s="225"/>
      <c r="E2806" s="225"/>
      <c r="F2806" s="225"/>
      <c r="G2806" s="225"/>
      <c r="H2806" s="225"/>
    </row>
    <row r="2807" spans="1:8">
      <c r="A2807" s="225" t="s">
        <v>109</v>
      </c>
      <c r="B2807" s="225" t="s">
        <v>892</v>
      </c>
      <c r="C2807" s="225"/>
      <c r="D2807" s="225"/>
      <c r="E2807" s="225"/>
      <c r="F2807" s="225"/>
      <c r="G2807" s="225"/>
      <c r="H2807" s="225"/>
    </row>
    <row r="2808" spans="1:8">
      <c r="A2808" s="225" t="s">
        <v>110</v>
      </c>
      <c r="B2808" s="225" t="s">
        <v>940</v>
      </c>
      <c r="C2808" s="225"/>
      <c r="D2808" s="225"/>
      <c r="E2808" s="225"/>
      <c r="F2808" s="225"/>
      <c r="G2808" s="225"/>
      <c r="H2808" s="225"/>
    </row>
    <row r="2809" spans="1:8">
      <c r="A2809" s="225" t="s">
        <v>111</v>
      </c>
      <c r="B2809" s="225" t="s">
        <v>941</v>
      </c>
      <c r="C2809" s="225"/>
      <c r="D2809" s="225"/>
      <c r="E2809" s="225"/>
      <c r="F2809" s="225"/>
      <c r="G2809" s="225"/>
      <c r="H2809" s="225"/>
    </row>
    <row r="2811" spans="1:8">
      <c r="A2811" s="1518" t="s">
        <v>942</v>
      </c>
      <c r="B2811" s="1519"/>
      <c r="C2811" s="1519"/>
      <c r="D2811" s="1519"/>
      <c r="E2811" s="1519"/>
      <c r="F2811" s="1519"/>
      <c r="G2811" s="1519"/>
      <c r="H2811" s="1519"/>
    </row>
    <row r="2812" spans="1:8">
      <c r="A2812" s="1518" t="s">
        <v>943</v>
      </c>
      <c r="B2812" s="1519"/>
      <c r="C2812" s="1519"/>
      <c r="D2812" s="1519"/>
      <c r="E2812" s="1519"/>
      <c r="F2812" s="1519"/>
      <c r="G2812" s="1519"/>
      <c r="H2812" s="1519"/>
    </row>
    <row r="2814" spans="1:8">
      <c r="A2814" s="1519" t="s">
        <v>91</v>
      </c>
      <c r="B2814" s="1519"/>
      <c r="C2814" s="1519"/>
      <c r="D2814" s="1519"/>
      <c r="E2814" s="1519"/>
      <c r="F2814" s="1519"/>
      <c r="G2814" s="1519"/>
      <c r="H2814" s="1519"/>
    </row>
    <row r="2816" spans="1:8">
      <c r="A2816" s="1519" t="s">
        <v>909</v>
      </c>
      <c r="B2816" s="1519"/>
      <c r="C2816" s="1519"/>
      <c r="D2816" s="1519"/>
      <c r="E2816" s="1519"/>
      <c r="F2816" s="1519"/>
      <c r="G2816" s="1519"/>
      <c r="H2816" s="1519"/>
    </row>
    <row r="2818" spans="1:8">
      <c r="A2818" s="198" t="s">
        <v>30</v>
      </c>
      <c r="B2818" s="198" t="s">
        <v>19</v>
      </c>
      <c r="C2818" s="198" t="s">
        <v>92</v>
      </c>
      <c r="D2818" s="198" t="s">
        <v>88</v>
      </c>
      <c r="E2818" s="198" t="s">
        <v>93</v>
      </c>
      <c r="F2818" s="198" t="s">
        <v>94</v>
      </c>
      <c r="G2818" s="198" t="s">
        <v>95</v>
      </c>
      <c r="H2818" s="198" t="s">
        <v>96</v>
      </c>
    </row>
    <row r="2819" spans="1:8">
      <c r="A2819" s="225" t="s">
        <v>944</v>
      </c>
      <c r="B2819" s="225" t="s">
        <v>945</v>
      </c>
      <c r="C2819" s="225" t="s">
        <v>99</v>
      </c>
      <c r="D2819" s="225" t="s">
        <v>5</v>
      </c>
      <c r="E2819" s="225" t="s">
        <v>312</v>
      </c>
      <c r="F2819" s="225" t="s">
        <v>946</v>
      </c>
      <c r="G2819" s="225" t="s">
        <v>947</v>
      </c>
      <c r="H2819" s="225" t="s">
        <v>312</v>
      </c>
    </row>
    <row r="2820" spans="1:8">
      <c r="A2820" s="225" t="s">
        <v>948</v>
      </c>
      <c r="B2820" s="225" t="s">
        <v>949</v>
      </c>
      <c r="C2820" s="225" t="s">
        <v>121</v>
      </c>
      <c r="D2820" s="225" t="s">
        <v>125</v>
      </c>
      <c r="E2820" s="225" t="s">
        <v>950</v>
      </c>
      <c r="F2820" s="225" t="s">
        <v>951</v>
      </c>
      <c r="G2820" s="225" t="s">
        <v>398</v>
      </c>
      <c r="H2820" s="225" t="s">
        <v>950</v>
      </c>
    </row>
    <row r="2821" spans="1:8">
      <c r="A2821" s="225" t="s">
        <v>122</v>
      </c>
      <c r="B2821" s="225" t="s">
        <v>123</v>
      </c>
      <c r="C2821" s="225" t="s">
        <v>121</v>
      </c>
      <c r="D2821" s="225" t="s">
        <v>118</v>
      </c>
      <c r="E2821" s="225" t="s">
        <v>952</v>
      </c>
      <c r="F2821" s="225" t="s">
        <v>606</v>
      </c>
      <c r="G2821" s="225" t="s">
        <v>953</v>
      </c>
      <c r="H2821" s="225" t="s">
        <v>952</v>
      </c>
    </row>
    <row r="2822" spans="1:8">
      <c r="A2822" s="225" t="s">
        <v>930</v>
      </c>
      <c r="B2822" s="225" t="s">
        <v>931</v>
      </c>
      <c r="C2822" s="225" t="s">
        <v>121</v>
      </c>
      <c r="D2822" s="225" t="s">
        <v>118</v>
      </c>
      <c r="E2822" s="225" t="s">
        <v>954</v>
      </c>
      <c r="F2822" s="225" t="s">
        <v>933</v>
      </c>
      <c r="G2822" s="225" t="s">
        <v>688</v>
      </c>
      <c r="H2822" s="225" t="s">
        <v>954</v>
      </c>
    </row>
    <row r="2823" spans="1:8">
      <c r="A2823" s="225" t="s">
        <v>893</v>
      </c>
      <c r="B2823" s="225" t="s">
        <v>894</v>
      </c>
      <c r="C2823" s="225" t="s">
        <v>121</v>
      </c>
      <c r="D2823" s="225" t="s">
        <v>895</v>
      </c>
      <c r="E2823" s="225" t="s">
        <v>955</v>
      </c>
      <c r="F2823" s="225" t="s">
        <v>897</v>
      </c>
      <c r="G2823" s="225" t="s">
        <v>140</v>
      </c>
      <c r="H2823" s="225" t="s">
        <v>955</v>
      </c>
    </row>
    <row r="2824" spans="1:8">
      <c r="A2824" s="225" t="s">
        <v>898</v>
      </c>
      <c r="B2824" s="225" t="s">
        <v>899</v>
      </c>
      <c r="C2824" s="225" t="s">
        <v>121</v>
      </c>
      <c r="D2824" s="225" t="s">
        <v>900</v>
      </c>
      <c r="E2824" s="225" t="s">
        <v>956</v>
      </c>
      <c r="F2824" s="225" t="s">
        <v>902</v>
      </c>
      <c r="G2824" s="225" t="s">
        <v>153</v>
      </c>
      <c r="H2824" s="225" t="s">
        <v>956</v>
      </c>
    </row>
    <row r="2825" spans="1:8">
      <c r="A2825" s="225"/>
      <c r="B2825" s="225"/>
      <c r="C2825" s="225"/>
      <c r="D2825" s="225"/>
      <c r="E2825" s="225"/>
      <c r="F2825" s="225" t="s">
        <v>103</v>
      </c>
      <c r="G2825" s="225" t="s">
        <v>957</v>
      </c>
      <c r="H2825" s="225"/>
    </row>
    <row r="2826" spans="1:8">
      <c r="A2826" s="225"/>
      <c r="B2826" s="225"/>
      <c r="C2826" s="225"/>
      <c r="D2826" s="225"/>
      <c r="E2826" s="225"/>
      <c r="F2826" s="225" t="s">
        <v>105</v>
      </c>
      <c r="G2826" s="225" t="s">
        <v>958</v>
      </c>
      <c r="H2826" s="225"/>
    </row>
    <row r="2827" spans="1:8">
      <c r="A2827" s="225"/>
      <c r="B2827" s="225"/>
      <c r="C2827" s="225"/>
      <c r="D2827" s="225"/>
      <c r="E2827" s="225"/>
      <c r="F2827" s="225" t="s">
        <v>106</v>
      </c>
      <c r="G2827" s="225" t="s">
        <v>959</v>
      </c>
      <c r="H2827" s="225"/>
    </row>
    <row r="2829" spans="1:8">
      <c r="A2829" s="1518" t="s">
        <v>107</v>
      </c>
      <c r="B2829" s="1519"/>
      <c r="C2829" s="1519"/>
      <c r="D2829" s="1519"/>
      <c r="E2829" s="1519"/>
      <c r="F2829" s="1519"/>
      <c r="G2829" s="1519"/>
      <c r="H2829" s="1519"/>
    </row>
    <row r="2830" spans="1:8">
      <c r="A2830" s="225" t="s">
        <v>108</v>
      </c>
      <c r="B2830" s="225" t="s">
        <v>959</v>
      </c>
      <c r="C2830" s="225"/>
      <c r="D2830" s="225"/>
      <c r="E2830" s="225"/>
      <c r="F2830" s="225"/>
      <c r="G2830" s="225"/>
      <c r="H2830" s="225"/>
    </row>
    <row r="2831" spans="1:8">
      <c r="A2831" s="225" t="s">
        <v>109</v>
      </c>
      <c r="B2831" s="225" t="s">
        <v>525</v>
      </c>
      <c r="C2831" s="225"/>
      <c r="D2831" s="225"/>
      <c r="E2831" s="225"/>
      <c r="F2831" s="225"/>
      <c r="G2831" s="225"/>
      <c r="H2831" s="225"/>
    </row>
    <row r="2832" spans="1:8">
      <c r="A2832" s="225" t="s">
        <v>110</v>
      </c>
      <c r="B2832" s="225" t="s">
        <v>960</v>
      </c>
      <c r="C2832" s="225"/>
      <c r="D2832" s="225"/>
      <c r="E2832" s="225"/>
      <c r="F2832" s="225"/>
      <c r="G2832" s="225"/>
      <c r="H2832" s="225"/>
    </row>
    <row r="2833" spans="1:8">
      <c r="A2833" s="225" t="s">
        <v>111</v>
      </c>
      <c r="B2833" s="225" t="s">
        <v>961</v>
      </c>
      <c r="C2833" s="225"/>
      <c r="D2833" s="225"/>
      <c r="E2833" s="225"/>
      <c r="F2833" s="225"/>
      <c r="G2833" s="225"/>
      <c r="H2833" s="225"/>
    </row>
    <row r="2834" spans="1:8">
      <c r="A2834" s="225"/>
      <c r="B2834" s="225"/>
      <c r="C2834" s="225"/>
      <c r="D2834" s="225"/>
      <c r="E2834" s="225"/>
      <c r="F2834" s="225"/>
      <c r="G2834" s="225"/>
      <c r="H2834" s="225"/>
    </row>
    <row r="2835" spans="1:8">
      <c r="A2835" s="1518" t="s">
        <v>962</v>
      </c>
      <c r="B2835" s="1519"/>
      <c r="C2835" s="1519"/>
      <c r="D2835" s="1519"/>
      <c r="E2835" s="1519"/>
      <c r="F2835" s="1519"/>
      <c r="G2835" s="1519"/>
      <c r="H2835" s="1519"/>
    </row>
    <row r="2836" spans="1:8">
      <c r="A2836" s="1518" t="s">
        <v>963</v>
      </c>
      <c r="B2836" s="1519"/>
      <c r="C2836" s="1519"/>
      <c r="D2836" s="1519"/>
      <c r="E2836" s="1519"/>
      <c r="F2836" s="1519"/>
      <c r="G2836" s="1519"/>
      <c r="H2836" s="1519"/>
    </row>
    <row r="2838" spans="1:8">
      <c r="A2838" s="1519" t="s">
        <v>91</v>
      </c>
      <c r="B2838" s="1519"/>
      <c r="C2838" s="1519"/>
      <c r="D2838" s="1519"/>
      <c r="E2838" s="1519"/>
      <c r="F2838" s="1519"/>
      <c r="G2838" s="1519"/>
      <c r="H2838" s="1519"/>
    </row>
    <row r="2840" spans="1:8">
      <c r="A2840" s="1519" t="s">
        <v>909</v>
      </c>
      <c r="B2840" s="1519"/>
      <c r="C2840" s="1519"/>
      <c r="D2840" s="1519"/>
      <c r="E2840" s="1519"/>
      <c r="F2840" s="1519"/>
      <c r="G2840" s="1519"/>
      <c r="H2840" s="1519"/>
    </row>
    <row r="2842" spans="1:8">
      <c r="A2842" s="198" t="s">
        <v>30</v>
      </c>
      <c r="B2842" s="198" t="s">
        <v>19</v>
      </c>
      <c r="C2842" s="198" t="s">
        <v>92</v>
      </c>
      <c r="D2842" s="198" t="s">
        <v>88</v>
      </c>
      <c r="E2842" s="198" t="s">
        <v>93</v>
      </c>
      <c r="F2842" s="198" t="s">
        <v>94</v>
      </c>
      <c r="G2842" s="198" t="s">
        <v>95</v>
      </c>
      <c r="H2842" s="198" t="s">
        <v>96</v>
      </c>
    </row>
    <row r="2843" spans="1:8">
      <c r="A2843" s="225" t="s">
        <v>964</v>
      </c>
      <c r="B2843" s="225" t="s">
        <v>965</v>
      </c>
      <c r="C2843" s="225" t="s">
        <v>99</v>
      </c>
      <c r="D2843" s="225" t="s">
        <v>4</v>
      </c>
      <c r="E2843" s="225" t="s">
        <v>114</v>
      </c>
      <c r="F2843" s="225" t="s">
        <v>966</v>
      </c>
      <c r="G2843" s="225" t="s">
        <v>966</v>
      </c>
      <c r="H2843" s="225" t="s">
        <v>114</v>
      </c>
    </row>
    <row r="2844" spans="1:8">
      <c r="A2844" s="225" t="s">
        <v>967</v>
      </c>
      <c r="B2844" s="225" t="s">
        <v>968</v>
      </c>
      <c r="C2844" s="225" t="s">
        <v>99</v>
      </c>
      <c r="D2844" s="225" t="s">
        <v>115</v>
      </c>
      <c r="E2844" s="225" t="s">
        <v>195</v>
      </c>
      <c r="F2844" s="225" t="s">
        <v>339</v>
      </c>
      <c r="G2844" s="225" t="s">
        <v>969</v>
      </c>
      <c r="H2844" s="225" t="s">
        <v>195</v>
      </c>
    </row>
    <row r="2845" spans="1:8">
      <c r="A2845" s="225" t="s">
        <v>970</v>
      </c>
      <c r="B2845" s="225" t="s">
        <v>971</v>
      </c>
      <c r="C2845" s="225" t="s">
        <v>121</v>
      </c>
      <c r="D2845" s="225" t="s">
        <v>118</v>
      </c>
      <c r="E2845" s="225" t="s">
        <v>502</v>
      </c>
      <c r="F2845" s="225" t="s">
        <v>972</v>
      </c>
      <c r="G2845" s="225" t="s">
        <v>973</v>
      </c>
      <c r="H2845" s="225" t="s">
        <v>502</v>
      </c>
    </row>
    <row r="2846" spans="1:8">
      <c r="A2846" s="225" t="s">
        <v>154</v>
      </c>
      <c r="B2846" s="225" t="s">
        <v>147</v>
      </c>
      <c r="C2846" s="225" t="s">
        <v>121</v>
      </c>
      <c r="D2846" s="225" t="s">
        <v>118</v>
      </c>
      <c r="E2846" s="225" t="s">
        <v>836</v>
      </c>
      <c r="F2846" s="225" t="s">
        <v>974</v>
      </c>
      <c r="G2846" s="225" t="s">
        <v>975</v>
      </c>
      <c r="H2846" s="225" t="s">
        <v>836</v>
      </c>
    </row>
    <row r="2847" spans="1:8">
      <c r="A2847" s="225"/>
      <c r="B2847" s="225"/>
      <c r="C2847" s="225"/>
      <c r="D2847" s="225"/>
      <c r="E2847" s="225"/>
      <c r="F2847" s="225" t="s">
        <v>103</v>
      </c>
      <c r="G2847" s="225" t="s">
        <v>929</v>
      </c>
      <c r="H2847" s="225"/>
    </row>
    <row r="2848" spans="1:8">
      <c r="A2848" s="225"/>
      <c r="B2848" s="225"/>
      <c r="C2848" s="225"/>
      <c r="D2848" s="225"/>
      <c r="E2848" s="225"/>
      <c r="F2848" s="225" t="s">
        <v>105</v>
      </c>
      <c r="G2848" s="225" t="s">
        <v>976</v>
      </c>
      <c r="H2848" s="225"/>
    </row>
    <row r="2849" spans="1:8">
      <c r="A2849" s="225"/>
      <c r="B2849" s="225"/>
      <c r="C2849" s="225"/>
      <c r="D2849" s="225"/>
      <c r="E2849" s="225"/>
      <c r="F2849" s="225" t="s">
        <v>106</v>
      </c>
      <c r="G2849" s="225" t="s">
        <v>977</v>
      </c>
      <c r="H2849" s="225"/>
    </row>
    <row r="2851" spans="1:8">
      <c r="A2851" s="1518" t="s">
        <v>107</v>
      </c>
      <c r="B2851" s="1519"/>
      <c r="C2851" s="1519"/>
      <c r="D2851" s="1519"/>
      <c r="E2851" s="1519"/>
      <c r="F2851" s="1519"/>
      <c r="G2851" s="1519"/>
      <c r="H2851" s="1519"/>
    </row>
    <row r="2852" spans="1:8">
      <c r="A2852" s="225" t="s">
        <v>108</v>
      </c>
      <c r="B2852" s="225" t="s">
        <v>977</v>
      </c>
      <c r="C2852" s="225"/>
      <c r="D2852" s="225"/>
      <c r="E2852" s="225"/>
      <c r="F2852" s="225"/>
      <c r="G2852" s="225"/>
      <c r="H2852" s="225"/>
    </row>
    <row r="2853" spans="1:8">
      <c r="A2853" s="225" t="s">
        <v>109</v>
      </c>
      <c r="B2853" s="225" t="s">
        <v>141</v>
      </c>
      <c r="C2853" s="225"/>
      <c r="D2853" s="225"/>
      <c r="E2853" s="225"/>
      <c r="F2853" s="225"/>
      <c r="G2853" s="225"/>
      <c r="H2853" s="225"/>
    </row>
    <row r="2854" spans="1:8">
      <c r="A2854" s="225" t="s">
        <v>110</v>
      </c>
      <c r="B2854" s="225" t="s">
        <v>135</v>
      </c>
      <c r="C2854" s="225"/>
      <c r="D2854" s="225"/>
      <c r="E2854" s="225"/>
      <c r="F2854" s="225"/>
      <c r="G2854" s="225"/>
      <c r="H2854" s="225"/>
    </row>
    <row r="2855" spans="1:8">
      <c r="A2855" s="225" t="s">
        <v>111</v>
      </c>
      <c r="B2855" s="225" t="s">
        <v>978</v>
      </c>
      <c r="C2855" s="225"/>
      <c r="D2855" s="225"/>
      <c r="E2855" s="225"/>
      <c r="F2855" s="225"/>
      <c r="G2855" s="225"/>
      <c r="H2855" s="225"/>
    </row>
    <row r="2857" spans="1:8">
      <c r="A2857" s="1518" t="s">
        <v>979</v>
      </c>
      <c r="B2857" s="1519"/>
      <c r="C2857" s="1519"/>
      <c r="D2857" s="1519"/>
      <c r="E2857" s="1519"/>
      <c r="F2857" s="1519"/>
      <c r="G2857" s="1519"/>
      <c r="H2857" s="1519"/>
    </row>
    <row r="2858" spans="1:8">
      <c r="A2858" s="1518" t="s">
        <v>980</v>
      </c>
      <c r="B2858" s="1519"/>
      <c r="C2858" s="1519"/>
      <c r="D2858" s="1519"/>
      <c r="E2858" s="1519"/>
      <c r="F2858" s="1519"/>
      <c r="G2858" s="1519"/>
      <c r="H2858" s="1519"/>
    </row>
    <row r="2860" spans="1:8">
      <c r="A2860" s="1519" t="s">
        <v>91</v>
      </c>
      <c r="B2860" s="1519"/>
      <c r="C2860" s="1519"/>
      <c r="D2860" s="1519"/>
      <c r="E2860" s="1519"/>
      <c r="F2860" s="1519"/>
      <c r="G2860" s="1519"/>
      <c r="H2860" s="1519"/>
    </row>
    <row r="2862" spans="1:8">
      <c r="A2862" s="1519" t="s">
        <v>909</v>
      </c>
      <c r="B2862" s="1519"/>
      <c r="C2862" s="1519"/>
      <c r="D2862" s="1519"/>
      <c r="E2862" s="1519"/>
      <c r="F2862" s="1519"/>
      <c r="G2862" s="1519"/>
      <c r="H2862" s="1519"/>
    </row>
    <row r="2864" spans="1:8">
      <c r="A2864" s="198" t="s">
        <v>30</v>
      </c>
      <c r="B2864" s="198" t="s">
        <v>19</v>
      </c>
      <c r="C2864" s="198" t="s">
        <v>92</v>
      </c>
      <c r="D2864" s="198" t="s">
        <v>88</v>
      </c>
      <c r="E2864" s="198" t="s">
        <v>93</v>
      </c>
      <c r="F2864" s="198" t="s">
        <v>94</v>
      </c>
      <c r="G2864" s="198" t="s">
        <v>95</v>
      </c>
      <c r="H2864" s="198" t="s">
        <v>96</v>
      </c>
    </row>
    <row r="2865" spans="1:8">
      <c r="A2865" s="225" t="s">
        <v>910</v>
      </c>
      <c r="B2865" s="225" t="s">
        <v>911</v>
      </c>
      <c r="C2865" s="225" t="s">
        <v>99</v>
      </c>
      <c r="D2865" s="225" t="s">
        <v>115</v>
      </c>
      <c r="E2865" s="225" t="s">
        <v>981</v>
      </c>
      <c r="F2865" s="225" t="s">
        <v>913</v>
      </c>
      <c r="G2865" s="225" t="s">
        <v>982</v>
      </c>
      <c r="H2865" s="225" t="s">
        <v>981</v>
      </c>
    </row>
    <row r="2866" spans="1:8">
      <c r="A2866" s="225" t="s">
        <v>586</v>
      </c>
      <c r="B2866" s="225" t="s">
        <v>587</v>
      </c>
      <c r="C2866" s="225" t="s">
        <v>99</v>
      </c>
      <c r="D2866" s="225" t="s">
        <v>588</v>
      </c>
      <c r="E2866" s="225" t="s">
        <v>983</v>
      </c>
      <c r="F2866" s="225" t="s">
        <v>590</v>
      </c>
      <c r="G2866" s="225" t="s">
        <v>423</v>
      </c>
      <c r="H2866" s="225" t="s">
        <v>983</v>
      </c>
    </row>
    <row r="2867" spans="1:8">
      <c r="A2867" s="225" t="s">
        <v>984</v>
      </c>
      <c r="B2867" s="225" t="s">
        <v>985</v>
      </c>
      <c r="C2867" s="225" t="s">
        <v>99</v>
      </c>
      <c r="D2867" s="225" t="s">
        <v>4</v>
      </c>
      <c r="E2867" s="225" t="s">
        <v>455</v>
      </c>
      <c r="F2867" s="225" t="s">
        <v>986</v>
      </c>
      <c r="G2867" s="225" t="s">
        <v>987</v>
      </c>
      <c r="H2867" s="225" t="s">
        <v>455</v>
      </c>
    </row>
    <row r="2868" spans="1:8">
      <c r="A2868" s="225" t="s">
        <v>921</v>
      </c>
      <c r="B2868" s="225" t="s">
        <v>922</v>
      </c>
      <c r="C2868" s="225" t="s">
        <v>99</v>
      </c>
      <c r="D2868" s="225" t="s">
        <v>115</v>
      </c>
      <c r="E2868" s="225" t="s">
        <v>988</v>
      </c>
      <c r="F2868" s="225" t="s">
        <v>923</v>
      </c>
      <c r="G2868" s="225" t="s">
        <v>195</v>
      </c>
      <c r="H2868" s="225" t="s">
        <v>988</v>
      </c>
    </row>
    <row r="2869" spans="1:8">
      <c r="A2869" s="225" t="s">
        <v>924</v>
      </c>
      <c r="B2869" s="225" t="s">
        <v>925</v>
      </c>
      <c r="C2869" s="225" t="s">
        <v>99</v>
      </c>
      <c r="D2869" s="225" t="s">
        <v>115</v>
      </c>
      <c r="E2869" s="225" t="s">
        <v>989</v>
      </c>
      <c r="F2869" s="225" t="s">
        <v>927</v>
      </c>
      <c r="G2869" s="225" t="s">
        <v>983</v>
      </c>
      <c r="H2869" s="225" t="s">
        <v>989</v>
      </c>
    </row>
    <row r="2870" spans="1:8">
      <c r="A2870" s="225" t="s">
        <v>122</v>
      </c>
      <c r="B2870" s="225" t="s">
        <v>123</v>
      </c>
      <c r="C2870" s="225" t="s">
        <v>121</v>
      </c>
      <c r="D2870" s="225" t="s">
        <v>118</v>
      </c>
      <c r="E2870" s="225" t="s">
        <v>990</v>
      </c>
      <c r="F2870" s="225" t="s">
        <v>606</v>
      </c>
      <c r="G2870" s="225" t="s">
        <v>451</v>
      </c>
      <c r="H2870" s="225" t="s">
        <v>990</v>
      </c>
    </row>
    <row r="2871" spans="1:8">
      <c r="A2871" s="225" t="s">
        <v>930</v>
      </c>
      <c r="B2871" s="225" t="s">
        <v>931</v>
      </c>
      <c r="C2871" s="225" t="s">
        <v>121</v>
      </c>
      <c r="D2871" s="225" t="s">
        <v>118</v>
      </c>
      <c r="E2871" s="225" t="s">
        <v>991</v>
      </c>
      <c r="F2871" s="225" t="s">
        <v>933</v>
      </c>
      <c r="G2871" s="225" t="s">
        <v>992</v>
      </c>
      <c r="H2871" s="225" t="s">
        <v>991</v>
      </c>
    </row>
    <row r="2872" spans="1:8">
      <c r="A2872" s="225" t="s">
        <v>893</v>
      </c>
      <c r="B2872" s="225" t="s">
        <v>894</v>
      </c>
      <c r="C2872" s="225" t="s">
        <v>121</v>
      </c>
      <c r="D2872" s="225" t="s">
        <v>895</v>
      </c>
      <c r="E2872" s="225" t="s">
        <v>934</v>
      </c>
      <c r="F2872" s="225" t="s">
        <v>897</v>
      </c>
      <c r="G2872" s="225" t="s">
        <v>762</v>
      </c>
      <c r="H2872" s="225" t="s">
        <v>934</v>
      </c>
    </row>
    <row r="2873" spans="1:8">
      <c r="A2873" s="225" t="s">
        <v>898</v>
      </c>
      <c r="B2873" s="225" t="s">
        <v>899</v>
      </c>
      <c r="C2873" s="225" t="s">
        <v>121</v>
      </c>
      <c r="D2873" s="225" t="s">
        <v>900</v>
      </c>
      <c r="E2873" s="225" t="s">
        <v>935</v>
      </c>
      <c r="F2873" s="225" t="s">
        <v>902</v>
      </c>
      <c r="G2873" s="225" t="s">
        <v>936</v>
      </c>
      <c r="H2873" s="225" t="s">
        <v>935</v>
      </c>
    </row>
    <row r="2874" spans="1:8">
      <c r="A2874" s="225"/>
      <c r="B2874" s="225"/>
      <c r="C2874" s="225"/>
      <c r="D2874" s="225"/>
      <c r="E2874" s="225"/>
      <c r="F2874" s="225" t="s">
        <v>103</v>
      </c>
      <c r="G2874" s="225" t="s">
        <v>993</v>
      </c>
      <c r="H2874" s="225"/>
    </row>
    <row r="2875" spans="1:8">
      <c r="A2875" s="225"/>
      <c r="B2875" s="225"/>
      <c r="C2875" s="225"/>
      <c r="D2875" s="225"/>
      <c r="E2875" s="225"/>
      <c r="F2875" s="225" t="s">
        <v>105</v>
      </c>
      <c r="G2875" s="225" t="s">
        <v>994</v>
      </c>
      <c r="H2875" s="225"/>
    </row>
    <row r="2876" spans="1:8">
      <c r="A2876" s="225"/>
      <c r="B2876" s="225"/>
      <c r="C2876" s="225"/>
      <c r="D2876" s="225"/>
      <c r="E2876" s="225"/>
      <c r="F2876" s="225" t="s">
        <v>106</v>
      </c>
      <c r="G2876" s="225" t="s">
        <v>995</v>
      </c>
      <c r="H2876" s="225"/>
    </row>
    <row r="2878" spans="1:8">
      <c r="A2878" s="1518" t="s">
        <v>107</v>
      </c>
      <c r="B2878" s="1519"/>
      <c r="C2878" s="1519"/>
      <c r="D2878" s="1519"/>
      <c r="E2878" s="1519"/>
      <c r="F2878" s="1519"/>
      <c r="G2878" s="1519"/>
      <c r="H2878" s="1519"/>
    </row>
    <row r="2879" spans="1:8">
      <c r="A2879" s="225" t="s">
        <v>108</v>
      </c>
      <c r="B2879" s="225" t="s">
        <v>995</v>
      </c>
      <c r="C2879" s="225"/>
      <c r="D2879" s="225"/>
      <c r="E2879" s="225"/>
      <c r="F2879" s="225"/>
      <c r="G2879" s="225"/>
      <c r="H2879" s="225"/>
    </row>
    <row r="2880" spans="1:8">
      <c r="A2880" s="225" t="s">
        <v>109</v>
      </c>
      <c r="B2880" s="225" t="s">
        <v>996</v>
      </c>
      <c r="C2880" s="225"/>
      <c r="D2880" s="225"/>
      <c r="E2880" s="225"/>
      <c r="F2880" s="225"/>
      <c r="G2880" s="225"/>
      <c r="H2880" s="225"/>
    </row>
    <row r="2881" spans="1:8">
      <c r="A2881" s="225" t="s">
        <v>110</v>
      </c>
      <c r="B2881" s="225" t="s">
        <v>997</v>
      </c>
      <c r="C2881" s="225"/>
      <c r="D2881" s="225"/>
      <c r="E2881" s="225"/>
      <c r="F2881" s="225"/>
      <c r="G2881" s="225"/>
      <c r="H2881" s="225"/>
    </row>
    <row r="2882" spans="1:8">
      <c r="A2882" s="225" t="s">
        <v>111</v>
      </c>
      <c r="B2882" s="225" t="s">
        <v>998</v>
      </c>
      <c r="C2882" s="225"/>
      <c r="D2882" s="225"/>
      <c r="E2882" s="225"/>
      <c r="F2882" s="225"/>
      <c r="G2882" s="225"/>
      <c r="H2882" s="225"/>
    </row>
    <row r="2885" spans="1:8">
      <c r="A2885" s="1518" t="s">
        <v>999</v>
      </c>
      <c r="B2885" s="1519"/>
      <c r="C2885" s="1519"/>
      <c r="D2885" s="1519"/>
      <c r="E2885" s="1519"/>
      <c r="F2885" s="1519"/>
      <c r="G2885" s="1519"/>
      <c r="H2885" s="1519"/>
    </row>
    <row r="2886" spans="1:8">
      <c r="A2886" s="1518" t="s">
        <v>1000</v>
      </c>
      <c r="B2886" s="1519"/>
      <c r="C2886" s="1519"/>
      <c r="D2886" s="1519"/>
      <c r="E2886" s="1519"/>
      <c r="F2886" s="1519"/>
      <c r="G2886" s="1519"/>
      <c r="H2886" s="1519"/>
    </row>
    <row r="2888" spans="1:8">
      <c r="A2888" s="1519" t="s">
        <v>91</v>
      </c>
      <c r="B2888" s="1519"/>
      <c r="C2888" s="1519"/>
      <c r="D2888" s="1519"/>
      <c r="E2888" s="1519"/>
      <c r="F2888" s="1519"/>
      <c r="G2888" s="1519"/>
      <c r="H2888" s="1519"/>
    </row>
    <row r="2890" spans="1:8">
      <c r="A2890" s="1519" t="s">
        <v>112</v>
      </c>
      <c r="B2890" s="1519"/>
      <c r="C2890" s="1519"/>
      <c r="D2890" s="1519"/>
      <c r="E2890" s="1519"/>
      <c r="F2890" s="1519"/>
      <c r="G2890" s="1519"/>
      <c r="H2890" s="1519"/>
    </row>
    <row r="2892" spans="1:8">
      <c r="A2892" s="198" t="s">
        <v>30</v>
      </c>
      <c r="B2892" s="198" t="s">
        <v>19</v>
      </c>
      <c r="C2892" s="198" t="s">
        <v>92</v>
      </c>
      <c r="D2892" s="198" t="s">
        <v>88</v>
      </c>
      <c r="E2892" s="198" t="s">
        <v>93</v>
      </c>
      <c r="F2892" s="198" t="s">
        <v>94</v>
      </c>
      <c r="G2892" s="198" t="s">
        <v>95</v>
      </c>
      <c r="H2892" s="198" t="s">
        <v>96</v>
      </c>
    </row>
    <row r="2893" spans="1:8">
      <c r="A2893" s="225" t="s">
        <v>1001</v>
      </c>
      <c r="B2893" s="225" t="s">
        <v>1002</v>
      </c>
      <c r="C2893" s="225" t="s">
        <v>99</v>
      </c>
      <c r="D2893" s="225" t="s">
        <v>5</v>
      </c>
      <c r="E2893" s="225" t="s">
        <v>1003</v>
      </c>
      <c r="F2893" s="225" t="s">
        <v>789</v>
      </c>
      <c r="G2893" s="225" t="s">
        <v>1004</v>
      </c>
      <c r="H2893" s="225" t="s">
        <v>1003</v>
      </c>
    </row>
    <row r="2894" spans="1:8">
      <c r="A2894" s="225" t="s">
        <v>122</v>
      </c>
      <c r="B2894" s="225" t="s">
        <v>123</v>
      </c>
      <c r="C2894" s="225" t="s">
        <v>121</v>
      </c>
      <c r="D2894" s="225" t="s">
        <v>118</v>
      </c>
      <c r="E2894" s="225" t="s">
        <v>1005</v>
      </c>
      <c r="F2894" s="225" t="s">
        <v>606</v>
      </c>
      <c r="G2894" s="225" t="s">
        <v>565</v>
      </c>
      <c r="H2894" s="225" t="s">
        <v>1005</v>
      </c>
    </row>
    <row r="2895" spans="1:8">
      <c r="A2895" s="225" t="s">
        <v>930</v>
      </c>
      <c r="B2895" s="225" t="s">
        <v>931</v>
      </c>
      <c r="C2895" s="225" t="s">
        <v>121</v>
      </c>
      <c r="D2895" s="225" t="s">
        <v>118</v>
      </c>
      <c r="E2895" s="225" t="s">
        <v>1006</v>
      </c>
      <c r="F2895" s="225" t="s">
        <v>933</v>
      </c>
      <c r="G2895" s="225" t="s">
        <v>232</v>
      </c>
      <c r="H2895" s="225" t="s">
        <v>1006</v>
      </c>
    </row>
    <row r="2896" spans="1:8">
      <c r="A2896" s="225" t="s">
        <v>893</v>
      </c>
      <c r="B2896" s="225" t="s">
        <v>894</v>
      </c>
      <c r="C2896" s="225" t="s">
        <v>121</v>
      </c>
      <c r="D2896" s="225" t="s">
        <v>895</v>
      </c>
      <c r="E2896" s="225" t="s">
        <v>1007</v>
      </c>
      <c r="F2896" s="225" t="s">
        <v>897</v>
      </c>
      <c r="G2896" s="225" t="s">
        <v>1008</v>
      </c>
      <c r="H2896" s="225" t="s">
        <v>1007</v>
      </c>
    </row>
    <row r="2897" spans="1:8">
      <c r="A2897" s="225" t="s">
        <v>898</v>
      </c>
      <c r="B2897" s="225" t="s">
        <v>899</v>
      </c>
      <c r="C2897" s="225" t="s">
        <v>121</v>
      </c>
      <c r="D2897" s="225" t="s">
        <v>900</v>
      </c>
      <c r="E2897" s="225" t="s">
        <v>1009</v>
      </c>
      <c r="F2897" s="225" t="s">
        <v>902</v>
      </c>
      <c r="G2897" s="225" t="s">
        <v>1010</v>
      </c>
      <c r="H2897" s="225" t="s">
        <v>1009</v>
      </c>
    </row>
    <row r="2898" spans="1:8">
      <c r="A2898" s="225"/>
      <c r="B2898" s="225"/>
      <c r="C2898" s="225"/>
      <c r="D2898" s="225"/>
      <c r="E2898" s="225"/>
      <c r="F2898" s="225" t="s">
        <v>103</v>
      </c>
      <c r="G2898" s="225" t="s">
        <v>102</v>
      </c>
      <c r="H2898" s="225"/>
    </row>
    <row r="2899" spans="1:8">
      <c r="A2899" s="225"/>
      <c r="B2899" s="225"/>
      <c r="C2899" s="225"/>
      <c r="D2899" s="225"/>
      <c r="E2899" s="225"/>
      <c r="F2899" s="225" t="s">
        <v>105</v>
      </c>
      <c r="G2899" s="225" t="s">
        <v>1011</v>
      </c>
      <c r="H2899" s="225"/>
    </row>
    <row r="2900" spans="1:8">
      <c r="A2900" s="225"/>
      <c r="B2900" s="225"/>
      <c r="C2900" s="225"/>
      <c r="D2900" s="225"/>
      <c r="E2900" s="225"/>
      <c r="F2900" s="225" t="s">
        <v>106</v>
      </c>
      <c r="G2900" s="225" t="s">
        <v>703</v>
      </c>
      <c r="H2900" s="225"/>
    </row>
    <row r="2902" spans="1:8">
      <c r="A2902" s="1518" t="s">
        <v>107</v>
      </c>
      <c r="B2902" s="1519"/>
      <c r="C2902" s="1519"/>
      <c r="D2902" s="1519"/>
      <c r="E2902" s="1519"/>
      <c r="F2902" s="1519"/>
      <c r="G2902" s="1519"/>
      <c r="H2902" s="1519"/>
    </row>
    <row r="2903" spans="1:8">
      <c r="A2903" s="225" t="s">
        <v>108</v>
      </c>
      <c r="B2903" s="225" t="s">
        <v>703</v>
      </c>
      <c r="C2903" s="225"/>
      <c r="D2903" s="225"/>
      <c r="E2903" s="225"/>
      <c r="F2903" s="225"/>
      <c r="G2903" s="225"/>
      <c r="H2903" s="225"/>
    </row>
    <row r="2904" spans="1:8">
      <c r="A2904" s="225" t="s">
        <v>109</v>
      </c>
      <c r="B2904" s="225" t="s">
        <v>302</v>
      </c>
      <c r="C2904" s="225"/>
      <c r="D2904" s="225"/>
      <c r="E2904" s="225"/>
      <c r="F2904" s="225"/>
      <c r="G2904" s="225"/>
      <c r="H2904" s="225"/>
    </row>
    <row r="2905" spans="1:8">
      <c r="A2905" s="225" t="s">
        <v>110</v>
      </c>
      <c r="B2905" s="225" t="s">
        <v>1012</v>
      </c>
      <c r="C2905" s="225"/>
      <c r="D2905" s="225"/>
      <c r="E2905" s="225"/>
      <c r="F2905" s="225"/>
      <c r="G2905" s="225"/>
      <c r="H2905" s="225"/>
    </row>
    <row r="2906" spans="1:8">
      <c r="A2906" s="225" t="s">
        <v>111</v>
      </c>
      <c r="B2906" s="225" t="s">
        <v>1013</v>
      </c>
      <c r="C2906" s="225"/>
      <c r="D2906" s="225"/>
      <c r="E2906" s="225"/>
      <c r="F2906" s="225"/>
      <c r="G2906" s="225"/>
      <c r="H2906" s="225"/>
    </row>
    <row r="2908" spans="1:8">
      <c r="A2908" s="1518" t="s">
        <v>1017</v>
      </c>
      <c r="B2908" s="1519"/>
      <c r="C2908" s="1519"/>
      <c r="D2908" s="1519"/>
      <c r="E2908" s="1519"/>
      <c r="F2908" s="1519"/>
      <c r="G2908" s="1519"/>
      <c r="H2908" s="1519"/>
    </row>
    <row r="2909" spans="1:8">
      <c r="A2909" s="1518" t="s">
        <v>1018</v>
      </c>
      <c r="B2909" s="1519"/>
      <c r="C2909" s="1519"/>
      <c r="D2909" s="1519"/>
      <c r="E2909" s="1519"/>
      <c r="F2909" s="1519"/>
      <c r="G2909" s="1519"/>
      <c r="H2909" s="1519"/>
    </row>
    <row r="2911" spans="1:8">
      <c r="A2911" s="1519" t="s">
        <v>91</v>
      </c>
      <c r="B2911" s="1519"/>
      <c r="C2911" s="1519"/>
      <c r="D2911" s="1519"/>
      <c r="E2911" s="1519"/>
      <c r="F2911" s="1519"/>
      <c r="G2911" s="1519"/>
      <c r="H2911" s="1519"/>
    </row>
    <row r="2913" spans="1:8">
      <c r="A2913" s="1519" t="s">
        <v>112</v>
      </c>
      <c r="B2913" s="1519"/>
      <c r="C2913" s="1519"/>
      <c r="D2913" s="1519"/>
      <c r="E2913" s="1519"/>
      <c r="F2913" s="1519"/>
      <c r="G2913" s="1519"/>
      <c r="H2913" s="1519"/>
    </row>
    <row r="2915" spans="1:8">
      <c r="A2915" s="198" t="s">
        <v>30</v>
      </c>
      <c r="B2915" s="198" t="s">
        <v>19</v>
      </c>
      <c r="C2915" s="198" t="s">
        <v>92</v>
      </c>
      <c r="D2915" s="198" t="s">
        <v>88</v>
      </c>
      <c r="E2915" s="198" t="s">
        <v>93</v>
      </c>
      <c r="F2915" s="198" t="s">
        <v>94</v>
      </c>
      <c r="G2915" s="198" t="s">
        <v>95</v>
      </c>
      <c r="H2915" s="198" t="s">
        <v>96</v>
      </c>
    </row>
    <row r="2916" spans="1:8">
      <c r="A2916" s="225" t="s">
        <v>1019</v>
      </c>
      <c r="B2916" s="225" t="s">
        <v>1020</v>
      </c>
      <c r="C2916" s="225" t="s">
        <v>99</v>
      </c>
      <c r="D2916" s="225" t="s">
        <v>115</v>
      </c>
      <c r="E2916" s="225" t="s">
        <v>1021</v>
      </c>
      <c r="F2916" s="225" t="s">
        <v>1022</v>
      </c>
      <c r="G2916" s="225" t="s">
        <v>837</v>
      </c>
      <c r="H2916" s="225" t="s">
        <v>1021</v>
      </c>
    </row>
    <row r="2917" spans="1:8">
      <c r="A2917" s="225" t="s">
        <v>1023</v>
      </c>
      <c r="B2917" s="225" t="s">
        <v>1024</v>
      </c>
      <c r="C2917" s="225" t="s">
        <v>121</v>
      </c>
      <c r="D2917" s="225" t="s">
        <v>118</v>
      </c>
      <c r="E2917" s="225" t="s">
        <v>932</v>
      </c>
      <c r="F2917" s="225" t="s">
        <v>1025</v>
      </c>
      <c r="G2917" s="225" t="s">
        <v>1026</v>
      </c>
      <c r="H2917" s="225" t="s">
        <v>932</v>
      </c>
    </row>
    <row r="2918" spans="1:8">
      <c r="A2918" s="225" t="s">
        <v>122</v>
      </c>
      <c r="B2918" s="225" t="s">
        <v>123</v>
      </c>
      <c r="C2918" s="225" t="s">
        <v>121</v>
      </c>
      <c r="D2918" s="225" t="s">
        <v>118</v>
      </c>
      <c r="E2918" s="225" t="s">
        <v>1027</v>
      </c>
      <c r="F2918" s="225" t="s">
        <v>606</v>
      </c>
      <c r="G2918" s="225" t="s">
        <v>1028</v>
      </c>
      <c r="H2918" s="225" t="s">
        <v>1027</v>
      </c>
    </row>
    <row r="2919" spans="1:8">
      <c r="A2919" s="225"/>
      <c r="B2919" s="225"/>
      <c r="C2919" s="225"/>
      <c r="D2919" s="225"/>
      <c r="E2919" s="225"/>
      <c r="F2919" s="225" t="s">
        <v>103</v>
      </c>
      <c r="G2919" s="225" t="s">
        <v>1029</v>
      </c>
      <c r="H2919" s="225"/>
    </row>
    <row r="2920" spans="1:8">
      <c r="A2920" s="225"/>
      <c r="B2920" s="225"/>
      <c r="C2920" s="225"/>
      <c r="D2920" s="225"/>
      <c r="E2920" s="225"/>
      <c r="F2920" s="225" t="s">
        <v>105</v>
      </c>
      <c r="G2920" s="225" t="s">
        <v>1030</v>
      </c>
      <c r="H2920" s="225"/>
    </row>
    <row r="2921" spans="1:8">
      <c r="A2921" s="225"/>
      <c r="B2921" s="225"/>
      <c r="C2921" s="225"/>
      <c r="D2921" s="225"/>
      <c r="E2921" s="225"/>
      <c r="F2921" s="225" t="s">
        <v>106</v>
      </c>
      <c r="G2921" s="225" t="s">
        <v>1031</v>
      </c>
      <c r="H2921" s="225"/>
    </row>
    <row r="2923" spans="1:8">
      <c r="A2923" s="1518" t="s">
        <v>107</v>
      </c>
      <c r="B2923" s="1519"/>
      <c r="C2923" s="1519"/>
      <c r="D2923" s="1519"/>
      <c r="E2923" s="1519"/>
      <c r="F2923" s="1519"/>
      <c r="G2923" s="1519"/>
      <c r="H2923" s="1519"/>
    </row>
    <row r="2924" spans="1:8">
      <c r="A2924" s="225" t="s">
        <v>108</v>
      </c>
      <c r="B2924" s="225" t="s">
        <v>1031</v>
      </c>
      <c r="C2924" s="225"/>
      <c r="D2924" s="225"/>
      <c r="E2924" s="225"/>
      <c r="F2924" s="225"/>
      <c r="G2924" s="225"/>
      <c r="H2924" s="225"/>
    </row>
    <row r="2925" spans="1:8">
      <c r="A2925" s="225" t="s">
        <v>109</v>
      </c>
      <c r="B2925" s="225" t="s">
        <v>1032</v>
      </c>
      <c r="C2925" s="225"/>
      <c r="D2925" s="225"/>
      <c r="E2925" s="225"/>
      <c r="F2925" s="225"/>
      <c r="G2925" s="225"/>
      <c r="H2925" s="225"/>
    </row>
    <row r="2926" spans="1:8">
      <c r="A2926" s="225" t="s">
        <v>110</v>
      </c>
      <c r="B2926" s="225" t="s">
        <v>1033</v>
      </c>
      <c r="C2926" s="225"/>
      <c r="D2926" s="225"/>
      <c r="E2926" s="225"/>
      <c r="F2926" s="225"/>
      <c r="G2926" s="225"/>
      <c r="H2926" s="225"/>
    </row>
    <row r="2927" spans="1:8">
      <c r="A2927" s="225" t="s">
        <v>111</v>
      </c>
      <c r="B2927" s="225" t="s">
        <v>1034</v>
      </c>
      <c r="C2927" s="225"/>
      <c r="D2927" s="225"/>
      <c r="E2927" s="225"/>
      <c r="F2927" s="225"/>
      <c r="G2927" s="225"/>
      <c r="H2927" s="225"/>
    </row>
    <row r="2929" spans="1:8">
      <c r="A2929" s="1518" t="s">
        <v>1035</v>
      </c>
      <c r="B2929" s="1519"/>
      <c r="C2929" s="1519"/>
      <c r="D2929" s="1519"/>
      <c r="E2929" s="1519"/>
      <c r="F2929" s="1519"/>
      <c r="G2929" s="1519"/>
      <c r="H2929" s="1519"/>
    </row>
    <row r="2930" spans="1:8">
      <c r="A2930" s="1518" t="s">
        <v>1036</v>
      </c>
      <c r="B2930" s="1519"/>
      <c r="C2930" s="1519"/>
      <c r="D2930" s="1519"/>
      <c r="E2930" s="1519"/>
      <c r="F2930" s="1519"/>
      <c r="G2930" s="1519"/>
      <c r="H2930" s="1519"/>
    </row>
    <row r="2932" spans="1:8">
      <c r="A2932" s="1519" t="s">
        <v>91</v>
      </c>
      <c r="B2932" s="1519"/>
      <c r="C2932" s="1519"/>
      <c r="D2932" s="1519"/>
      <c r="E2932" s="1519"/>
      <c r="F2932" s="1519"/>
      <c r="G2932" s="1519"/>
      <c r="H2932" s="1519"/>
    </row>
    <row r="2934" spans="1:8">
      <c r="A2934" s="1519" t="s">
        <v>112</v>
      </c>
      <c r="B2934" s="1519"/>
      <c r="C2934" s="1519"/>
      <c r="D2934" s="1519"/>
      <c r="E2934" s="1519"/>
      <c r="F2934" s="1519"/>
      <c r="G2934" s="1519"/>
      <c r="H2934" s="1519"/>
    </row>
    <row r="2936" spans="1:8">
      <c r="A2936" s="198" t="s">
        <v>30</v>
      </c>
      <c r="B2936" s="198" t="s">
        <v>19</v>
      </c>
      <c r="C2936" s="198" t="s">
        <v>92</v>
      </c>
      <c r="D2936" s="198" t="s">
        <v>88</v>
      </c>
      <c r="E2936" s="198" t="s">
        <v>93</v>
      </c>
      <c r="F2936" s="198" t="s">
        <v>94</v>
      </c>
      <c r="G2936" s="198" t="s">
        <v>95</v>
      </c>
      <c r="H2936" s="198" t="s">
        <v>96</v>
      </c>
    </row>
    <row r="2937" spans="1:8">
      <c r="A2937" s="225" t="s">
        <v>1037</v>
      </c>
      <c r="B2937" s="225" t="s">
        <v>1038</v>
      </c>
      <c r="C2937" s="225" t="s">
        <v>99</v>
      </c>
      <c r="D2937" s="225" t="s">
        <v>204</v>
      </c>
      <c r="E2937" s="225" t="s">
        <v>416</v>
      </c>
      <c r="F2937" s="225" t="s">
        <v>1039</v>
      </c>
      <c r="G2937" s="225" t="s">
        <v>245</v>
      </c>
      <c r="H2937" s="225" t="s">
        <v>416</v>
      </c>
    </row>
    <row r="2938" spans="1:8">
      <c r="A2938" s="225" t="s">
        <v>1023</v>
      </c>
      <c r="B2938" s="225" t="s">
        <v>1024</v>
      </c>
      <c r="C2938" s="225" t="s">
        <v>121</v>
      </c>
      <c r="D2938" s="225" t="s">
        <v>118</v>
      </c>
      <c r="E2938" s="225" t="s">
        <v>1040</v>
      </c>
      <c r="F2938" s="225" t="s">
        <v>1025</v>
      </c>
      <c r="G2938" s="225" t="s">
        <v>1041</v>
      </c>
      <c r="H2938" s="225" t="s">
        <v>1040</v>
      </c>
    </row>
    <row r="2939" spans="1:8">
      <c r="A2939" s="225" t="s">
        <v>122</v>
      </c>
      <c r="B2939" s="225" t="s">
        <v>123</v>
      </c>
      <c r="C2939" s="225" t="s">
        <v>121</v>
      </c>
      <c r="D2939" s="225" t="s">
        <v>118</v>
      </c>
      <c r="E2939" s="225" t="s">
        <v>1027</v>
      </c>
      <c r="F2939" s="225" t="s">
        <v>606</v>
      </c>
      <c r="G2939" s="225" t="s">
        <v>1028</v>
      </c>
      <c r="H2939" s="225" t="s">
        <v>1027</v>
      </c>
    </row>
    <row r="2940" spans="1:8">
      <c r="A2940" s="225"/>
      <c r="B2940" s="225"/>
      <c r="C2940" s="225"/>
      <c r="D2940" s="225"/>
      <c r="E2940" s="225"/>
      <c r="F2940" s="225" t="s">
        <v>103</v>
      </c>
      <c r="G2940" s="225" t="s">
        <v>1042</v>
      </c>
      <c r="H2940" s="225"/>
    </row>
    <row r="2941" spans="1:8">
      <c r="A2941" s="225"/>
      <c r="B2941" s="225"/>
      <c r="C2941" s="225"/>
      <c r="D2941" s="225"/>
      <c r="E2941" s="225"/>
      <c r="F2941" s="225" t="s">
        <v>105</v>
      </c>
      <c r="G2941" s="225" t="s">
        <v>163</v>
      </c>
      <c r="H2941" s="225"/>
    </row>
    <row r="2942" spans="1:8">
      <c r="A2942" s="225"/>
      <c r="B2942" s="225"/>
      <c r="C2942" s="225"/>
      <c r="D2942" s="225"/>
      <c r="E2942" s="225"/>
      <c r="F2942" s="225" t="s">
        <v>106</v>
      </c>
      <c r="G2942" s="225" t="s">
        <v>1043</v>
      </c>
      <c r="H2942" s="225"/>
    </row>
    <row r="2944" spans="1:8">
      <c r="A2944" s="1518" t="s">
        <v>107</v>
      </c>
      <c r="B2944" s="1519"/>
      <c r="C2944" s="1519"/>
      <c r="D2944" s="1519"/>
      <c r="E2944" s="1519"/>
      <c r="F2944" s="1519"/>
      <c r="G2944" s="1519"/>
      <c r="H2944" s="1519"/>
    </row>
    <row r="2945" spans="1:8">
      <c r="A2945" s="225" t="s">
        <v>108</v>
      </c>
      <c r="B2945" s="225" t="s">
        <v>1043</v>
      </c>
      <c r="C2945" s="225"/>
      <c r="D2945" s="225"/>
      <c r="E2945" s="225"/>
      <c r="F2945" s="225"/>
      <c r="G2945" s="225"/>
      <c r="H2945" s="225"/>
    </row>
    <row r="2946" spans="1:8">
      <c r="A2946" s="225" t="s">
        <v>109</v>
      </c>
      <c r="B2946" s="225" t="s">
        <v>1032</v>
      </c>
      <c r="C2946" s="225"/>
      <c r="D2946" s="225"/>
      <c r="E2946" s="225"/>
      <c r="F2946" s="225"/>
      <c r="G2946" s="225"/>
      <c r="H2946" s="225"/>
    </row>
    <row r="2947" spans="1:8">
      <c r="A2947" s="225" t="s">
        <v>110</v>
      </c>
      <c r="B2947" s="225" t="s">
        <v>1044</v>
      </c>
      <c r="C2947" s="225"/>
      <c r="D2947" s="225"/>
      <c r="E2947" s="225"/>
      <c r="F2947" s="225"/>
      <c r="G2947" s="225"/>
      <c r="H2947" s="225"/>
    </row>
    <row r="2948" spans="1:8">
      <c r="A2948" s="225" t="s">
        <v>111</v>
      </c>
      <c r="B2948" s="225" t="s">
        <v>1045</v>
      </c>
      <c r="C2948" s="225"/>
      <c r="D2948" s="225"/>
      <c r="E2948" s="225"/>
      <c r="F2948" s="225"/>
      <c r="G2948" s="225"/>
      <c r="H2948" s="225"/>
    </row>
    <row r="2950" spans="1:8">
      <c r="A2950" s="1518" t="s">
        <v>1070</v>
      </c>
      <c r="B2950" s="1519"/>
      <c r="C2950" s="1519"/>
      <c r="D2950" s="1519"/>
      <c r="E2950" s="1519"/>
      <c r="F2950" s="1519"/>
      <c r="G2950" s="1519"/>
      <c r="H2950" s="1519"/>
    </row>
    <row r="2951" spans="1:8">
      <c r="A2951" s="1518" t="s">
        <v>1071</v>
      </c>
      <c r="B2951" s="1519"/>
      <c r="C2951" s="1519"/>
      <c r="D2951" s="1519"/>
      <c r="E2951" s="1519"/>
      <c r="F2951" s="1519"/>
      <c r="G2951" s="1519"/>
      <c r="H2951" s="1519"/>
    </row>
    <row r="2953" spans="1:8">
      <c r="A2953" s="1519" t="s">
        <v>91</v>
      </c>
      <c r="B2953" s="1519"/>
      <c r="C2953" s="1519"/>
      <c r="D2953" s="1519"/>
      <c r="E2953" s="1519"/>
      <c r="F2953" s="1519"/>
      <c r="G2953" s="1519"/>
      <c r="H2953" s="1519"/>
    </row>
    <row r="2955" spans="1:8">
      <c r="A2955" s="1519" t="s">
        <v>112</v>
      </c>
      <c r="B2955" s="1519"/>
      <c r="C2955" s="1519"/>
      <c r="D2955" s="1519"/>
      <c r="E2955" s="1519"/>
      <c r="F2955" s="1519"/>
      <c r="G2955" s="1519"/>
      <c r="H2955" s="1519"/>
    </row>
    <row r="2957" spans="1:8">
      <c r="A2957" s="198" t="s">
        <v>30</v>
      </c>
      <c r="B2957" s="198" t="s">
        <v>19</v>
      </c>
      <c r="C2957" s="198" t="s">
        <v>92</v>
      </c>
      <c r="D2957" s="198" t="s">
        <v>88</v>
      </c>
      <c r="E2957" s="198" t="s">
        <v>93</v>
      </c>
      <c r="F2957" s="198" t="s">
        <v>94</v>
      </c>
      <c r="G2957" s="198" t="s">
        <v>95</v>
      </c>
      <c r="H2957" s="198" t="s">
        <v>96</v>
      </c>
    </row>
    <row r="2958" spans="1:8">
      <c r="A2958" s="238" t="s">
        <v>1072</v>
      </c>
      <c r="B2958" s="238" t="s">
        <v>1073</v>
      </c>
      <c r="C2958" s="238" t="s">
        <v>99</v>
      </c>
      <c r="D2958" s="238" t="s">
        <v>115</v>
      </c>
      <c r="E2958" s="238" t="s">
        <v>161</v>
      </c>
      <c r="F2958" s="238" t="s">
        <v>220</v>
      </c>
      <c r="G2958" s="238" t="s">
        <v>324</v>
      </c>
      <c r="H2958" s="238" t="s">
        <v>161</v>
      </c>
    </row>
    <row r="2959" spans="1:8">
      <c r="A2959" s="238" t="s">
        <v>1074</v>
      </c>
      <c r="B2959" s="238" t="s">
        <v>1075</v>
      </c>
      <c r="C2959" s="238" t="s">
        <v>99</v>
      </c>
      <c r="D2959" s="238" t="s">
        <v>204</v>
      </c>
      <c r="E2959" s="238" t="s">
        <v>1076</v>
      </c>
      <c r="F2959" s="238" t="s">
        <v>638</v>
      </c>
      <c r="G2959" s="238" t="s">
        <v>1077</v>
      </c>
      <c r="H2959" s="238" t="s">
        <v>1076</v>
      </c>
    </row>
    <row r="2960" spans="1:8">
      <c r="A2960" s="238" t="s">
        <v>1078</v>
      </c>
      <c r="B2960" s="238" t="s">
        <v>1079</v>
      </c>
      <c r="C2960" s="238" t="s">
        <v>121</v>
      </c>
      <c r="D2960" s="238" t="s">
        <v>125</v>
      </c>
      <c r="E2960" s="238" t="s">
        <v>1080</v>
      </c>
      <c r="F2960" s="238" t="s">
        <v>1081</v>
      </c>
      <c r="G2960" s="238" t="s">
        <v>637</v>
      </c>
      <c r="H2960" s="238" t="s">
        <v>1080</v>
      </c>
    </row>
    <row r="2961" spans="1:8">
      <c r="A2961" s="238" t="s">
        <v>130</v>
      </c>
      <c r="B2961" s="238" t="s">
        <v>131</v>
      </c>
      <c r="C2961" s="238" t="s">
        <v>121</v>
      </c>
      <c r="D2961" s="238" t="s">
        <v>118</v>
      </c>
      <c r="E2961" s="238" t="s">
        <v>416</v>
      </c>
      <c r="F2961" s="238" t="s">
        <v>603</v>
      </c>
      <c r="G2961" s="238" t="s">
        <v>1082</v>
      </c>
      <c r="H2961" s="238" t="s">
        <v>416</v>
      </c>
    </row>
    <row r="2962" spans="1:8">
      <c r="A2962" s="238" t="s">
        <v>122</v>
      </c>
      <c r="B2962" s="238" t="s">
        <v>123</v>
      </c>
      <c r="C2962" s="238" t="s">
        <v>121</v>
      </c>
      <c r="D2962" s="238" t="s">
        <v>118</v>
      </c>
      <c r="E2962" s="238" t="s">
        <v>1083</v>
      </c>
      <c r="F2962" s="238" t="s">
        <v>606</v>
      </c>
      <c r="G2962" s="238" t="s">
        <v>1084</v>
      </c>
      <c r="H2962" s="238" t="s">
        <v>1083</v>
      </c>
    </row>
    <row r="2963" spans="1:8">
      <c r="A2963" s="238"/>
      <c r="B2963" s="238"/>
      <c r="C2963" s="238"/>
      <c r="D2963" s="238"/>
      <c r="E2963" s="238"/>
      <c r="F2963" s="238" t="s">
        <v>103</v>
      </c>
      <c r="G2963" s="238" t="s">
        <v>1085</v>
      </c>
      <c r="H2963" s="238"/>
    </row>
    <row r="2964" spans="1:8">
      <c r="A2964" s="238"/>
      <c r="B2964" s="238"/>
      <c r="C2964" s="238"/>
      <c r="D2964" s="238"/>
      <c r="E2964" s="238"/>
      <c r="F2964" s="238" t="s">
        <v>105</v>
      </c>
      <c r="G2964" s="238" t="s">
        <v>1086</v>
      </c>
      <c r="H2964" s="238"/>
    </row>
    <row r="2965" spans="1:8">
      <c r="A2965" s="238"/>
      <c r="B2965" s="238"/>
      <c r="C2965" s="238"/>
      <c r="D2965" s="238"/>
      <c r="E2965" s="238"/>
      <c r="F2965" s="238" t="s">
        <v>106</v>
      </c>
      <c r="G2965" s="238" t="s">
        <v>1087</v>
      </c>
      <c r="H2965" s="238"/>
    </row>
    <row r="2967" spans="1:8">
      <c r="A2967" s="1518" t="s">
        <v>107</v>
      </c>
      <c r="B2967" s="1519"/>
      <c r="C2967" s="1519"/>
      <c r="D2967" s="1519"/>
      <c r="E2967" s="1519"/>
      <c r="F2967" s="1519"/>
      <c r="G2967" s="1519"/>
      <c r="H2967" s="1519"/>
    </row>
    <row r="2968" spans="1:8">
      <c r="A2968" s="238" t="s">
        <v>108</v>
      </c>
      <c r="B2968" s="238" t="s">
        <v>1087</v>
      </c>
      <c r="C2968" s="238"/>
      <c r="D2968" s="238"/>
      <c r="E2968" s="238"/>
      <c r="F2968" s="238"/>
      <c r="G2968" s="238"/>
      <c r="H2968" s="238"/>
    </row>
    <row r="2969" spans="1:8">
      <c r="A2969" s="238" t="s">
        <v>109</v>
      </c>
      <c r="B2969" s="238" t="s">
        <v>1088</v>
      </c>
      <c r="C2969" s="238"/>
      <c r="D2969" s="238"/>
      <c r="E2969" s="238"/>
      <c r="F2969" s="238"/>
      <c r="G2969" s="238"/>
      <c r="H2969" s="238"/>
    </row>
    <row r="2970" spans="1:8">
      <c r="A2970" s="238" t="s">
        <v>110</v>
      </c>
      <c r="B2970" s="238" t="s">
        <v>1089</v>
      </c>
      <c r="C2970" s="238"/>
      <c r="D2970" s="238"/>
      <c r="E2970" s="238"/>
      <c r="F2970" s="238"/>
      <c r="G2970" s="238"/>
      <c r="H2970" s="238"/>
    </row>
    <row r="2971" spans="1:8">
      <c r="A2971" s="238" t="s">
        <v>111</v>
      </c>
      <c r="B2971" s="238" t="s">
        <v>1090</v>
      </c>
      <c r="C2971" s="238"/>
      <c r="D2971" s="238"/>
      <c r="E2971" s="238"/>
      <c r="F2971" s="238"/>
      <c r="G2971" s="238"/>
      <c r="H2971" s="238"/>
    </row>
    <row r="2973" spans="1:8">
      <c r="A2973" s="1524" t="s">
        <v>1091</v>
      </c>
      <c r="B2973" s="1523"/>
      <c r="C2973" s="1523"/>
      <c r="D2973" s="1523"/>
      <c r="E2973" s="1523"/>
      <c r="F2973" s="1523"/>
      <c r="G2973" s="1523"/>
      <c r="H2973" s="1523"/>
    </row>
    <row r="2974" spans="1:8">
      <c r="A2974" s="239"/>
      <c r="B2974" s="239"/>
      <c r="C2974" s="239"/>
      <c r="D2974" s="239"/>
      <c r="E2974" s="239"/>
      <c r="F2974" s="239"/>
      <c r="G2974" s="239"/>
      <c r="H2974" s="239"/>
    </row>
    <row r="2975" spans="1:8">
      <c r="A2975" s="1522" t="s">
        <v>1092</v>
      </c>
      <c r="B2975" s="1523"/>
      <c r="C2975" s="1523"/>
      <c r="D2975" s="1523"/>
      <c r="E2975" s="1523"/>
      <c r="F2975" s="1523"/>
      <c r="G2975" s="1523"/>
      <c r="H2975" s="1523"/>
    </row>
    <row r="2976" spans="1:8">
      <c r="A2976" s="1522" t="s">
        <v>1093</v>
      </c>
      <c r="B2976" s="1523"/>
      <c r="C2976" s="1523"/>
      <c r="D2976" s="1523"/>
      <c r="E2976" s="1523"/>
      <c r="F2976" s="1523"/>
      <c r="G2976" s="1523"/>
      <c r="H2976" s="1523"/>
    </row>
    <row r="2977" spans="1:8">
      <c r="A2977" s="239"/>
      <c r="B2977" s="239"/>
      <c r="C2977" s="239"/>
      <c r="D2977" s="239"/>
      <c r="E2977" s="239"/>
      <c r="F2977" s="239"/>
      <c r="G2977" s="239"/>
      <c r="H2977" s="239"/>
    </row>
    <row r="2978" spans="1:8">
      <c r="A2978" s="1523" t="s">
        <v>91</v>
      </c>
      <c r="B2978" s="1523"/>
      <c r="C2978" s="1523"/>
      <c r="D2978" s="1523"/>
      <c r="E2978" s="1523"/>
      <c r="F2978" s="1523"/>
      <c r="G2978" s="1523"/>
      <c r="H2978" s="1523"/>
    </row>
    <row r="2979" spans="1:8">
      <c r="A2979" s="239"/>
      <c r="B2979" s="239"/>
      <c r="C2979" s="239"/>
      <c r="D2979" s="239"/>
      <c r="E2979" s="239"/>
      <c r="F2979" s="239"/>
      <c r="G2979" s="239"/>
      <c r="H2979" s="239"/>
    </row>
    <row r="2980" spans="1:8">
      <c r="A2980" s="1523" t="s">
        <v>909</v>
      </c>
      <c r="B2980" s="1523"/>
      <c r="C2980" s="1523"/>
      <c r="D2980" s="1523"/>
      <c r="E2980" s="1523"/>
      <c r="F2980" s="1523"/>
      <c r="G2980" s="1523"/>
      <c r="H2980" s="1523"/>
    </row>
    <row r="2981" spans="1:8">
      <c r="A2981" s="239"/>
      <c r="B2981" s="239"/>
      <c r="C2981" s="239"/>
      <c r="D2981" s="239"/>
      <c r="E2981" s="239"/>
      <c r="F2981" s="239"/>
      <c r="G2981" s="239"/>
      <c r="H2981" s="239"/>
    </row>
    <row r="2982" spans="1:8">
      <c r="A2982" s="174" t="s">
        <v>30</v>
      </c>
      <c r="B2982" s="174" t="s">
        <v>19</v>
      </c>
      <c r="C2982" s="174" t="s">
        <v>92</v>
      </c>
      <c r="D2982" s="174" t="s">
        <v>88</v>
      </c>
      <c r="E2982" s="174" t="s">
        <v>93</v>
      </c>
      <c r="F2982" s="174" t="s">
        <v>94</v>
      </c>
      <c r="G2982" s="174" t="s">
        <v>95</v>
      </c>
      <c r="H2982" s="174" t="s">
        <v>96</v>
      </c>
    </row>
    <row r="2983" spans="1:8">
      <c r="A2983" s="239" t="s">
        <v>1094</v>
      </c>
      <c r="B2983" s="239" t="s">
        <v>419</v>
      </c>
      <c r="C2983" s="239" t="s">
        <v>99</v>
      </c>
      <c r="D2983" s="239" t="s">
        <v>4</v>
      </c>
      <c r="E2983" s="239" t="s">
        <v>453</v>
      </c>
      <c r="F2983" s="239" t="s">
        <v>1095</v>
      </c>
      <c r="G2983" s="239" t="s">
        <v>175</v>
      </c>
      <c r="H2983" s="239" t="s">
        <v>453</v>
      </c>
    </row>
    <row r="2984" spans="1:8">
      <c r="A2984" s="239" t="s">
        <v>1067</v>
      </c>
      <c r="B2984" s="239" t="s">
        <v>1068</v>
      </c>
      <c r="C2984" s="239" t="s">
        <v>121</v>
      </c>
      <c r="D2984" s="239" t="s">
        <v>118</v>
      </c>
      <c r="E2984" s="239" t="s">
        <v>1096</v>
      </c>
      <c r="F2984" s="239" t="s">
        <v>1097</v>
      </c>
      <c r="G2984" s="239" t="s">
        <v>1098</v>
      </c>
      <c r="H2984" s="239" t="s">
        <v>1096</v>
      </c>
    </row>
    <row r="2985" spans="1:8">
      <c r="A2985" s="239" t="s">
        <v>1069</v>
      </c>
      <c r="B2985" s="239" t="s">
        <v>306</v>
      </c>
      <c r="C2985" s="239" t="s">
        <v>121</v>
      </c>
      <c r="D2985" s="239" t="s">
        <v>118</v>
      </c>
      <c r="E2985" s="239" t="s">
        <v>1096</v>
      </c>
      <c r="F2985" s="239" t="s">
        <v>1099</v>
      </c>
      <c r="G2985" s="239" t="s">
        <v>677</v>
      </c>
      <c r="H2985" s="239" t="s">
        <v>1096</v>
      </c>
    </row>
    <row r="2986" spans="1:8">
      <c r="A2986" s="239"/>
      <c r="B2986" s="239"/>
      <c r="C2986" s="239"/>
      <c r="D2986" s="239"/>
      <c r="E2986" s="239"/>
      <c r="F2986" s="239" t="s">
        <v>103</v>
      </c>
      <c r="G2986" s="239" t="s">
        <v>398</v>
      </c>
      <c r="H2986" s="239"/>
    </row>
    <row r="2987" spans="1:8">
      <c r="A2987" s="239"/>
      <c r="B2987" s="239"/>
      <c r="C2987" s="239"/>
      <c r="D2987" s="239"/>
      <c r="E2987" s="239"/>
      <c r="F2987" s="239" t="s">
        <v>105</v>
      </c>
      <c r="G2987" s="239" t="s">
        <v>313</v>
      </c>
      <c r="H2987" s="239"/>
    </row>
    <row r="2988" spans="1:8">
      <c r="A2988" s="239"/>
      <c r="B2988" s="239"/>
      <c r="C2988" s="239"/>
      <c r="D2988" s="239"/>
      <c r="E2988" s="239"/>
      <c r="F2988" s="239" t="s">
        <v>106</v>
      </c>
      <c r="G2988" s="239" t="s">
        <v>867</v>
      </c>
      <c r="H2988" s="239"/>
    </row>
    <row r="2989" spans="1:8">
      <c r="A2989" s="239"/>
      <c r="B2989" s="239"/>
      <c r="C2989" s="239"/>
      <c r="D2989" s="239"/>
      <c r="E2989" s="239"/>
      <c r="F2989" s="239"/>
      <c r="G2989" s="239"/>
      <c r="H2989" s="239"/>
    </row>
    <row r="2990" spans="1:8">
      <c r="A2990" s="1522" t="s">
        <v>107</v>
      </c>
      <c r="B2990" s="1523"/>
      <c r="C2990" s="1523"/>
      <c r="D2990" s="1523"/>
      <c r="E2990" s="1523"/>
      <c r="F2990" s="1523"/>
      <c r="G2990" s="1523"/>
      <c r="H2990" s="1523"/>
    </row>
    <row r="2991" spans="1:8">
      <c r="A2991" s="239" t="s">
        <v>108</v>
      </c>
      <c r="B2991" s="239" t="s">
        <v>867</v>
      </c>
      <c r="C2991" s="239"/>
      <c r="D2991" s="239"/>
      <c r="E2991" s="239"/>
      <c r="F2991" s="239"/>
      <c r="G2991" s="239"/>
      <c r="H2991" s="239"/>
    </row>
    <row r="2992" spans="1:8">
      <c r="A2992" s="239" t="s">
        <v>109</v>
      </c>
      <c r="B2992" s="239" t="s">
        <v>180</v>
      </c>
      <c r="C2992" s="239"/>
      <c r="D2992" s="239"/>
      <c r="E2992" s="239"/>
      <c r="F2992" s="239"/>
      <c r="G2992" s="239"/>
      <c r="H2992" s="239"/>
    </row>
    <row r="2993" spans="1:8">
      <c r="A2993" s="239" t="s">
        <v>110</v>
      </c>
      <c r="B2993" s="239" t="s">
        <v>727</v>
      </c>
      <c r="C2993" s="239"/>
      <c r="D2993" s="239"/>
      <c r="E2993" s="239"/>
      <c r="F2993" s="239"/>
      <c r="G2993" s="239"/>
      <c r="H2993" s="239"/>
    </row>
    <row r="2994" spans="1:8">
      <c r="A2994" s="239" t="s">
        <v>111</v>
      </c>
      <c r="B2994" s="239" t="s">
        <v>1100</v>
      </c>
      <c r="C2994" s="239"/>
      <c r="D2994" s="239"/>
      <c r="E2994" s="239"/>
      <c r="F2994" s="239"/>
      <c r="G2994" s="239"/>
      <c r="H2994" s="239"/>
    </row>
    <row r="2996" spans="1:8">
      <c r="A2996" s="1524" t="s">
        <v>1101</v>
      </c>
      <c r="B2996" s="1523"/>
      <c r="C2996" s="1523"/>
      <c r="D2996" s="1523"/>
      <c r="E2996" s="1523"/>
      <c r="F2996" s="1523"/>
      <c r="G2996" s="1523"/>
      <c r="H2996" s="1523"/>
    </row>
    <row r="2997" spans="1:8">
      <c r="A2997" s="239"/>
      <c r="B2997" s="239"/>
      <c r="C2997" s="239"/>
      <c r="D2997" s="239"/>
      <c r="E2997" s="239"/>
      <c r="F2997" s="239"/>
      <c r="G2997" s="239"/>
      <c r="H2997" s="239"/>
    </row>
    <row r="2998" spans="1:8">
      <c r="A2998" s="1522" t="s">
        <v>1102</v>
      </c>
      <c r="B2998" s="1523"/>
      <c r="C2998" s="1523"/>
      <c r="D2998" s="1523"/>
      <c r="E2998" s="1523"/>
      <c r="F2998" s="1523"/>
      <c r="G2998" s="1523"/>
      <c r="H2998" s="1523"/>
    </row>
    <row r="2999" spans="1:8">
      <c r="A2999" s="1522" t="s">
        <v>1103</v>
      </c>
      <c r="B2999" s="1523"/>
      <c r="C2999" s="1523"/>
      <c r="D2999" s="1523"/>
      <c r="E2999" s="1523"/>
      <c r="F2999" s="1523"/>
      <c r="G2999" s="1523"/>
      <c r="H2999" s="1523"/>
    </row>
    <row r="3000" spans="1:8">
      <c r="A3000" s="239"/>
      <c r="B3000" s="239"/>
      <c r="C3000" s="239"/>
      <c r="D3000" s="239"/>
      <c r="E3000" s="239"/>
      <c r="F3000" s="239"/>
      <c r="G3000" s="239"/>
      <c r="H3000" s="239"/>
    </row>
    <row r="3001" spans="1:8">
      <c r="A3001" s="1523" t="s">
        <v>120</v>
      </c>
      <c r="B3001" s="1523"/>
      <c r="C3001" s="1523"/>
      <c r="D3001" s="1523"/>
      <c r="E3001" s="1523"/>
      <c r="F3001" s="1523"/>
      <c r="G3001" s="1523"/>
      <c r="H3001" s="1523"/>
    </row>
    <row r="3002" spans="1:8">
      <c r="A3002" s="239"/>
      <c r="B3002" s="239"/>
      <c r="C3002" s="239"/>
      <c r="D3002" s="239"/>
      <c r="E3002" s="239"/>
      <c r="F3002" s="239"/>
      <c r="G3002" s="239"/>
      <c r="H3002" s="239"/>
    </row>
    <row r="3003" spans="1:8">
      <c r="A3003" s="1523" t="s">
        <v>133</v>
      </c>
      <c r="B3003" s="1523"/>
      <c r="C3003" s="1523"/>
      <c r="D3003" s="1523"/>
      <c r="E3003" s="1523"/>
      <c r="F3003" s="1523"/>
      <c r="G3003" s="1523"/>
      <c r="H3003" s="1523"/>
    </row>
    <row r="3004" spans="1:8">
      <c r="A3004" s="239"/>
      <c r="B3004" s="239"/>
      <c r="C3004" s="239"/>
      <c r="D3004" s="239"/>
      <c r="E3004" s="239"/>
      <c r="F3004" s="239"/>
      <c r="G3004" s="239"/>
      <c r="H3004" s="239"/>
    </row>
    <row r="3005" spans="1:8">
      <c r="A3005" s="174" t="s">
        <v>30</v>
      </c>
      <c r="B3005" s="174" t="s">
        <v>19</v>
      </c>
      <c r="C3005" s="174" t="s">
        <v>92</v>
      </c>
      <c r="D3005" s="174" t="s">
        <v>88</v>
      </c>
      <c r="E3005" s="174" t="s">
        <v>93</v>
      </c>
      <c r="F3005" s="174" t="s">
        <v>94</v>
      </c>
      <c r="G3005" s="174" t="s">
        <v>95</v>
      </c>
      <c r="H3005" s="174" t="s">
        <v>96</v>
      </c>
    </row>
    <row r="3006" spans="1:8">
      <c r="A3006" s="239" t="s">
        <v>1104</v>
      </c>
      <c r="B3006" s="239" t="s">
        <v>1105</v>
      </c>
      <c r="C3006" s="239" t="s">
        <v>99</v>
      </c>
      <c r="D3006" s="239" t="s">
        <v>115</v>
      </c>
      <c r="E3006" s="239" t="s">
        <v>161</v>
      </c>
      <c r="F3006" s="239" t="s">
        <v>1106</v>
      </c>
      <c r="G3006" s="239" t="s">
        <v>1107</v>
      </c>
      <c r="H3006" s="239" t="s">
        <v>161</v>
      </c>
    </row>
    <row r="3007" spans="1:8">
      <c r="A3007" s="239" t="s">
        <v>1108</v>
      </c>
      <c r="B3007" s="239" t="s">
        <v>1109</v>
      </c>
      <c r="C3007" s="239" t="s">
        <v>99</v>
      </c>
      <c r="D3007" s="239" t="s">
        <v>5</v>
      </c>
      <c r="E3007" s="239" t="s">
        <v>299</v>
      </c>
      <c r="F3007" s="239" t="s">
        <v>1110</v>
      </c>
      <c r="G3007" s="239" t="s">
        <v>698</v>
      </c>
      <c r="H3007" s="239" t="s">
        <v>299</v>
      </c>
    </row>
    <row r="3008" spans="1:8">
      <c r="A3008" s="239" t="s">
        <v>1111</v>
      </c>
      <c r="B3008" s="239" t="s">
        <v>1112</v>
      </c>
      <c r="C3008" s="239" t="s">
        <v>99</v>
      </c>
      <c r="D3008" s="239" t="s">
        <v>5</v>
      </c>
      <c r="E3008" s="239" t="s">
        <v>114</v>
      </c>
      <c r="F3008" s="239" t="s">
        <v>341</v>
      </c>
      <c r="G3008" s="239" t="s">
        <v>341</v>
      </c>
      <c r="H3008" s="239" t="s">
        <v>114</v>
      </c>
    </row>
    <row r="3009" spans="1:8">
      <c r="A3009" s="239" t="s">
        <v>1113</v>
      </c>
      <c r="B3009" s="239" t="s">
        <v>1114</v>
      </c>
      <c r="C3009" s="239" t="s">
        <v>99</v>
      </c>
      <c r="D3009" s="239" t="s">
        <v>5</v>
      </c>
      <c r="E3009" s="239" t="s">
        <v>363</v>
      </c>
      <c r="F3009" s="239" t="s">
        <v>1115</v>
      </c>
      <c r="G3009" s="239" t="s">
        <v>421</v>
      </c>
      <c r="H3009" s="239" t="s">
        <v>363</v>
      </c>
    </row>
    <row r="3010" spans="1:8">
      <c r="A3010" s="239" t="s">
        <v>1116</v>
      </c>
      <c r="B3010" s="239" t="s">
        <v>1117</v>
      </c>
      <c r="C3010" s="239" t="s">
        <v>99</v>
      </c>
      <c r="D3010" s="239" t="s">
        <v>5</v>
      </c>
      <c r="E3010" s="239" t="s">
        <v>142</v>
      </c>
      <c r="F3010" s="239" t="s">
        <v>1115</v>
      </c>
      <c r="G3010" s="239" t="s">
        <v>1118</v>
      </c>
      <c r="H3010" s="239" t="s">
        <v>142</v>
      </c>
    </row>
    <row r="3011" spans="1:8">
      <c r="A3011" s="239" t="s">
        <v>1119</v>
      </c>
      <c r="B3011" s="239" t="s">
        <v>1120</v>
      </c>
      <c r="C3011" s="239" t="s">
        <v>117</v>
      </c>
      <c r="D3011" s="239" t="s">
        <v>118</v>
      </c>
      <c r="E3011" s="239" t="s">
        <v>1121</v>
      </c>
      <c r="F3011" s="239" t="s">
        <v>1122</v>
      </c>
      <c r="G3011" s="239" t="s">
        <v>837</v>
      </c>
      <c r="H3011" s="239" t="s">
        <v>1121</v>
      </c>
    </row>
    <row r="3012" spans="1:8">
      <c r="A3012" s="239"/>
      <c r="B3012" s="239"/>
      <c r="C3012" s="239"/>
      <c r="D3012" s="239"/>
      <c r="E3012" s="239"/>
      <c r="F3012" s="239" t="s">
        <v>103</v>
      </c>
      <c r="G3012" s="239" t="s">
        <v>837</v>
      </c>
      <c r="H3012" s="239"/>
    </row>
    <row r="3013" spans="1:8">
      <c r="A3013" s="239"/>
      <c r="B3013" s="239"/>
      <c r="C3013" s="239"/>
      <c r="D3013" s="239"/>
      <c r="E3013" s="239"/>
      <c r="F3013" s="239" t="s">
        <v>105</v>
      </c>
      <c r="G3013" s="239" t="s">
        <v>1123</v>
      </c>
      <c r="H3013" s="239"/>
    </row>
    <row r="3014" spans="1:8">
      <c r="A3014" s="239"/>
      <c r="B3014" s="239"/>
      <c r="C3014" s="239"/>
      <c r="D3014" s="239"/>
      <c r="E3014" s="239"/>
      <c r="F3014" s="239" t="s">
        <v>106</v>
      </c>
      <c r="G3014" s="239" t="s">
        <v>1124</v>
      </c>
      <c r="H3014" s="239"/>
    </row>
    <row r="3015" spans="1:8">
      <c r="A3015" s="239"/>
      <c r="B3015" s="239"/>
      <c r="C3015" s="239"/>
      <c r="D3015" s="239"/>
      <c r="E3015" s="239"/>
      <c r="F3015" s="239"/>
      <c r="G3015" s="239"/>
      <c r="H3015" s="239"/>
    </row>
    <row r="3016" spans="1:8">
      <c r="A3016" s="1522" t="s">
        <v>107</v>
      </c>
      <c r="B3016" s="1523"/>
      <c r="C3016" s="1523"/>
      <c r="D3016" s="1523"/>
      <c r="E3016" s="1523"/>
      <c r="F3016" s="1523"/>
      <c r="G3016" s="1523"/>
      <c r="H3016" s="1523"/>
    </row>
    <row r="3017" spans="1:8">
      <c r="A3017" s="239" t="s">
        <v>108</v>
      </c>
      <c r="B3017" s="239" t="s">
        <v>1124</v>
      </c>
      <c r="C3017" s="239"/>
      <c r="D3017" s="239"/>
      <c r="E3017" s="239"/>
      <c r="F3017" s="239"/>
      <c r="G3017" s="239"/>
      <c r="H3017" s="239"/>
    </row>
    <row r="3018" spans="1:8">
      <c r="A3018" s="239" t="s">
        <v>109</v>
      </c>
      <c r="B3018" s="239" t="s">
        <v>840</v>
      </c>
      <c r="C3018" s="239"/>
      <c r="D3018" s="239"/>
      <c r="E3018" s="239"/>
      <c r="F3018" s="239"/>
      <c r="G3018" s="239"/>
      <c r="H3018" s="239"/>
    </row>
    <row r="3019" spans="1:8">
      <c r="A3019" s="239" t="s">
        <v>110</v>
      </c>
      <c r="B3019" s="239" t="s">
        <v>1125</v>
      </c>
      <c r="C3019" s="239"/>
      <c r="D3019" s="239"/>
      <c r="E3019" s="239"/>
      <c r="F3019" s="239"/>
      <c r="G3019" s="239"/>
      <c r="H3019" s="239"/>
    </row>
    <row r="3020" spans="1:8">
      <c r="A3020" s="239" t="s">
        <v>111</v>
      </c>
      <c r="B3020" s="239" t="s">
        <v>1126</v>
      </c>
      <c r="C3020" s="239"/>
      <c r="D3020" s="239"/>
      <c r="E3020" s="239"/>
      <c r="F3020" s="239"/>
      <c r="G3020" s="239"/>
      <c r="H3020" s="239"/>
    </row>
    <row r="3022" spans="1:8">
      <c r="A3022" s="1524" t="s">
        <v>1091</v>
      </c>
      <c r="B3022" s="1523"/>
      <c r="C3022" s="1523"/>
      <c r="D3022" s="1523"/>
      <c r="E3022" s="1523"/>
      <c r="F3022" s="1523"/>
      <c r="G3022" s="1523"/>
      <c r="H3022" s="1523"/>
    </row>
    <row r="3023" spans="1:8">
      <c r="A3023" s="239"/>
      <c r="B3023" s="239"/>
      <c r="C3023" s="239"/>
      <c r="D3023" s="239"/>
      <c r="E3023" s="239"/>
      <c r="F3023" s="239"/>
      <c r="G3023" s="239"/>
      <c r="H3023" s="239"/>
    </row>
    <row r="3024" spans="1:8">
      <c r="A3024" s="1522" t="s">
        <v>1130</v>
      </c>
      <c r="B3024" s="1523"/>
      <c r="C3024" s="1523"/>
      <c r="D3024" s="1523"/>
      <c r="E3024" s="1523"/>
      <c r="F3024" s="1523"/>
      <c r="G3024" s="1523"/>
      <c r="H3024" s="1523"/>
    </row>
    <row r="3025" spans="1:8">
      <c r="A3025" s="1522" t="s">
        <v>1131</v>
      </c>
      <c r="B3025" s="1523"/>
      <c r="C3025" s="1523"/>
      <c r="D3025" s="1523"/>
      <c r="E3025" s="1523"/>
      <c r="F3025" s="1523"/>
      <c r="G3025" s="1523"/>
      <c r="H3025" s="1523"/>
    </row>
    <row r="3026" spans="1:8">
      <c r="A3026" s="239"/>
      <c r="B3026" s="239"/>
      <c r="C3026" s="239"/>
      <c r="D3026" s="239"/>
      <c r="E3026" s="239"/>
      <c r="F3026" s="239"/>
      <c r="G3026" s="239"/>
      <c r="H3026" s="239"/>
    </row>
    <row r="3027" spans="1:8">
      <c r="A3027" s="1523" t="s">
        <v>91</v>
      </c>
      <c r="B3027" s="1523"/>
      <c r="C3027" s="1523"/>
      <c r="D3027" s="1523"/>
      <c r="E3027" s="1523"/>
      <c r="F3027" s="1523"/>
      <c r="G3027" s="1523"/>
      <c r="H3027" s="1523"/>
    </row>
    <row r="3028" spans="1:8">
      <c r="A3028" s="239"/>
      <c r="B3028" s="239"/>
      <c r="C3028" s="239"/>
      <c r="D3028" s="239"/>
      <c r="E3028" s="239"/>
      <c r="F3028" s="239"/>
      <c r="G3028" s="239"/>
      <c r="H3028" s="239"/>
    </row>
    <row r="3029" spans="1:8">
      <c r="A3029" s="1523" t="s">
        <v>133</v>
      </c>
      <c r="B3029" s="1523"/>
      <c r="C3029" s="1523"/>
      <c r="D3029" s="1523"/>
      <c r="E3029" s="1523"/>
      <c r="F3029" s="1523"/>
      <c r="G3029" s="1523"/>
      <c r="H3029" s="1523"/>
    </row>
    <row r="3030" spans="1:8">
      <c r="A3030" s="239"/>
      <c r="B3030" s="239"/>
      <c r="C3030" s="239"/>
      <c r="D3030" s="239"/>
      <c r="E3030" s="239"/>
      <c r="F3030" s="239"/>
      <c r="G3030" s="239"/>
      <c r="H3030" s="239"/>
    </row>
    <row r="3031" spans="1:8">
      <c r="A3031" s="174" t="s">
        <v>30</v>
      </c>
      <c r="B3031" s="174" t="s">
        <v>19</v>
      </c>
      <c r="C3031" s="174" t="s">
        <v>92</v>
      </c>
      <c r="D3031" s="174" t="s">
        <v>88</v>
      </c>
      <c r="E3031" s="174" t="s">
        <v>93</v>
      </c>
      <c r="F3031" s="174" t="s">
        <v>94</v>
      </c>
      <c r="G3031" s="174" t="s">
        <v>95</v>
      </c>
      <c r="H3031" s="174" t="s">
        <v>96</v>
      </c>
    </row>
    <row r="3032" spans="1:8">
      <c r="A3032" s="239" t="s">
        <v>1132</v>
      </c>
      <c r="B3032" s="239" t="s">
        <v>1133</v>
      </c>
      <c r="C3032" s="239" t="s">
        <v>99</v>
      </c>
      <c r="D3032" s="239" t="s">
        <v>5</v>
      </c>
      <c r="E3032" s="239" t="s">
        <v>114</v>
      </c>
      <c r="F3032" s="239" t="s">
        <v>1134</v>
      </c>
      <c r="G3032" s="239" t="s">
        <v>1134</v>
      </c>
      <c r="H3032" s="239" t="s">
        <v>114</v>
      </c>
    </row>
    <row r="3033" spans="1:8">
      <c r="A3033" s="239" t="s">
        <v>1067</v>
      </c>
      <c r="B3033" s="239" t="s">
        <v>1068</v>
      </c>
      <c r="C3033" s="239" t="s">
        <v>121</v>
      </c>
      <c r="D3033" s="239" t="s">
        <v>118</v>
      </c>
      <c r="E3033" s="239" t="s">
        <v>502</v>
      </c>
      <c r="F3033" s="239" t="s">
        <v>1097</v>
      </c>
      <c r="G3033" s="239" t="s">
        <v>1135</v>
      </c>
      <c r="H3033" s="239" t="s">
        <v>502</v>
      </c>
    </row>
    <row r="3034" spans="1:8">
      <c r="A3034" s="239" t="s">
        <v>1069</v>
      </c>
      <c r="B3034" s="239" t="s">
        <v>306</v>
      </c>
      <c r="C3034" s="239" t="s">
        <v>121</v>
      </c>
      <c r="D3034" s="239" t="s">
        <v>118</v>
      </c>
      <c r="E3034" s="239" t="s">
        <v>502</v>
      </c>
      <c r="F3034" s="239" t="s">
        <v>1099</v>
      </c>
      <c r="G3034" s="239" t="s">
        <v>549</v>
      </c>
      <c r="H3034" s="239" t="s">
        <v>502</v>
      </c>
    </row>
    <row r="3035" spans="1:8">
      <c r="A3035" s="239"/>
      <c r="B3035" s="239"/>
      <c r="C3035" s="239"/>
      <c r="D3035" s="239"/>
      <c r="E3035" s="239"/>
      <c r="F3035" s="239" t="s">
        <v>103</v>
      </c>
      <c r="G3035" s="239" t="s">
        <v>1136</v>
      </c>
      <c r="H3035" s="239"/>
    </row>
    <row r="3036" spans="1:8">
      <c r="A3036" s="239"/>
      <c r="B3036" s="239"/>
      <c r="C3036" s="239"/>
      <c r="D3036" s="239"/>
      <c r="E3036" s="239"/>
      <c r="F3036" s="239" t="s">
        <v>105</v>
      </c>
      <c r="G3036" s="239" t="s">
        <v>1137</v>
      </c>
      <c r="H3036" s="239"/>
    </row>
    <row r="3037" spans="1:8">
      <c r="A3037" s="239"/>
      <c r="B3037" s="239"/>
      <c r="C3037" s="239"/>
      <c r="D3037" s="239"/>
      <c r="E3037" s="239"/>
      <c r="F3037" s="239" t="s">
        <v>106</v>
      </c>
      <c r="G3037" s="239" t="s">
        <v>1138</v>
      </c>
      <c r="H3037" s="239"/>
    </row>
    <row r="3038" spans="1:8">
      <c r="A3038" s="239"/>
      <c r="B3038" s="239"/>
      <c r="C3038" s="239"/>
      <c r="D3038" s="239"/>
      <c r="E3038" s="239"/>
      <c r="F3038" s="239"/>
      <c r="G3038" s="239"/>
      <c r="H3038" s="239"/>
    </row>
    <row r="3039" spans="1:8">
      <c r="A3039" s="1522" t="s">
        <v>107</v>
      </c>
      <c r="B3039" s="1523"/>
      <c r="C3039" s="1523"/>
      <c r="D3039" s="1523"/>
      <c r="E3039" s="1523"/>
      <c r="F3039" s="1523"/>
      <c r="G3039" s="1523"/>
      <c r="H3039" s="1523"/>
    </row>
    <row r="3040" spans="1:8">
      <c r="A3040" s="239" t="s">
        <v>108</v>
      </c>
      <c r="B3040" s="239" t="s">
        <v>1138</v>
      </c>
      <c r="C3040" s="239"/>
      <c r="D3040" s="239"/>
      <c r="E3040" s="239"/>
      <c r="F3040" s="239"/>
      <c r="G3040" s="239"/>
      <c r="H3040" s="239"/>
    </row>
    <row r="3041" spans="1:8">
      <c r="A3041" s="239" t="s">
        <v>109</v>
      </c>
      <c r="B3041" s="239" t="s">
        <v>1139</v>
      </c>
      <c r="C3041" s="239"/>
      <c r="D3041" s="239"/>
      <c r="E3041" s="239"/>
      <c r="F3041" s="239"/>
      <c r="G3041" s="239"/>
      <c r="H3041" s="239"/>
    </row>
    <row r="3042" spans="1:8">
      <c r="A3042" s="239" t="s">
        <v>110</v>
      </c>
      <c r="B3042" s="239" t="s">
        <v>1140</v>
      </c>
      <c r="C3042" s="239"/>
      <c r="D3042" s="239"/>
      <c r="E3042" s="239"/>
      <c r="F3042" s="239"/>
      <c r="G3042" s="239"/>
      <c r="H3042" s="239"/>
    </row>
    <row r="3043" spans="1:8">
      <c r="A3043" s="239" t="s">
        <v>111</v>
      </c>
      <c r="B3043" s="239" t="s">
        <v>1141</v>
      </c>
      <c r="C3043" s="239"/>
      <c r="D3043" s="239"/>
      <c r="E3043" s="239"/>
      <c r="F3043" s="239"/>
      <c r="G3043" s="239"/>
      <c r="H3043" s="239"/>
    </row>
    <row r="3046" spans="1:8">
      <c r="A3046" s="1524" t="s">
        <v>1142</v>
      </c>
      <c r="B3046" s="1523"/>
      <c r="C3046" s="1523"/>
      <c r="D3046" s="1523"/>
      <c r="E3046" s="1523"/>
      <c r="F3046" s="1523"/>
      <c r="G3046" s="1523"/>
    </row>
    <row r="3047" spans="1:8">
      <c r="A3047" s="239"/>
      <c r="B3047" s="239"/>
      <c r="C3047" s="239"/>
      <c r="D3047" s="239"/>
      <c r="E3047" s="239"/>
      <c r="F3047" s="239"/>
      <c r="G3047" s="239"/>
    </row>
    <row r="3048" spans="1:8">
      <c r="A3048" s="1522" t="s">
        <v>1143</v>
      </c>
      <c r="B3048" s="1523"/>
      <c r="C3048" s="1523"/>
      <c r="D3048" s="1523"/>
      <c r="E3048" s="1523"/>
      <c r="F3048" s="1523"/>
      <c r="G3048" s="1523"/>
    </row>
    <row r="3049" spans="1:8">
      <c r="A3049" s="1522" t="s">
        <v>751</v>
      </c>
      <c r="B3049" s="1523"/>
      <c r="C3049" s="1523"/>
      <c r="D3049" s="1523"/>
      <c r="E3049" s="1523"/>
      <c r="F3049" s="1523"/>
      <c r="G3049" s="1523"/>
    </row>
    <row r="3050" spans="1:8">
      <c r="A3050" s="239"/>
      <c r="B3050" s="239"/>
      <c r="C3050" s="239"/>
      <c r="D3050" s="239"/>
      <c r="E3050" s="239"/>
      <c r="F3050" s="239"/>
      <c r="G3050" s="239"/>
    </row>
    <row r="3051" spans="1:8">
      <c r="A3051" s="1523" t="s">
        <v>531</v>
      </c>
      <c r="B3051" s="1523"/>
      <c r="C3051" s="1523"/>
      <c r="D3051" s="1523"/>
      <c r="E3051" s="1523"/>
      <c r="F3051" s="1523"/>
      <c r="G3051" s="1523"/>
    </row>
    <row r="3052" spans="1:8">
      <c r="A3052" s="239"/>
      <c r="B3052" s="239"/>
      <c r="C3052" s="239"/>
      <c r="D3052" s="239"/>
      <c r="E3052" s="239"/>
      <c r="F3052" s="239"/>
      <c r="G3052" s="239"/>
    </row>
    <row r="3053" spans="1:8">
      <c r="A3053" s="1523" t="s">
        <v>715</v>
      </c>
      <c r="B3053" s="1523"/>
      <c r="C3053" s="1523"/>
      <c r="D3053" s="1523"/>
      <c r="E3053" s="1523"/>
      <c r="F3053" s="1523"/>
      <c r="G3053" s="1523"/>
    </row>
    <row r="3054" spans="1:8">
      <c r="A3054" s="239"/>
      <c r="B3054" s="239"/>
      <c r="C3054" s="239"/>
      <c r="D3054" s="239"/>
      <c r="E3054" s="239"/>
      <c r="F3054" s="239"/>
      <c r="G3054" s="239"/>
    </row>
    <row r="3055" spans="1:8">
      <c r="A3055" s="174" t="s">
        <v>30</v>
      </c>
      <c r="B3055" s="174" t="s">
        <v>19</v>
      </c>
      <c r="C3055" s="174" t="s">
        <v>92</v>
      </c>
      <c r="D3055" s="174" t="s">
        <v>88</v>
      </c>
      <c r="E3055" s="174" t="s">
        <v>93</v>
      </c>
      <c r="F3055" s="174" t="s">
        <v>94</v>
      </c>
      <c r="G3055" s="174" t="s">
        <v>95</v>
      </c>
    </row>
    <row r="3056" spans="1:8">
      <c r="A3056" s="239" t="s">
        <v>716</v>
      </c>
      <c r="B3056" s="239" t="s">
        <v>717</v>
      </c>
      <c r="C3056" s="239" t="s">
        <v>121</v>
      </c>
      <c r="D3056" s="239" t="s">
        <v>125</v>
      </c>
      <c r="E3056" s="240" t="s">
        <v>718</v>
      </c>
      <c r="F3056" s="241" t="s">
        <v>719</v>
      </c>
      <c r="G3056" s="241">
        <f>E3056*F3056</f>
        <v>0.78922199999999998</v>
      </c>
    </row>
    <row r="3057" spans="1:7">
      <c r="A3057" s="239" t="s">
        <v>720</v>
      </c>
      <c r="B3057" s="239" t="s">
        <v>1144</v>
      </c>
      <c r="C3057" s="239" t="s">
        <v>99</v>
      </c>
      <c r="D3057" s="239" t="s">
        <v>113</v>
      </c>
      <c r="E3057" s="240" t="s">
        <v>721</v>
      </c>
      <c r="F3057" s="241">
        <v>586</v>
      </c>
      <c r="G3057" s="241">
        <f t="shared" ref="G3057:G3064" si="137">E3057*F3057</f>
        <v>773.52</v>
      </c>
    </row>
    <row r="3058" spans="1:7">
      <c r="A3058" s="239" t="s">
        <v>752</v>
      </c>
      <c r="B3058" s="242" t="s">
        <v>1145</v>
      </c>
      <c r="C3058" s="239" t="s">
        <v>99</v>
      </c>
      <c r="D3058" s="239" t="s">
        <v>5</v>
      </c>
      <c r="E3058" s="240" t="s">
        <v>114</v>
      </c>
      <c r="F3058" s="241">
        <v>186</v>
      </c>
      <c r="G3058" s="241">
        <f t="shared" si="137"/>
        <v>186</v>
      </c>
    </row>
    <row r="3059" spans="1:7">
      <c r="A3059" s="239" t="s">
        <v>725</v>
      </c>
      <c r="B3059" s="239" t="s">
        <v>726</v>
      </c>
      <c r="C3059" s="239" t="s">
        <v>99</v>
      </c>
      <c r="D3059" s="239" t="s">
        <v>115</v>
      </c>
      <c r="E3059" s="240" t="s">
        <v>340</v>
      </c>
      <c r="F3059" s="241" t="s">
        <v>727</v>
      </c>
      <c r="G3059" s="241">
        <f t="shared" si="137"/>
        <v>3.1559999999999997</v>
      </c>
    </row>
    <row r="3060" spans="1:7">
      <c r="A3060" s="239" t="s">
        <v>728</v>
      </c>
      <c r="B3060" s="239" t="s">
        <v>729</v>
      </c>
      <c r="C3060" s="239" t="s">
        <v>99</v>
      </c>
      <c r="D3060" s="239" t="s">
        <v>5</v>
      </c>
      <c r="E3060" s="240" t="s">
        <v>114</v>
      </c>
      <c r="F3060" s="241">
        <v>155</v>
      </c>
      <c r="G3060" s="241">
        <f t="shared" si="137"/>
        <v>155</v>
      </c>
    </row>
    <row r="3061" spans="1:7">
      <c r="A3061" s="239" t="s">
        <v>731</v>
      </c>
      <c r="B3061" s="239" t="s">
        <v>732</v>
      </c>
      <c r="C3061" s="239" t="s">
        <v>99</v>
      </c>
      <c r="D3061" s="239" t="s">
        <v>5</v>
      </c>
      <c r="E3061" s="240" t="s">
        <v>114</v>
      </c>
      <c r="F3061" s="241" t="s">
        <v>174</v>
      </c>
      <c r="G3061" s="241">
        <f t="shared" si="137"/>
        <v>28.73</v>
      </c>
    </row>
    <row r="3062" spans="1:7">
      <c r="A3062" s="239" t="s">
        <v>733</v>
      </c>
      <c r="B3062" s="239" t="s">
        <v>734</v>
      </c>
      <c r="C3062" s="239" t="s">
        <v>117</v>
      </c>
      <c r="D3062" s="239" t="s">
        <v>118</v>
      </c>
      <c r="E3062" s="240" t="s">
        <v>243</v>
      </c>
      <c r="F3062" s="241" t="s">
        <v>533</v>
      </c>
      <c r="G3062" s="241">
        <f t="shared" si="137"/>
        <v>9.7349999999999994</v>
      </c>
    </row>
    <row r="3063" spans="1:7">
      <c r="A3063" s="239" t="s">
        <v>532</v>
      </c>
      <c r="B3063" s="239" t="s">
        <v>143</v>
      </c>
      <c r="C3063" s="239" t="s">
        <v>117</v>
      </c>
      <c r="D3063" s="239" t="s">
        <v>118</v>
      </c>
      <c r="E3063" s="240" t="s">
        <v>177</v>
      </c>
      <c r="F3063" s="241" t="s">
        <v>533</v>
      </c>
      <c r="G3063" s="241">
        <f t="shared" si="137"/>
        <v>9.0860000000000003</v>
      </c>
    </row>
    <row r="3064" spans="1:7">
      <c r="A3064" s="239" t="s">
        <v>534</v>
      </c>
      <c r="B3064" s="239" t="s">
        <v>116</v>
      </c>
      <c r="C3064" s="239" t="s">
        <v>117</v>
      </c>
      <c r="D3064" s="239" t="s">
        <v>118</v>
      </c>
      <c r="E3064" s="240" t="s">
        <v>735</v>
      </c>
      <c r="F3064" s="241" t="s">
        <v>535</v>
      </c>
      <c r="G3064" s="241">
        <f t="shared" si="137"/>
        <v>12.818</v>
      </c>
    </row>
    <row r="3065" spans="1:7">
      <c r="A3065" s="239"/>
      <c r="B3065" s="239"/>
      <c r="C3065" s="239"/>
      <c r="D3065" s="239"/>
      <c r="E3065" s="239"/>
      <c r="F3065" s="239" t="s">
        <v>103</v>
      </c>
      <c r="G3065" s="241">
        <f>SUM(G3062:G3064)</f>
        <v>31.638999999999996</v>
      </c>
    </row>
    <row r="3066" spans="1:7">
      <c r="A3066" s="239"/>
      <c r="B3066" s="239"/>
      <c r="C3066" s="239"/>
      <c r="D3066" s="239"/>
      <c r="E3066" s="239"/>
      <c r="F3066" s="239" t="s">
        <v>105</v>
      </c>
      <c r="G3066" s="241">
        <f>SUM(G3056:G3062)</f>
        <v>1156.9302219999997</v>
      </c>
    </row>
    <row r="3067" spans="1:7">
      <c r="A3067" s="239"/>
      <c r="B3067" s="239"/>
      <c r="C3067" s="239"/>
      <c r="D3067" s="239"/>
      <c r="E3067" s="239"/>
      <c r="F3067" s="239" t="s">
        <v>106</v>
      </c>
      <c r="G3067" s="241">
        <f>G3066+G3065</f>
        <v>1188.5692219999996</v>
      </c>
    </row>
    <row r="3068" spans="1:7">
      <c r="A3068" s="239"/>
      <c r="B3068" s="239"/>
      <c r="C3068" s="239"/>
      <c r="D3068" s="239"/>
      <c r="E3068" s="239"/>
      <c r="F3068" s="239"/>
      <c r="G3068" s="239"/>
    </row>
    <row r="3069" spans="1:7">
      <c r="A3069" s="1522" t="s">
        <v>107</v>
      </c>
      <c r="B3069" s="1523"/>
      <c r="C3069" s="1523"/>
      <c r="D3069" s="1523"/>
      <c r="E3069" s="1523"/>
      <c r="F3069" s="1523"/>
      <c r="G3069" s="1523"/>
    </row>
    <row r="3070" spans="1:7">
      <c r="A3070" s="239" t="s">
        <v>108</v>
      </c>
      <c r="B3070" s="243">
        <f>G3067</f>
        <v>1188.5692219999996</v>
      </c>
      <c r="C3070" s="239"/>
      <c r="D3070" s="239"/>
      <c r="E3070" s="239"/>
      <c r="F3070" s="239"/>
      <c r="G3070" s="239"/>
    </row>
    <row r="3071" spans="1:7">
      <c r="A3071" s="239" t="s">
        <v>109</v>
      </c>
      <c r="B3071" s="243">
        <f>G3065*0.7237</f>
        <v>22.897144299999997</v>
      </c>
      <c r="C3071" s="239"/>
      <c r="D3071" s="239"/>
      <c r="E3071" s="239"/>
      <c r="F3071" s="239"/>
      <c r="G3071" s="239"/>
    </row>
    <row r="3072" spans="1:7">
      <c r="A3072" s="239" t="s">
        <v>110</v>
      </c>
      <c r="B3072" s="210">
        <f>(B3070+B3071)*0.2457</f>
        <v>297.65728619990995</v>
      </c>
      <c r="C3072" s="239"/>
      <c r="D3072" s="239"/>
      <c r="E3072" s="239"/>
      <c r="F3072" s="239"/>
      <c r="G3072" s="239"/>
    </row>
    <row r="3073" spans="1:7">
      <c r="A3073" s="239" t="s">
        <v>111</v>
      </c>
      <c r="B3073" s="243">
        <f>SUM(B3070:B3072)</f>
        <v>1509.1236524999097</v>
      </c>
      <c r="C3073" s="239"/>
      <c r="D3073" s="239"/>
      <c r="E3073" s="239"/>
      <c r="F3073" s="239"/>
      <c r="G3073" s="239"/>
    </row>
  </sheetData>
  <mergeCells count="1276">
    <mergeCell ref="A1169:A1170"/>
    <mergeCell ref="B1169:B1170"/>
    <mergeCell ref="D1169:D1170"/>
    <mergeCell ref="E1169:E1170"/>
    <mergeCell ref="E1167:E1168"/>
    <mergeCell ref="A1192:A1193"/>
    <mergeCell ref="B1192:B1193"/>
    <mergeCell ref="D1192:D1193"/>
    <mergeCell ref="E1192:E1193"/>
    <mergeCell ref="A1194:A1195"/>
    <mergeCell ref="B1194:B1195"/>
    <mergeCell ref="D1194:D1195"/>
    <mergeCell ref="E1194:E1195"/>
    <mergeCell ref="D1167:D1168"/>
    <mergeCell ref="B1167:B1168"/>
    <mergeCell ref="A1167:A1168"/>
    <mergeCell ref="A1109:A1110"/>
    <mergeCell ref="B1109:B1110"/>
    <mergeCell ref="D1109:D1110"/>
    <mergeCell ref="E1109:E1110"/>
    <mergeCell ref="A1147:A1148"/>
    <mergeCell ref="B1147:B1148"/>
    <mergeCell ref="D1147:D1148"/>
    <mergeCell ref="E1147:E1148"/>
    <mergeCell ref="D1165:D1166"/>
    <mergeCell ref="E1165:E1166"/>
    <mergeCell ref="E1171:E1172"/>
    <mergeCell ref="E1173:E1174"/>
    <mergeCell ref="B1190:D1190"/>
    <mergeCell ref="B1171:B1172"/>
    <mergeCell ref="A1171:A1172"/>
    <mergeCell ref="A1173:A1174"/>
    <mergeCell ref="B1173:B1174"/>
    <mergeCell ref="D1171:D1172"/>
    <mergeCell ref="D1173:D1174"/>
    <mergeCell ref="D1455:D1456"/>
    <mergeCell ref="E1449:E1450"/>
    <mergeCell ref="E1451:E1452"/>
    <mergeCell ref="E1453:E1454"/>
    <mergeCell ref="B1504:B1505"/>
    <mergeCell ref="B1247:D1247"/>
    <mergeCell ref="A1249:A1250"/>
    <mergeCell ref="B1249:B1250"/>
    <mergeCell ref="D1249:D1250"/>
    <mergeCell ref="E1249:E1250"/>
    <mergeCell ref="D1445:D1446"/>
    <mergeCell ref="B1455:B1456"/>
    <mergeCell ref="B1453:B1454"/>
    <mergeCell ref="B1451:B1452"/>
    <mergeCell ref="B1407:D1407"/>
    <mergeCell ref="E2096:E2097"/>
    <mergeCell ref="A2098:A2099"/>
    <mergeCell ref="A1251:A1252"/>
    <mergeCell ref="B1251:B1252"/>
    <mergeCell ref="D1251:D1252"/>
    <mergeCell ref="E1251:E1252"/>
    <mergeCell ref="A1149:A1150"/>
    <mergeCell ref="B1149:B1150"/>
    <mergeCell ref="D1149:D1150"/>
    <mergeCell ref="E1149:E1150"/>
    <mergeCell ref="D1229:D1230"/>
    <mergeCell ref="D1231:D1232"/>
    <mergeCell ref="E1231:E1232"/>
    <mergeCell ref="A1233:A1234"/>
    <mergeCell ref="B1233:B1234"/>
    <mergeCell ref="D1233:D1234"/>
    <mergeCell ref="E1233:E1234"/>
    <mergeCell ref="E2098:E2099"/>
    <mergeCell ref="A2071:H2071"/>
    <mergeCell ref="B2072:C2072"/>
    <mergeCell ref="B2078:B2079"/>
    <mergeCell ref="B2080:B2081"/>
    <mergeCell ref="E1502:E1503"/>
    <mergeCell ref="E1504:E1505"/>
    <mergeCell ref="B1485:B1486"/>
    <mergeCell ref="A1860:A1861"/>
    <mergeCell ref="B1860:B1861"/>
    <mergeCell ref="D1860:D1861"/>
    <mergeCell ref="B1163:C1163"/>
    <mergeCell ref="A1165:A1166"/>
    <mergeCell ref="B1735:B1736"/>
    <mergeCell ref="D1735:D1736"/>
    <mergeCell ref="B2111:C2111"/>
    <mergeCell ref="B1980:C1980"/>
    <mergeCell ref="A1816:A1817"/>
    <mergeCell ref="B1816:B1817"/>
    <mergeCell ref="D1816:D1817"/>
    <mergeCell ref="E1816:E1817"/>
    <mergeCell ref="A1818:A1819"/>
    <mergeCell ref="B1818:B1819"/>
    <mergeCell ref="D1818:D1819"/>
    <mergeCell ref="E1818:E1819"/>
    <mergeCell ref="B2098:B2099"/>
    <mergeCell ref="A1910:H1910"/>
    <mergeCell ref="B1911:D1911"/>
    <mergeCell ref="D1822:D1823"/>
    <mergeCell ref="A2055:A2056"/>
    <mergeCell ref="B2055:B2056"/>
    <mergeCell ref="D2055:D2056"/>
    <mergeCell ref="E2055:E2056"/>
    <mergeCell ref="A2017:A2018"/>
    <mergeCell ref="B2017:B2018"/>
    <mergeCell ref="D2017:D2018"/>
    <mergeCell ref="E2017:E2018"/>
    <mergeCell ref="B2032:B2033"/>
    <mergeCell ref="A2032:A2033"/>
    <mergeCell ref="E2032:E2033"/>
    <mergeCell ref="D2032:D2033"/>
    <mergeCell ref="A2034:A2035"/>
    <mergeCell ref="B2034:B2035"/>
    <mergeCell ref="B2093:C2093"/>
    <mergeCell ref="A2096:A2097"/>
    <mergeCell ref="B2096:B2097"/>
    <mergeCell ref="D2096:D2097"/>
    <mergeCell ref="D2098:D2099"/>
    <mergeCell ref="B1858:B1859"/>
    <mergeCell ref="D1856:D1857"/>
    <mergeCell ref="D1858:D1859"/>
    <mergeCell ref="E1856:E1857"/>
    <mergeCell ref="E1858:E1859"/>
    <mergeCell ref="B1213:B1214"/>
    <mergeCell ref="D1213:D1214"/>
    <mergeCell ref="E1213:E1214"/>
    <mergeCell ref="D1759:D1760"/>
    <mergeCell ref="E1759:E1760"/>
    <mergeCell ref="A1213:A1214"/>
    <mergeCell ref="A1747:H1747"/>
    <mergeCell ref="B1748:D1748"/>
    <mergeCell ref="A1757:A1758"/>
    <mergeCell ref="B1757:B1758"/>
    <mergeCell ref="B1449:B1450"/>
    <mergeCell ref="A1449:A1450"/>
    <mergeCell ref="A1451:A1452"/>
    <mergeCell ref="A1453:A1454"/>
    <mergeCell ref="A1455:A1456"/>
    <mergeCell ref="D1449:D1450"/>
    <mergeCell ref="D1451:D1452"/>
    <mergeCell ref="D1841:D1842"/>
    <mergeCell ref="A1428:A1429"/>
    <mergeCell ref="B1820:B1821"/>
    <mergeCell ref="A1820:A1821"/>
    <mergeCell ref="D1820:D1821"/>
    <mergeCell ref="E1860:E1861"/>
    <mergeCell ref="B1854:C1854"/>
    <mergeCell ref="B1856:B1857"/>
    <mergeCell ref="A1858:A1859"/>
    <mergeCell ref="A2080:A2081"/>
    <mergeCell ref="A2078:A2079"/>
    <mergeCell ref="E2078:E2079"/>
    <mergeCell ref="E2080:E2081"/>
    <mergeCell ref="D2078:D2079"/>
    <mergeCell ref="D2080:D2081"/>
    <mergeCell ref="A1934:H1934"/>
    <mergeCell ref="B1935:D1935"/>
    <mergeCell ref="A1939:A1940"/>
    <mergeCell ref="B1939:B1940"/>
    <mergeCell ref="D1939:D1940"/>
    <mergeCell ref="E1939:E1940"/>
    <mergeCell ref="A1941:A1942"/>
    <mergeCell ref="B1941:B1942"/>
    <mergeCell ref="D1941:D1942"/>
    <mergeCell ref="E1941:E1942"/>
    <mergeCell ref="A1921:A1922"/>
    <mergeCell ref="B1921:B1922"/>
    <mergeCell ref="D1921:D1922"/>
    <mergeCell ref="E1921:E1922"/>
    <mergeCell ref="B1919:B1920"/>
    <mergeCell ref="A1919:A1920"/>
    <mergeCell ref="A1856:A1857"/>
    <mergeCell ref="E1445:E1446"/>
    <mergeCell ref="B1447:B1448"/>
    <mergeCell ref="D1919:D1920"/>
    <mergeCell ref="B1791:D1791"/>
    <mergeCell ref="A1796:A1797"/>
    <mergeCell ref="B1796:B1797"/>
    <mergeCell ref="D1796:D1797"/>
    <mergeCell ref="E1796:E1797"/>
    <mergeCell ref="B1577:B1578"/>
    <mergeCell ref="D1577:D1578"/>
    <mergeCell ref="E1577:E1578"/>
    <mergeCell ref="A1575:A1576"/>
    <mergeCell ref="B1575:B1576"/>
    <mergeCell ref="B1412:B1413"/>
    <mergeCell ref="A1412:A1413"/>
    <mergeCell ref="D1757:D1758"/>
    <mergeCell ref="E1757:E1758"/>
    <mergeCell ref="E1919:E1920"/>
    <mergeCell ref="D1895:D1896"/>
    <mergeCell ref="D1897:D1898"/>
    <mergeCell ref="E1895:E1896"/>
    <mergeCell ref="B1839:B1840"/>
    <mergeCell ref="D1839:D1840"/>
    <mergeCell ref="E1839:E1840"/>
    <mergeCell ref="E1485:E1486"/>
    <mergeCell ref="A1759:A1760"/>
    <mergeCell ref="B1759:B1760"/>
    <mergeCell ref="E1735:E1736"/>
    <mergeCell ref="E1683:E1684"/>
    <mergeCell ref="A1310:A1311"/>
    <mergeCell ref="E1487:E1488"/>
    <mergeCell ref="B1647:D1647"/>
    <mergeCell ref="D1649:D1650"/>
    <mergeCell ref="B1468:E1468"/>
    <mergeCell ref="B1445:B1446"/>
    <mergeCell ref="A1445:A1446"/>
    <mergeCell ref="B1794:B1795"/>
    <mergeCell ref="A1794:A1795"/>
    <mergeCell ref="D1794:D1795"/>
    <mergeCell ref="A1841:A1842"/>
    <mergeCell ref="B1841:B1842"/>
    <mergeCell ref="B1873:D1873"/>
    <mergeCell ref="B1897:B1898"/>
    <mergeCell ref="B1895:B1896"/>
    <mergeCell ref="A1895:A1896"/>
    <mergeCell ref="A1897:A1898"/>
    <mergeCell ref="B1680:D1680"/>
    <mergeCell ref="A1683:A1684"/>
    <mergeCell ref="B1683:B1684"/>
    <mergeCell ref="D1683:D1684"/>
    <mergeCell ref="A1699:A1700"/>
    <mergeCell ref="B1699:B1700"/>
    <mergeCell ref="D1699:D1700"/>
    <mergeCell ref="E1699:E1700"/>
    <mergeCell ref="A1715:A1716"/>
    <mergeCell ref="B1715:B1716"/>
    <mergeCell ref="D1715:D1716"/>
    <mergeCell ref="E1715:E1716"/>
    <mergeCell ref="A1051:A1052"/>
    <mergeCell ref="A1343:A1344"/>
    <mergeCell ref="B1343:B1344"/>
    <mergeCell ref="B1358:D1358"/>
    <mergeCell ref="A1360:A1361"/>
    <mergeCell ref="B1360:B1361"/>
    <mergeCell ref="D1360:D1361"/>
    <mergeCell ref="E1360:E1361"/>
    <mergeCell ref="A1362:A1363"/>
    <mergeCell ref="B1362:B1363"/>
    <mergeCell ref="D1362:D1363"/>
    <mergeCell ref="E1362:E1363"/>
    <mergeCell ref="A1364:A1365"/>
    <mergeCell ref="E1229:E1230"/>
    <mergeCell ref="B1227:D1227"/>
    <mergeCell ref="A1229:A1230"/>
    <mergeCell ref="B1229:B1230"/>
    <mergeCell ref="A1231:A1232"/>
    <mergeCell ref="B1231:B1232"/>
    <mergeCell ref="A1337:A1338"/>
    <mergeCell ref="B1337:B1338"/>
    <mergeCell ref="D1337:D1338"/>
    <mergeCell ref="E1337:E1338"/>
    <mergeCell ref="B1327:D1327"/>
    <mergeCell ref="A1329:A1330"/>
    <mergeCell ref="B1329:B1330"/>
    <mergeCell ref="D1329:D1330"/>
    <mergeCell ref="E1329:E1330"/>
    <mergeCell ref="A1331:A1332"/>
    <mergeCell ref="B1331:B1332"/>
    <mergeCell ref="D1331:D1332"/>
    <mergeCell ref="E1331:E1332"/>
    <mergeCell ref="B936:B937"/>
    <mergeCell ref="D936:D937"/>
    <mergeCell ref="B979:B980"/>
    <mergeCell ref="D741:D742"/>
    <mergeCell ref="E741:E742"/>
    <mergeCell ref="A743:A744"/>
    <mergeCell ref="A1053:A1054"/>
    <mergeCell ref="B1053:B1054"/>
    <mergeCell ref="D1053:D1054"/>
    <mergeCell ref="E1053:E1054"/>
    <mergeCell ref="A1069:A1070"/>
    <mergeCell ref="B1069:B1070"/>
    <mergeCell ref="D1069:D1070"/>
    <mergeCell ref="E1069:E1070"/>
    <mergeCell ref="A1071:A1072"/>
    <mergeCell ref="B1071:B1072"/>
    <mergeCell ref="D1071:D1072"/>
    <mergeCell ref="E1071:E1072"/>
    <mergeCell ref="A1035:A1036"/>
    <mergeCell ref="B1035:B1036"/>
    <mergeCell ref="D1035:D1036"/>
    <mergeCell ref="E1035:E1036"/>
    <mergeCell ref="D839:D840"/>
    <mergeCell ref="E839:E840"/>
    <mergeCell ref="A841:A842"/>
    <mergeCell ref="B841:B842"/>
    <mergeCell ref="D841:D842"/>
    <mergeCell ref="E841:E842"/>
    <mergeCell ref="E936:E937"/>
    <mergeCell ref="A938:A939"/>
    <mergeCell ref="B938:B939"/>
    <mergeCell ref="B1031:C1031"/>
    <mergeCell ref="B1017:B1018"/>
    <mergeCell ref="D1017:D1018"/>
    <mergeCell ref="E1017:E1018"/>
    <mergeCell ref="A1000:A1001"/>
    <mergeCell ref="B1000:B1001"/>
    <mergeCell ref="D1000:D1001"/>
    <mergeCell ref="E1000:E1001"/>
    <mergeCell ref="A960:A961"/>
    <mergeCell ref="B960:B961"/>
    <mergeCell ref="D960:D961"/>
    <mergeCell ref="E960:E961"/>
    <mergeCell ref="E962:E963"/>
    <mergeCell ref="B962:B963"/>
    <mergeCell ref="A962:A963"/>
    <mergeCell ref="D962:D963"/>
    <mergeCell ref="B994:D994"/>
    <mergeCell ref="B975:D975"/>
    <mergeCell ref="A977:A978"/>
    <mergeCell ref="B977:B978"/>
    <mergeCell ref="D977:D978"/>
    <mergeCell ref="E977:E978"/>
    <mergeCell ref="B981:B982"/>
    <mergeCell ref="D938:D939"/>
    <mergeCell ref="E938:E939"/>
    <mergeCell ref="A996:A997"/>
    <mergeCell ref="B996:B997"/>
    <mergeCell ref="D996:D997"/>
    <mergeCell ref="E996:E997"/>
    <mergeCell ref="A943:A944"/>
    <mergeCell ref="B943:B944"/>
    <mergeCell ref="D943:D944"/>
    <mergeCell ref="E943:E944"/>
    <mergeCell ref="B956:C956"/>
    <mergeCell ref="A958:A959"/>
    <mergeCell ref="B958:B959"/>
    <mergeCell ref="D958:D959"/>
    <mergeCell ref="A803:A804"/>
    <mergeCell ref="B803:B804"/>
    <mergeCell ref="D803:D804"/>
    <mergeCell ref="E803:E804"/>
    <mergeCell ref="A839:A840"/>
    <mergeCell ref="B839:B840"/>
    <mergeCell ref="A822:A823"/>
    <mergeCell ref="B822:B823"/>
    <mergeCell ref="D822:D823"/>
    <mergeCell ref="A860:A861"/>
    <mergeCell ref="A858:A859"/>
    <mergeCell ref="B858:B859"/>
    <mergeCell ref="A882:A883"/>
    <mergeCell ref="B882:B883"/>
    <mergeCell ref="D882:D883"/>
    <mergeCell ref="E958:E959"/>
    <mergeCell ref="B934:D934"/>
    <mergeCell ref="A936:A937"/>
    <mergeCell ref="A423:A424"/>
    <mergeCell ref="B423:B424"/>
    <mergeCell ref="D423:D424"/>
    <mergeCell ref="E423:E424"/>
    <mergeCell ref="A407:A408"/>
    <mergeCell ref="B407:B408"/>
    <mergeCell ref="D407:D408"/>
    <mergeCell ref="E407:E408"/>
    <mergeCell ref="A405:A406"/>
    <mergeCell ref="B405:B406"/>
    <mergeCell ref="D405:D406"/>
    <mergeCell ref="D442:D443"/>
    <mergeCell ref="E442:E443"/>
    <mergeCell ref="A484:A485"/>
    <mergeCell ref="B484:B485"/>
    <mergeCell ref="D484:D485"/>
    <mergeCell ref="E484:E485"/>
    <mergeCell ref="E276:E277"/>
    <mergeCell ref="A274:A275"/>
    <mergeCell ref="B206:B207"/>
    <mergeCell ref="E244:E245"/>
    <mergeCell ref="E84:E85"/>
    <mergeCell ref="E82:E83"/>
    <mergeCell ref="B82:B83"/>
    <mergeCell ref="B84:B85"/>
    <mergeCell ref="A82:A83"/>
    <mergeCell ref="A84:A85"/>
    <mergeCell ref="D82:D83"/>
    <mergeCell ref="D84:D85"/>
    <mergeCell ref="A170:A171"/>
    <mergeCell ref="B170:B171"/>
    <mergeCell ref="D170:D171"/>
    <mergeCell ref="E170:E171"/>
    <mergeCell ref="A185:A186"/>
    <mergeCell ref="B185:B186"/>
    <mergeCell ref="D185:D186"/>
    <mergeCell ref="E185:E186"/>
    <mergeCell ref="E119:E120"/>
    <mergeCell ref="A102:A103"/>
    <mergeCell ref="B102:B103"/>
    <mergeCell ref="E259:E260"/>
    <mergeCell ref="B212:B213"/>
    <mergeCell ref="D212:D213"/>
    <mergeCell ref="A244:A245"/>
    <mergeCell ref="B244:B245"/>
    <mergeCell ref="D244:D245"/>
    <mergeCell ref="E212:E213"/>
    <mergeCell ref="A259:A260"/>
    <mergeCell ref="B259:B260"/>
    <mergeCell ref="D298:D299"/>
    <mergeCell ref="E298:E299"/>
    <mergeCell ref="A316:A317"/>
    <mergeCell ref="B289:D289"/>
    <mergeCell ref="A292:A293"/>
    <mergeCell ref="A136:A137"/>
    <mergeCell ref="B136:B137"/>
    <mergeCell ref="D136:D137"/>
    <mergeCell ref="E136:E137"/>
    <mergeCell ref="A138:A139"/>
    <mergeCell ref="B138:B139"/>
    <mergeCell ref="D138:D139"/>
    <mergeCell ref="E138:E139"/>
    <mergeCell ref="A153:A154"/>
    <mergeCell ref="B153:B154"/>
    <mergeCell ref="D153:D154"/>
    <mergeCell ref="E153:E154"/>
    <mergeCell ref="A155:A156"/>
    <mergeCell ref="B155:B156"/>
    <mergeCell ref="D155:D156"/>
    <mergeCell ref="E155:E156"/>
    <mergeCell ref="A227:A228"/>
    <mergeCell ref="B227:B228"/>
    <mergeCell ref="D227:D228"/>
    <mergeCell ref="E227:E228"/>
    <mergeCell ref="B210:B211"/>
    <mergeCell ref="B274:B275"/>
    <mergeCell ref="D274:D275"/>
    <mergeCell ref="E274:E275"/>
    <mergeCell ref="A276:A277"/>
    <mergeCell ref="B276:B277"/>
    <mergeCell ref="D276:D277"/>
    <mergeCell ref="A355:A356"/>
    <mergeCell ref="B355:B356"/>
    <mergeCell ref="D355:D356"/>
    <mergeCell ref="E355:E356"/>
    <mergeCell ref="A499:A500"/>
    <mergeCell ref="E1447:E1448"/>
    <mergeCell ref="E1897:E1898"/>
    <mergeCell ref="A296:A297"/>
    <mergeCell ref="B296:B297"/>
    <mergeCell ref="B292:B293"/>
    <mergeCell ref="D292:D293"/>
    <mergeCell ref="E292:E293"/>
    <mergeCell ref="A294:A295"/>
    <mergeCell ref="B294:B295"/>
    <mergeCell ref="D294:D295"/>
    <mergeCell ref="E294:E295"/>
    <mergeCell ref="B316:B317"/>
    <mergeCell ref="D316:D317"/>
    <mergeCell ref="E316:E317"/>
    <mergeCell ref="A318:A319"/>
    <mergeCell ref="B318:B319"/>
    <mergeCell ref="D318:D319"/>
    <mergeCell ref="E318:E319"/>
    <mergeCell ref="A320:A321"/>
    <mergeCell ref="B320:B321"/>
    <mergeCell ref="D296:D297"/>
    <mergeCell ref="E296:E297"/>
    <mergeCell ref="A298:A299"/>
    <mergeCell ref="B298:B299"/>
    <mergeCell ref="A1834:H1834"/>
    <mergeCell ref="A1839:A1840"/>
    <mergeCell ref="E1370:E1371"/>
    <mergeCell ref="D1430:D1431"/>
    <mergeCell ref="E1428:E1429"/>
    <mergeCell ref="E1430:E1431"/>
    <mergeCell ref="E1794:E1795"/>
    <mergeCell ref="A1447:A1448"/>
    <mergeCell ref="D1447:D1448"/>
    <mergeCell ref="B1428:B1429"/>
    <mergeCell ref="B1573:D1573"/>
    <mergeCell ref="A1593:A1594"/>
    <mergeCell ref="B1664:D1664"/>
    <mergeCell ref="A1539:A1540"/>
    <mergeCell ref="B1539:B1540"/>
    <mergeCell ref="D1539:D1540"/>
    <mergeCell ref="E1539:E1540"/>
    <mergeCell ref="A1541:A1542"/>
    <mergeCell ref="B1541:B1542"/>
    <mergeCell ref="D1541:D1542"/>
    <mergeCell ref="E1541:E1542"/>
    <mergeCell ref="A1543:A1544"/>
    <mergeCell ref="B1543:B1544"/>
    <mergeCell ref="D1543:D1544"/>
    <mergeCell ref="B1728:C1728"/>
    <mergeCell ref="A1733:A1734"/>
    <mergeCell ref="B1733:B1734"/>
    <mergeCell ref="D1733:D1734"/>
    <mergeCell ref="E1733:E1734"/>
    <mergeCell ref="A1735:A1736"/>
    <mergeCell ref="A1559:A1560"/>
    <mergeCell ref="B1559:B1560"/>
    <mergeCell ref="D1559:D1560"/>
    <mergeCell ref="E1559:E1560"/>
    <mergeCell ref="A1577:A1578"/>
    <mergeCell ref="D1575:D1576"/>
    <mergeCell ref="E1575:E1576"/>
    <mergeCell ref="A1410:A1411"/>
    <mergeCell ref="B1410:B1411"/>
    <mergeCell ref="D1410:D1411"/>
    <mergeCell ref="D1412:D1413"/>
    <mergeCell ref="E1410:E1411"/>
    <mergeCell ref="E1412:E1413"/>
    <mergeCell ref="B1487:B1488"/>
    <mergeCell ref="D1485:D1486"/>
    <mergeCell ref="D1487:D1488"/>
    <mergeCell ref="D1502:D1503"/>
    <mergeCell ref="D1504:D1505"/>
    <mergeCell ref="B1364:B1365"/>
    <mergeCell ref="D1364:D1365"/>
    <mergeCell ref="D1374:D1375"/>
    <mergeCell ref="E1374:E1375"/>
    <mergeCell ref="D1366:D1367"/>
    <mergeCell ref="E1366:E1367"/>
    <mergeCell ref="D1372:D1373"/>
    <mergeCell ref="D1394:D1395"/>
    <mergeCell ref="E1394:E1395"/>
    <mergeCell ref="A1372:A1373"/>
    <mergeCell ref="B1372:B1373"/>
    <mergeCell ref="E1372:E1373"/>
    <mergeCell ref="A1370:A1371"/>
    <mergeCell ref="B1370:B1371"/>
    <mergeCell ref="D1370:D1371"/>
    <mergeCell ref="A1376:A1377"/>
    <mergeCell ref="B1376:B1377"/>
    <mergeCell ref="D1376:D1377"/>
    <mergeCell ref="A1392:A1393"/>
    <mergeCell ref="B1392:B1393"/>
    <mergeCell ref="D1392:D1393"/>
    <mergeCell ref="E1392:E1393"/>
    <mergeCell ref="A1394:A1395"/>
    <mergeCell ref="B1394:B1395"/>
    <mergeCell ref="A1374:A1375"/>
    <mergeCell ref="B1374:B1375"/>
    <mergeCell ref="A1368:A1369"/>
    <mergeCell ref="B1368:B1369"/>
    <mergeCell ref="E1376:E1377"/>
    <mergeCell ref="A1339:A1340"/>
    <mergeCell ref="B1339:B1340"/>
    <mergeCell ref="D1339:D1340"/>
    <mergeCell ref="E1339:E1340"/>
    <mergeCell ref="A1341:A1342"/>
    <mergeCell ref="B1341:B1342"/>
    <mergeCell ref="D1341:D1342"/>
    <mergeCell ref="E1341:E1342"/>
    <mergeCell ref="A1345:A1346"/>
    <mergeCell ref="B1345:B1346"/>
    <mergeCell ref="D1368:D1369"/>
    <mergeCell ref="E1368:E1369"/>
    <mergeCell ref="E1364:E1365"/>
    <mergeCell ref="A1366:A1367"/>
    <mergeCell ref="B1366:B1367"/>
    <mergeCell ref="D1343:D1344"/>
    <mergeCell ref="E1343:E1344"/>
    <mergeCell ref="B1089:B1090"/>
    <mergeCell ref="D1089:D1090"/>
    <mergeCell ref="E1089:E1090"/>
    <mergeCell ref="A1128:A1129"/>
    <mergeCell ref="B1128:B1129"/>
    <mergeCell ref="D1128:D1129"/>
    <mergeCell ref="E1128:E1129"/>
    <mergeCell ref="A1130:A1131"/>
    <mergeCell ref="B1130:B1131"/>
    <mergeCell ref="A1335:A1336"/>
    <mergeCell ref="B1335:B1336"/>
    <mergeCell ref="B1310:B1311"/>
    <mergeCell ref="A1314:A1315"/>
    <mergeCell ref="B1314:B1315"/>
    <mergeCell ref="D1314:D1315"/>
    <mergeCell ref="E1314:E1315"/>
    <mergeCell ref="E1335:E1336"/>
    <mergeCell ref="D1310:D1311"/>
    <mergeCell ref="E1310:E1311"/>
    <mergeCell ref="A1312:A1313"/>
    <mergeCell ref="A1091:A1092"/>
    <mergeCell ref="B1091:B1092"/>
    <mergeCell ref="D1091:D1092"/>
    <mergeCell ref="E1091:E1092"/>
    <mergeCell ref="D1130:D1131"/>
    <mergeCell ref="E1130:E1131"/>
    <mergeCell ref="B1126:C1126"/>
    <mergeCell ref="B1165:B1166"/>
    <mergeCell ref="A1107:A1108"/>
    <mergeCell ref="B1107:B1108"/>
    <mergeCell ref="D1107:D1108"/>
    <mergeCell ref="E1107:E1108"/>
    <mergeCell ref="B661:B662"/>
    <mergeCell ref="E521:E522"/>
    <mergeCell ref="B1279:B1280"/>
    <mergeCell ref="E1277:E1278"/>
    <mergeCell ref="E1279:E1280"/>
    <mergeCell ref="D1298:D1299"/>
    <mergeCell ref="E1298:E1299"/>
    <mergeCell ref="B1281:B1282"/>
    <mergeCell ref="A1281:A1282"/>
    <mergeCell ref="D543:D544"/>
    <mergeCell ref="B1271:B1272"/>
    <mergeCell ref="A1271:A1272"/>
    <mergeCell ref="D1271:D1272"/>
    <mergeCell ref="A1277:A1278"/>
    <mergeCell ref="A1283:A1284"/>
    <mergeCell ref="D1277:D1278"/>
    <mergeCell ref="D1279:D1280"/>
    <mergeCell ref="B1298:B1299"/>
    <mergeCell ref="D661:D662"/>
    <mergeCell ref="E661:E662"/>
    <mergeCell ref="A663:A664"/>
    <mergeCell ref="B663:B664"/>
    <mergeCell ref="D663:D664"/>
    <mergeCell ref="E663:E664"/>
    <mergeCell ref="A643:A644"/>
    <mergeCell ref="B643:B644"/>
    <mergeCell ref="B1051:B1052"/>
    <mergeCell ref="A587:A588"/>
    <mergeCell ref="A589:A590"/>
    <mergeCell ref="E867:E868"/>
    <mergeCell ref="E587:E588"/>
    <mergeCell ref="E589:E590"/>
    <mergeCell ref="E1281:E1282"/>
    <mergeCell ref="A1302:A1303"/>
    <mergeCell ref="B1302:B1303"/>
    <mergeCell ref="D1302:D1303"/>
    <mergeCell ref="E1302:E1303"/>
    <mergeCell ref="A1304:A1305"/>
    <mergeCell ref="B1304:B1305"/>
    <mergeCell ref="D1304:D1305"/>
    <mergeCell ref="A501:A502"/>
    <mergeCell ref="B501:B502"/>
    <mergeCell ref="A480:A481"/>
    <mergeCell ref="B480:B481"/>
    <mergeCell ref="D480:D481"/>
    <mergeCell ref="E480:E481"/>
    <mergeCell ref="A482:A483"/>
    <mergeCell ref="B482:B483"/>
    <mergeCell ref="D482:D483"/>
    <mergeCell ref="A521:A522"/>
    <mergeCell ref="B521:B522"/>
    <mergeCell ref="B499:B500"/>
    <mergeCell ref="D499:D500"/>
    <mergeCell ref="E499:E500"/>
    <mergeCell ref="D862:D863"/>
    <mergeCell ref="B862:B863"/>
    <mergeCell ref="E1304:E1305"/>
    <mergeCell ref="A862:A863"/>
    <mergeCell ref="E563:E564"/>
    <mergeCell ref="E1283:E1284"/>
    <mergeCell ref="D981:D982"/>
    <mergeCell ref="E981:E982"/>
    <mergeCell ref="E1300:E1301"/>
    <mergeCell ref="A545:A546"/>
    <mergeCell ref="A440:A441"/>
    <mergeCell ref="B442:B443"/>
    <mergeCell ref="E884:E885"/>
    <mergeCell ref="A1306:A1307"/>
    <mergeCell ref="B1306:B1307"/>
    <mergeCell ref="D1306:D1307"/>
    <mergeCell ref="E1306:E1307"/>
    <mergeCell ref="B1013:D1013"/>
    <mergeCell ref="A1015:A1016"/>
    <mergeCell ref="B1015:B1016"/>
    <mergeCell ref="D1015:D1016"/>
    <mergeCell ref="E1015:E1016"/>
    <mergeCell ref="A1017:A1018"/>
    <mergeCell ref="A1308:A1309"/>
    <mergeCell ref="B1308:B1309"/>
    <mergeCell ref="A1089:A1090"/>
    <mergeCell ref="G2221:H2221"/>
    <mergeCell ref="A2130:D2130"/>
    <mergeCell ref="A2050:H2050"/>
    <mergeCell ref="A2029:H2029"/>
    <mergeCell ref="A1499:H1499"/>
    <mergeCell ref="A1467:H1467"/>
    <mergeCell ref="D1312:D1313"/>
    <mergeCell ref="E1312:E1313"/>
    <mergeCell ref="A1333:A1334"/>
    <mergeCell ref="B1333:B1334"/>
    <mergeCell ref="D1333:D1334"/>
    <mergeCell ref="E1333:E1334"/>
    <mergeCell ref="A1279:A1280"/>
    <mergeCell ref="D1335:D1336"/>
    <mergeCell ref="A1300:A1301"/>
    <mergeCell ref="B1300:B1301"/>
    <mergeCell ref="G2203:H2203"/>
    <mergeCell ref="G2204:H2204"/>
    <mergeCell ref="D320:D321"/>
    <mergeCell ref="A314:A315"/>
    <mergeCell ref="B314:B315"/>
    <mergeCell ref="D314:D315"/>
    <mergeCell ref="E314:E315"/>
    <mergeCell ref="G2205:H2205"/>
    <mergeCell ref="G2206:H2206"/>
    <mergeCell ref="G2200:H2200"/>
    <mergeCell ref="G2198:H2198"/>
    <mergeCell ref="G2201:H2201"/>
    <mergeCell ref="A335:A336"/>
    <mergeCell ref="B335:B336"/>
    <mergeCell ref="D335:D336"/>
    <mergeCell ref="D501:D502"/>
    <mergeCell ref="E501:E502"/>
    <mergeCell ref="B497:D497"/>
    <mergeCell ref="E335:E336"/>
    <mergeCell ref="A337:A338"/>
    <mergeCell ref="B337:B338"/>
    <mergeCell ref="A1275:A1276"/>
    <mergeCell ref="E459:E460"/>
    <mergeCell ref="A523:A524"/>
    <mergeCell ref="B523:B524"/>
    <mergeCell ref="D523:D524"/>
    <mergeCell ref="E523:E524"/>
    <mergeCell ref="E882:E883"/>
    <mergeCell ref="A884:A885"/>
    <mergeCell ref="B371:B372"/>
    <mergeCell ref="D371:D372"/>
    <mergeCell ref="E371:E372"/>
    <mergeCell ref="A2297:H2297"/>
    <mergeCell ref="A2487:H2487"/>
    <mergeCell ref="A2489:H2489"/>
    <mergeCell ref="A2491:H2491"/>
    <mergeCell ref="A2468:H2468"/>
    <mergeCell ref="A2259:H2259"/>
    <mergeCell ref="G2249:H2249"/>
    <mergeCell ref="A45:H45"/>
    <mergeCell ref="G2244:H2244"/>
    <mergeCell ref="G2245:H2245"/>
    <mergeCell ref="G2246:H2246"/>
    <mergeCell ref="G2247:H2247"/>
    <mergeCell ref="G2248:H2248"/>
    <mergeCell ref="G2234:H2234"/>
    <mergeCell ref="G2235:H2235"/>
    <mergeCell ref="G2236:H2236"/>
    <mergeCell ref="G2237:H2237"/>
    <mergeCell ref="G2223:H2223"/>
    <mergeCell ref="G2224:H2224"/>
    <mergeCell ref="G2225:H2225"/>
    <mergeCell ref="G2232:H2232"/>
    <mergeCell ref="G2233:H2233"/>
    <mergeCell ref="G2218:H2218"/>
    <mergeCell ref="G2219:H2219"/>
    <mergeCell ref="G2220:H2220"/>
    <mergeCell ref="A242:A243"/>
    <mergeCell ref="B242:B243"/>
    <mergeCell ref="A2010:H2010"/>
    <mergeCell ref="B121:B122"/>
    <mergeCell ref="A121:A122"/>
    <mergeCell ref="D242:D243"/>
    <mergeCell ref="E242:E243"/>
    <mergeCell ref="A2501:H2501"/>
    <mergeCell ref="A2486:H2486"/>
    <mergeCell ref="A2362:H2362"/>
    <mergeCell ref="A2345:H2345"/>
    <mergeCell ref="A2346:H2346"/>
    <mergeCell ref="A2348:H2348"/>
    <mergeCell ref="A2350:H2350"/>
    <mergeCell ref="A2433:H2433"/>
    <mergeCell ref="A2417:H2417"/>
    <mergeCell ref="A2418:H2418"/>
    <mergeCell ref="A2420:H2420"/>
    <mergeCell ref="A2422:H2422"/>
    <mergeCell ref="A2480:H2480"/>
    <mergeCell ref="A2464:H2464"/>
    <mergeCell ref="A2304:H2304"/>
    <mergeCell ref="A2306:H2306"/>
    <mergeCell ref="A2308:H2308"/>
    <mergeCell ref="D440:D441"/>
    <mergeCell ref="E440:E441"/>
    <mergeCell ref="A442:A443"/>
    <mergeCell ref="A2862:H2862"/>
    <mergeCell ref="A2339:H2339"/>
    <mergeCell ref="A2385:H2385"/>
    <mergeCell ref="A2368:H2368"/>
    <mergeCell ref="A2369:H2369"/>
    <mergeCell ref="A2371:H2371"/>
    <mergeCell ref="A2373:H2373"/>
    <mergeCell ref="A2391:H2391"/>
    <mergeCell ref="A2392:H2392"/>
    <mergeCell ref="A2394:H2394"/>
    <mergeCell ref="A2396:H2396"/>
    <mergeCell ref="A2840:H2840"/>
    <mergeCell ref="A2829:H2829"/>
    <mergeCell ref="A2466:H2466"/>
    <mergeCell ref="A2678:H2678"/>
    <mergeCell ref="A2660:H2660"/>
    <mergeCell ref="A2661:H2661"/>
    <mergeCell ref="A2663:H2663"/>
    <mergeCell ref="A2665:H2665"/>
    <mergeCell ref="A2653:H2653"/>
    <mergeCell ref="A2608:H2608"/>
    <mergeCell ref="A2587:H2587"/>
    <mergeCell ref="A2588:H2588"/>
    <mergeCell ref="A2409:H2409"/>
    <mergeCell ref="A2523:H2523"/>
    <mergeCell ref="A2507:H2507"/>
    <mergeCell ref="A2508:H2508"/>
    <mergeCell ref="A2510:H2510"/>
    <mergeCell ref="A2512:H2512"/>
    <mergeCell ref="A2327:H2327"/>
    <mergeCell ref="A2329:H2329"/>
    <mergeCell ref="A2331:H2331"/>
    <mergeCell ref="D259:D260"/>
    <mergeCell ref="E320:E321"/>
    <mergeCell ref="D463:D464"/>
    <mergeCell ref="A210:A211"/>
    <mergeCell ref="A2110:H2110"/>
    <mergeCell ref="A1996:H1996"/>
    <mergeCell ref="D337:D338"/>
    <mergeCell ref="E337:E338"/>
    <mergeCell ref="A339:A340"/>
    <mergeCell ref="B339:B340"/>
    <mergeCell ref="D339:D340"/>
    <mergeCell ref="A1485:A1486"/>
    <mergeCell ref="A1487:A1488"/>
    <mergeCell ref="A543:A544"/>
    <mergeCell ref="B543:B544"/>
    <mergeCell ref="A1979:H1979"/>
    <mergeCell ref="B884:B885"/>
    <mergeCell ref="D884:D885"/>
    <mergeCell ref="A463:A464"/>
    <mergeCell ref="B463:B464"/>
    <mergeCell ref="D858:D859"/>
    <mergeCell ref="E858:E859"/>
    <mergeCell ref="B1267:B1268"/>
    <mergeCell ref="A1267:A1268"/>
    <mergeCell ref="D1267:D1268"/>
    <mergeCell ref="E1267:E1268"/>
    <mergeCell ref="A387:A388"/>
    <mergeCell ref="A371:A372"/>
    <mergeCell ref="B440:B441"/>
    <mergeCell ref="A2557:H2557"/>
    <mergeCell ref="A2558:H2558"/>
    <mergeCell ref="A2560:H2560"/>
    <mergeCell ref="A2562:H2562"/>
    <mergeCell ref="A2857:H2857"/>
    <mergeCell ref="D521:D522"/>
    <mergeCell ref="D545:D546"/>
    <mergeCell ref="E545:E546"/>
    <mergeCell ref="D566:D567"/>
    <mergeCell ref="B1430:B1431"/>
    <mergeCell ref="A1430:A1431"/>
    <mergeCell ref="A679:A680"/>
    <mergeCell ref="B679:B680"/>
    <mergeCell ref="G2202:H2202"/>
    <mergeCell ref="A2129:H2129"/>
    <mergeCell ref="A2180:H2180"/>
    <mergeCell ref="A2457:H2457"/>
    <mergeCell ref="A2440:H2440"/>
    <mergeCell ref="A2441:H2441"/>
    <mergeCell ref="A2443:H2443"/>
    <mergeCell ref="A2445:H2445"/>
    <mergeCell ref="G2222:H2222"/>
    <mergeCell ref="G2213:H2213"/>
    <mergeCell ref="G2214:H2214"/>
    <mergeCell ref="G2215:H2215"/>
    <mergeCell ref="G2216:H2216"/>
    <mergeCell ref="G2217:H2217"/>
    <mergeCell ref="A2319:H2319"/>
    <mergeCell ref="A2282:H2282"/>
    <mergeCell ref="A2287:H2287"/>
    <mergeCell ref="A2303:H2303"/>
    <mergeCell ref="A2326:H2326"/>
    <mergeCell ref="A2886:H2886"/>
    <mergeCell ref="A2888:H2888"/>
    <mergeCell ref="A2890:H2890"/>
    <mergeCell ref="A2878:H2878"/>
    <mergeCell ref="A2590:H2590"/>
    <mergeCell ref="A2592:H2592"/>
    <mergeCell ref="A2630:H2630"/>
    <mergeCell ref="A2614:H2614"/>
    <mergeCell ref="A2615:H2615"/>
    <mergeCell ref="A2617:H2617"/>
    <mergeCell ref="A2619:H2619"/>
    <mergeCell ref="A2283:H2283"/>
    <mergeCell ref="A2285:H2285"/>
    <mergeCell ref="A2902:H2902"/>
    <mergeCell ref="A2885:H2885"/>
    <mergeCell ref="A2967:H2967"/>
    <mergeCell ref="A2950:H2950"/>
    <mergeCell ref="A2951:H2951"/>
    <mergeCell ref="A2953:H2953"/>
    <mergeCell ref="A2955:H2955"/>
    <mergeCell ref="A2944:H2944"/>
    <mergeCell ref="A2463:H2463"/>
    <mergeCell ref="A2550:H2550"/>
    <mergeCell ref="A2530:H2530"/>
    <mergeCell ref="A2531:H2531"/>
    <mergeCell ref="A2533:H2533"/>
    <mergeCell ref="A2535:H2535"/>
    <mergeCell ref="A2637:H2637"/>
    <mergeCell ref="A2638:H2638"/>
    <mergeCell ref="A2640:H2640"/>
    <mergeCell ref="A2642:H2642"/>
    <mergeCell ref="A2579:H2579"/>
    <mergeCell ref="A2858:H2858"/>
    <mergeCell ref="A2860:H2860"/>
    <mergeCell ref="A2687:H2687"/>
    <mergeCell ref="A2689:H2689"/>
    <mergeCell ref="A2787:H2787"/>
    <mergeCell ref="A2789:H2789"/>
    <mergeCell ref="A2778:H2778"/>
    <mergeCell ref="A2754:H2754"/>
    <mergeCell ref="A2755:H2755"/>
    <mergeCell ref="A2757:H2757"/>
    <mergeCell ref="A2759:H2759"/>
    <mergeCell ref="A2724:H2724"/>
    <mergeCell ref="A2708:H2708"/>
    <mergeCell ref="A2709:H2709"/>
    <mergeCell ref="A2711:H2711"/>
    <mergeCell ref="A2713:H2713"/>
    <mergeCell ref="A2704:H2704"/>
    <mergeCell ref="A2705:H2705"/>
    <mergeCell ref="A2811:H2811"/>
    <mergeCell ref="A2812:H2812"/>
    <mergeCell ref="A2814:H2814"/>
    <mergeCell ref="A2816:H2816"/>
    <mergeCell ref="A2929:H2929"/>
    <mergeCell ref="A2930:H2930"/>
    <mergeCell ref="A3069:G3069"/>
    <mergeCell ref="A3022:H3022"/>
    <mergeCell ref="A3025:H3025"/>
    <mergeCell ref="A3027:H3027"/>
    <mergeCell ref="A3024:H3024"/>
    <mergeCell ref="A3029:H3029"/>
    <mergeCell ref="A3039:H3039"/>
    <mergeCell ref="A3046:G3046"/>
    <mergeCell ref="A2990:H2990"/>
    <mergeCell ref="A2996:H2996"/>
    <mergeCell ref="A2998:H2998"/>
    <mergeCell ref="A2999:H2999"/>
    <mergeCell ref="A3001:H3001"/>
    <mergeCell ref="A3003:H3003"/>
    <mergeCell ref="A3016:H3016"/>
    <mergeCell ref="A3048:G3048"/>
    <mergeCell ref="A3049:G3049"/>
    <mergeCell ref="A2932:H2932"/>
    <mergeCell ref="A2934:H2934"/>
    <mergeCell ref="A3051:G3051"/>
    <mergeCell ref="A3053:G3053"/>
    <mergeCell ref="A2973:H2973"/>
    <mergeCell ref="A2975:H2975"/>
    <mergeCell ref="A2976:H2976"/>
    <mergeCell ref="A2978:H2978"/>
    <mergeCell ref="A2980:H2980"/>
    <mergeCell ref="A2923:H2923"/>
    <mergeCell ref="A2908:H2908"/>
    <mergeCell ref="A2909:H2909"/>
    <mergeCell ref="A2911:H2911"/>
    <mergeCell ref="A2913:H2913"/>
    <mergeCell ref="A2747:H2747"/>
    <mergeCell ref="A2730:H2730"/>
    <mergeCell ref="A2731:H2731"/>
    <mergeCell ref="A2733:H2733"/>
    <mergeCell ref="A2735:H2735"/>
    <mergeCell ref="A2805:H2805"/>
    <mergeCell ref="A2784:H2784"/>
    <mergeCell ref="A2785:H2785"/>
    <mergeCell ref="D210:D211"/>
    <mergeCell ref="B311:D311"/>
    <mergeCell ref="A2851:H2851"/>
    <mergeCell ref="A566:A567"/>
    <mergeCell ref="B566:B567"/>
    <mergeCell ref="B860:B861"/>
    <mergeCell ref="D860:D861"/>
    <mergeCell ref="B856:D856"/>
    <mergeCell ref="E860:E861"/>
    <mergeCell ref="A2835:H2835"/>
    <mergeCell ref="A2836:H2836"/>
    <mergeCell ref="A2838:H2838"/>
    <mergeCell ref="A1502:A1503"/>
    <mergeCell ref="A1504:A1505"/>
    <mergeCell ref="B1502:B1503"/>
    <mergeCell ref="B1613:B1614"/>
    <mergeCell ref="A2698:H2698"/>
    <mergeCell ref="A2684:H2684"/>
    <mergeCell ref="A2685:H2685"/>
    <mergeCell ref="A7:A8"/>
    <mergeCell ref="B9:B10"/>
    <mergeCell ref="A9:A10"/>
    <mergeCell ref="D7:D8"/>
    <mergeCell ref="D9:D10"/>
    <mergeCell ref="E9:E10"/>
    <mergeCell ref="E7:E8"/>
    <mergeCell ref="B119:B120"/>
    <mergeCell ref="A119:A120"/>
    <mergeCell ref="D119:D120"/>
    <mergeCell ref="E121:E122"/>
    <mergeCell ref="B32:B33"/>
    <mergeCell ref="A32:A33"/>
    <mergeCell ref="B34:B35"/>
    <mergeCell ref="A34:A35"/>
    <mergeCell ref="D32:D33"/>
    <mergeCell ref="E32:E33"/>
    <mergeCell ref="A36:A37"/>
    <mergeCell ref="D36:D37"/>
    <mergeCell ref="B49:D49"/>
    <mergeCell ref="E36:E37"/>
    <mergeCell ref="B7:B8"/>
    <mergeCell ref="B104:B105"/>
    <mergeCell ref="D104:D105"/>
    <mergeCell ref="E104:E105"/>
    <mergeCell ref="A113:H113"/>
    <mergeCell ref="D121:D122"/>
    <mergeCell ref="D102:D103"/>
    <mergeCell ref="E102:E103"/>
    <mergeCell ref="A104:A105"/>
    <mergeCell ref="E1308:E1309"/>
    <mergeCell ref="B1296:D1296"/>
    <mergeCell ref="A1298:A1299"/>
    <mergeCell ref="A1269:A1270"/>
    <mergeCell ref="D1269:D1270"/>
    <mergeCell ref="E1269:E1270"/>
    <mergeCell ref="B1275:B1276"/>
    <mergeCell ref="A681:A682"/>
    <mergeCell ref="B681:B682"/>
    <mergeCell ref="D681:D682"/>
    <mergeCell ref="E681:E682"/>
    <mergeCell ref="B589:B590"/>
    <mergeCell ref="D587:D588"/>
    <mergeCell ref="D1051:D1052"/>
    <mergeCell ref="E1051:E1052"/>
    <mergeCell ref="A1033:A1034"/>
    <mergeCell ref="B1033:B1034"/>
    <mergeCell ref="D1033:D1034"/>
    <mergeCell ref="E1033:E1034"/>
    <mergeCell ref="D979:D980"/>
    <mergeCell ref="E979:E980"/>
    <mergeCell ref="A981:A982"/>
    <mergeCell ref="A998:A999"/>
    <mergeCell ref="B998:B999"/>
    <mergeCell ref="D998:D999"/>
    <mergeCell ref="E998:E999"/>
    <mergeCell ref="A979:A980"/>
    <mergeCell ref="E1271:E1272"/>
    <mergeCell ref="B587:B588"/>
    <mergeCell ref="A661:A662"/>
    <mergeCell ref="D1300:D1301"/>
    <mergeCell ref="B1283:B1284"/>
    <mergeCell ref="D34:D35"/>
    <mergeCell ref="E34:E35"/>
    <mergeCell ref="B36:B37"/>
    <mergeCell ref="B1537:D1537"/>
    <mergeCell ref="D724:D725"/>
    <mergeCell ref="E724:E725"/>
    <mergeCell ref="B1591:D1591"/>
    <mergeCell ref="E1613:E1614"/>
    <mergeCell ref="B1609:D1609"/>
    <mergeCell ref="B1627:D1627"/>
    <mergeCell ref="D867:D868"/>
    <mergeCell ref="D679:D680"/>
    <mergeCell ref="E679:E680"/>
    <mergeCell ref="B1277:B1278"/>
    <mergeCell ref="B387:B388"/>
    <mergeCell ref="D387:D388"/>
    <mergeCell ref="E387:E388"/>
    <mergeCell ref="E482:E483"/>
    <mergeCell ref="D1453:D1454"/>
    <mergeCell ref="D1345:D1346"/>
    <mergeCell ref="E1345:E1346"/>
    <mergeCell ref="D1428:D1429"/>
    <mergeCell ref="E1455:E1456"/>
    <mergeCell ref="B1443:E1443"/>
    <mergeCell ref="B1269:B1270"/>
    <mergeCell ref="D1281:D1282"/>
    <mergeCell ref="D1283:D1284"/>
    <mergeCell ref="E463:E464"/>
    <mergeCell ref="B867:B868"/>
    <mergeCell ref="E543:E544"/>
    <mergeCell ref="B545:B546"/>
    <mergeCell ref="D1308:D1309"/>
    <mergeCell ref="A581:A582"/>
    <mergeCell ref="B581:B582"/>
    <mergeCell ref="D581:D582"/>
    <mergeCell ref="E581:E582"/>
    <mergeCell ref="A583:A584"/>
    <mergeCell ref="B583:B584"/>
    <mergeCell ref="D583:D584"/>
    <mergeCell ref="E583:E584"/>
    <mergeCell ref="B764:B765"/>
    <mergeCell ref="D764:D765"/>
    <mergeCell ref="E764:E765"/>
    <mergeCell ref="A766:A767"/>
    <mergeCell ref="B766:B767"/>
    <mergeCell ref="D766:D767"/>
    <mergeCell ref="E766:E767"/>
    <mergeCell ref="A741:A742"/>
    <mergeCell ref="A820:A821"/>
    <mergeCell ref="B820:B821"/>
    <mergeCell ref="D820:D821"/>
    <mergeCell ref="E820:E821"/>
    <mergeCell ref="D589:D590"/>
    <mergeCell ref="D708:D709"/>
    <mergeCell ref="E708:E709"/>
    <mergeCell ref="A702:A703"/>
    <mergeCell ref="B702:B703"/>
    <mergeCell ref="D702:D703"/>
    <mergeCell ref="E702:E703"/>
    <mergeCell ref="B704:B705"/>
    <mergeCell ref="A724:A725"/>
    <mergeCell ref="B724:B725"/>
    <mergeCell ref="A726:A727"/>
    <mergeCell ref="B726:B727"/>
    <mergeCell ref="E726:E727"/>
    <mergeCell ref="A706:A707"/>
    <mergeCell ref="B706:B707"/>
    <mergeCell ref="D706:D707"/>
    <mergeCell ref="E706:E707"/>
    <mergeCell ref="E862:E863"/>
    <mergeCell ref="A867:A868"/>
    <mergeCell ref="A708:A709"/>
    <mergeCell ref="B708:B709"/>
    <mergeCell ref="A801:A802"/>
    <mergeCell ref="B801:B802"/>
    <mergeCell ref="D801:D802"/>
    <mergeCell ref="E801:E802"/>
    <mergeCell ref="A704:A705"/>
    <mergeCell ref="D704:D705"/>
    <mergeCell ref="E704:E705"/>
    <mergeCell ref="A764:A765"/>
    <mergeCell ref="E822:E823"/>
    <mergeCell ref="D743:D744"/>
    <mergeCell ref="E743:E744"/>
    <mergeCell ref="B743:B744"/>
    <mergeCell ref="B741:B742"/>
    <mergeCell ref="D561:D562"/>
    <mergeCell ref="E561:E562"/>
    <mergeCell ref="A563:A564"/>
    <mergeCell ref="B563:B564"/>
    <mergeCell ref="D563:D564"/>
    <mergeCell ref="E566:E567"/>
    <mergeCell ref="B559:C559"/>
    <mergeCell ref="A561:A562"/>
    <mergeCell ref="B561:B562"/>
    <mergeCell ref="B208:B209"/>
    <mergeCell ref="A208:A209"/>
    <mergeCell ref="A206:A207"/>
    <mergeCell ref="D206:D207"/>
    <mergeCell ref="D208:D209"/>
    <mergeCell ref="E206:E207"/>
    <mergeCell ref="E208:E209"/>
    <mergeCell ref="E339:E340"/>
    <mergeCell ref="A459:A460"/>
    <mergeCell ref="B459:B460"/>
    <mergeCell ref="D459:D460"/>
    <mergeCell ref="A461:A462"/>
    <mergeCell ref="B461:B462"/>
    <mergeCell ref="D461:D462"/>
    <mergeCell ref="E461:E462"/>
    <mergeCell ref="E405:E406"/>
    <mergeCell ref="A389:A390"/>
    <mergeCell ref="B389:B390"/>
    <mergeCell ref="D389:D390"/>
    <mergeCell ref="E389:E390"/>
    <mergeCell ref="B384:C384"/>
    <mergeCell ref="E210:E211"/>
    <mergeCell ref="A212:A213"/>
    <mergeCell ref="D1613:D1614"/>
    <mergeCell ref="D1631:D1632"/>
    <mergeCell ref="E1631:E1632"/>
    <mergeCell ref="D1651:D1652"/>
    <mergeCell ref="E1649:E1650"/>
    <mergeCell ref="E1651:E1652"/>
    <mergeCell ref="A1629:A1630"/>
    <mergeCell ref="B1629:B1630"/>
    <mergeCell ref="D1629:D1630"/>
    <mergeCell ref="E1629:E1630"/>
    <mergeCell ref="A1631:A1632"/>
    <mergeCell ref="B1631:B1632"/>
    <mergeCell ref="A901:A902"/>
    <mergeCell ref="B901:B902"/>
    <mergeCell ref="D901:D902"/>
    <mergeCell ref="E901:E902"/>
    <mergeCell ref="A903:A904"/>
    <mergeCell ref="B903:B904"/>
    <mergeCell ref="D903:D904"/>
    <mergeCell ref="E903:E904"/>
    <mergeCell ref="A920:A921"/>
    <mergeCell ref="B920:B921"/>
    <mergeCell ref="D920:D921"/>
    <mergeCell ref="E920:E921"/>
    <mergeCell ref="D1275:D1276"/>
    <mergeCell ref="E1275:E1276"/>
    <mergeCell ref="B1273:B1274"/>
    <mergeCell ref="A1273:A1274"/>
    <mergeCell ref="D1273:D1274"/>
    <mergeCell ref="E1273:E1274"/>
    <mergeCell ref="B1265:D1265"/>
    <mergeCell ref="B1312:B1313"/>
    <mergeCell ref="A1667:A1668"/>
    <mergeCell ref="B1667:B1668"/>
    <mergeCell ref="D1667:D1668"/>
    <mergeCell ref="E1667:E1668"/>
    <mergeCell ref="A1776:A1777"/>
    <mergeCell ref="B1776:B1777"/>
    <mergeCell ref="D1776:D1777"/>
    <mergeCell ref="E1776:E1777"/>
    <mergeCell ref="A1778:A1779"/>
    <mergeCell ref="B1778:B1779"/>
    <mergeCell ref="D1778:D1779"/>
    <mergeCell ref="E1778:E1779"/>
    <mergeCell ref="D1917:D1918"/>
    <mergeCell ref="E1917:E1918"/>
    <mergeCell ref="B1891:D1891"/>
    <mergeCell ref="E1543:E1544"/>
    <mergeCell ref="B1649:B1650"/>
    <mergeCell ref="B1651:B1652"/>
    <mergeCell ref="A1649:A1650"/>
    <mergeCell ref="A1651:A1652"/>
    <mergeCell ref="B1593:B1594"/>
    <mergeCell ref="D1593:D1594"/>
    <mergeCell ref="E1593:E1594"/>
    <mergeCell ref="A1595:A1596"/>
    <mergeCell ref="B1595:B1596"/>
    <mergeCell ref="D1595:D1596"/>
    <mergeCell ref="E1595:E1596"/>
    <mergeCell ref="A1611:A1612"/>
    <mergeCell ref="B1611:B1612"/>
    <mergeCell ref="D1611:D1612"/>
    <mergeCell ref="E1611:E1612"/>
    <mergeCell ref="A1613:A1614"/>
    <mergeCell ref="D2034:D2035"/>
    <mergeCell ref="E2034:E2035"/>
    <mergeCell ref="A2053:A2054"/>
    <mergeCell ref="B2053:B2054"/>
    <mergeCell ref="D2053:D2054"/>
    <mergeCell ref="E2053:E2054"/>
    <mergeCell ref="E1841:E1842"/>
    <mergeCell ref="A1853:H1853"/>
    <mergeCell ref="A1915:A1916"/>
    <mergeCell ref="B1915:B1916"/>
    <mergeCell ref="D1915:D1916"/>
    <mergeCell ref="E1915:E1916"/>
    <mergeCell ref="A1917:A1918"/>
    <mergeCell ref="B1917:B1918"/>
    <mergeCell ref="A1890:H1890"/>
    <mergeCell ref="B1809:C1809"/>
    <mergeCell ref="E1820:E1821"/>
    <mergeCell ref="E1822:E1823"/>
    <mergeCell ref="A1956:A1957"/>
    <mergeCell ref="B1956:B1957"/>
    <mergeCell ref="D1956:D1957"/>
    <mergeCell ref="E1956:E1957"/>
    <mergeCell ref="A1958:A1959"/>
    <mergeCell ref="B1958:B1959"/>
    <mergeCell ref="D1958:D1959"/>
    <mergeCell ref="E1958:E1959"/>
    <mergeCell ref="B2015:B2016"/>
    <mergeCell ref="A2015:A2016"/>
    <mergeCell ref="D2015:D2016"/>
    <mergeCell ref="E2015:E2016"/>
    <mergeCell ref="B1822:B1823"/>
    <mergeCell ref="A1822:A1823"/>
    <mergeCell ref="A645:A646"/>
    <mergeCell ref="B645:B646"/>
    <mergeCell ref="D645:D646"/>
    <mergeCell ref="E645:E646"/>
    <mergeCell ref="A783:A784"/>
    <mergeCell ref="B783:B784"/>
    <mergeCell ref="D783:D784"/>
    <mergeCell ref="E783:E784"/>
    <mergeCell ref="A785:A786"/>
    <mergeCell ref="B785:B786"/>
    <mergeCell ref="D785:D786"/>
    <mergeCell ref="E785:E786"/>
    <mergeCell ref="B781:C781"/>
    <mergeCell ref="A604:A605"/>
    <mergeCell ref="B604:B605"/>
    <mergeCell ref="D604:D605"/>
    <mergeCell ref="E604:E605"/>
    <mergeCell ref="A606:A607"/>
    <mergeCell ref="B606:B607"/>
    <mergeCell ref="D606:D607"/>
    <mergeCell ref="E606:E607"/>
    <mergeCell ref="A624:A625"/>
    <mergeCell ref="B624:B625"/>
    <mergeCell ref="D624:D625"/>
    <mergeCell ref="E624:E625"/>
    <mergeCell ref="A626:A627"/>
    <mergeCell ref="B626:B627"/>
    <mergeCell ref="D626:D627"/>
    <mergeCell ref="E626:E627"/>
    <mergeCell ref="D643:D644"/>
    <mergeCell ref="E643:E644"/>
    <mergeCell ref="D726:D727"/>
  </mergeCells>
  <printOptions horizontalCentered="1"/>
  <pageMargins left="0.19685039370078741" right="0.19685039370078741" top="0.78740157480314965" bottom="0.19685039370078741" header="0" footer="0"/>
  <pageSetup paperSize="9" scale="74" orientation="portrait" horizontalDpi="300" verticalDpi="300" r:id="rId1"/>
  <headerFooter alignWithMargins="0"/>
  <rowBreaks count="21" manualBreakCount="21">
    <brk id="44" max="7" man="1"/>
    <brk id="59" max="7" man="1"/>
    <brk id="1291" max="7" man="1"/>
    <brk id="1495" max="7" man="1"/>
    <brk id="1675" max="7" man="1"/>
    <brk id="1902" max="7" man="1"/>
    <brk id="2046" max="7" man="1"/>
    <brk id="2128" max="7" man="1"/>
    <brk id="2177" max="7" man="1"/>
    <brk id="2230" max="7" man="1"/>
    <brk id="2281" max="7" man="1"/>
    <brk id="2344" max="7" man="1"/>
    <brk id="2438" max="7" man="1"/>
    <brk id="2506" max="7" man="1"/>
    <brk id="2585" max="7" man="1"/>
    <brk id="2659" max="7" man="1"/>
    <brk id="2706" max="7" man="1"/>
    <brk id="2753" max="7" man="1"/>
    <brk id="2810" max="7" man="1"/>
    <brk id="2883" max="7" man="1"/>
    <brk id="2949" max="7" man="1"/>
  </rowBreaks>
  <ignoredErrors>
    <ignoredError sqref="G863 G500:G502 G662:G664" formula="1"/>
    <ignoredError sqref="J1820:J1823 J1812:J1815 K665 K666:K667 K685:K68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85"/>
  <sheetViews>
    <sheetView showGridLines="0" view="pageBreakPreview" topLeftCell="A1949" zoomScale="115" zoomScaleSheetLayoutView="115" workbookViewId="0">
      <selection activeCell="E1978" sqref="E1978:E1981"/>
    </sheetView>
  </sheetViews>
  <sheetFormatPr defaultRowHeight="11.25"/>
  <cols>
    <col min="1" max="1" width="11.5703125" style="170" customWidth="1"/>
    <col min="2" max="2" width="36.7109375" style="193" customWidth="1"/>
    <col min="3" max="3" width="6.42578125" style="425" customWidth="1"/>
    <col min="4" max="4" width="6.85546875" style="173" customWidth="1"/>
    <col min="5" max="5" width="8.7109375" style="170" customWidth="1"/>
    <col min="6" max="6" width="12.85546875" style="193" customWidth="1"/>
    <col min="7" max="7" width="16.140625" style="193" customWidth="1"/>
    <col min="8" max="8" width="9.42578125" style="193" customWidth="1"/>
    <col min="9" max="9" width="7.7109375" style="170" customWidth="1"/>
    <col min="10" max="250" width="9.140625" style="170"/>
    <col min="251" max="251" width="5.85546875" style="170" customWidth="1"/>
    <col min="252" max="252" width="50.42578125" style="170" customWidth="1"/>
    <col min="253" max="256" width="7.7109375" style="170" customWidth="1"/>
    <col min="257" max="257" width="10.140625" style="170" customWidth="1"/>
    <col min="258" max="261" width="7.7109375" style="170" customWidth="1"/>
    <col min="262" max="262" width="31.7109375" style="170" bestFit="1" customWidth="1"/>
    <col min="263" max="506" width="9.140625" style="170"/>
    <col min="507" max="507" width="5.85546875" style="170" customWidth="1"/>
    <col min="508" max="508" width="50.42578125" style="170" customWidth="1"/>
    <col min="509" max="512" width="7.7109375" style="170" customWidth="1"/>
    <col min="513" max="513" width="10.140625" style="170" customWidth="1"/>
    <col min="514" max="517" width="7.7109375" style="170" customWidth="1"/>
    <col min="518" max="518" width="31.7109375" style="170" bestFit="1" customWidth="1"/>
    <col min="519" max="762" width="9.140625" style="170"/>
    <col min="763" max="763" width="5.85546875" style="170" customWidth="1"/>
    <col min="764" max="764" width="50.42578125" style="170" customWidth="1"/>
    <col min="765" max="768" width="7.7109375" style="170" customWidth="1"/>
    <col min="769" max="769" width="10.140625" style="170" customWidth="1"/>
    <col min="770" max="773" width="7.7109375" style="170" customWidth="1"/>
    <col min="774" max="774" width="31.7109375" style="170" bestFit="1" customWidth="1"/>
    <col min="775" max="1018" width="9.140625" style="170"/>
    <col min="1019" max="1019" width="5.85546875" style="170" customWidth="1"/>
    <col min="1020" max="1020" width="50.42578125" style="170" customWidth="1"/>
    <col min="1021" max="1024" width="7.7109375" style="170" customWidth="1"/>
    <col min="1025" max="1025" width="10.140625" style="170" customWidth="1"/>
    <col min="1026" max="1029" width="7.7109375" style="170" customWidth="1"/>
    <col min="1030" max="1030" width="31.7109375" style="170" bestFit="1" customWidth="1"/>
    <col min="1031" max="1274" width="9.140625" style="170"/>
    <col min="1275" max="1275" width="5.85546875" style="170" customWidth="1"/>
    <col min="1276" max="1276" width="50.42578125" style="170" customWidth="1"/>
    <col min="1277" max="1280" width="7.7109375" style="170" customWidth="1"/>
    <col min="1281" max="1281" width="10.140625" style="170" customWidth="1"/>
    <col min="1282" max="1285" width="7.7109375" style="170" customWidth="1"/>
    <col min="1286" max="1286" width="31.7109375" style="170" bestFit="1" customWidth="1"/>
    <col min="1287" max="1530" width="9.140625" style="170"/>
    <col min="1531" max="1531" width="5.85546875" style="170" customWidth="1"/>
    <col min="1532" max="1532" width="50.42578125" style="170" customWidth="1"/>
    <col min="1533" max="1536" width="7.7109375" style="170" customWidth="1"/>
    <col min="1537" max="1537" width="10.140625" style="170" customWidth="1"/>
    <col min="1538" max="1541" width="7.7109375" style="170" customWidth="1"/>
    <col min="1542" max="1542" width="31.7109375" style="170" bestFit="1" customWidth="1"/>
    <col min="1543" max="1786" width="9.140625" style="170"/>
    <col min="1787" max="1787" width="5.85546875" style="170" customWidth="1"/>
    <col min="1788" max="1788" width="50.42578125" style="170" customWidth="1"/>
    <col min="1789" max="1792" width="7.7109375" style="170" customWidth="1"/>
    <col min="1793" max="1793" width="10.140625" style="170" customWidth="1"/>
    <col min="1794" max="1797" width="7.7109375" style="170" customWidth="1"/>
    <col min="1798" max="1798" width="31.7109375" style="170" bestFit="1" customWidth="1"/>
    <col min="1799" max="2042" width="9.140625" style="170"/>
    <col min="2043" max="2043" width="5.85546875" style="170" customWidth="1"/>
    <col min="2044" max="2044" width="50.42578125" style="170" customWidth="1"/>
    <col min="2045" max="2048" width="7.7109375" style="170" customWidth="1"/>
    <col min="2049" max="2049" width="10.140625" style="170" customWidth="1"/>
    <col min="2050" max="2053" width="7.7109375" style="170" customWidth="1"/>
    <col min="2054" max="2054" width="31.7109375" style="170" bestFit="1" customWidth="1"/>
    <col min="2055" max="2298" width="9.140625" style="170"/>
    <col min="2299" max="2299" width="5.85546875" style="170" customWidth="1"/>
    <col min="2300" max="2300" width="50.42578125" style="170" customWidth="1"/>
    <col min="2301" max="2304" width="7.7109375" style="170" customWidth="1"/>
    <col min="2305" max="2305" width="10.140625" style="170" customWidth="1"/>
    <col min="2306" max="2309" width="7.7109375" style="170" customWidth="1"/>
    <col min="2310" max="2310" width="31.7109375" style="170" bestFit="1" customWidth="1"/>
    <col min="2311" max="2554" width="9.140625" style="170"/>
    <col min="2555" max="2555" width="5.85546875" style="170" customWidth="1"/>
    <col min="2556" max="2556" width="50.42578125" style="170" customWidth="1"/>
    <col min="2557" max="2560" width="7.7109375" style="170" customWidth="1"/>
    <col min="2561" max="2561" width="10.140625" style="170" customWidth="1"/>
    <col min="2562" max="2565" width="7.7109375" style="170" customWidth="1"/>
    <col min="2566" max="2566" width="31.7109375" style="170" bestFit="1" customWidth="1"/>
    <col min="2567" max="2810" width="9.140625" style="170"/>
    <col min="2811" max="2811" width="5.85546875" style="170" customWidth="1"/>
    <col min="2812" max="2812" width="50.42578125" style="170" customWidth="1"/>
    <col min="2813" max="2816" width="7.7109375" style="170" customWidth="1"/>
    <col min="2817" max="2817" width="10.140625" style="170" customWidth="1"/>
    <col min="2818" max="2821" width="7.7109375" style="170" customWidth="1"/>
    <col min="2822" max="2822" width="31.7109375" style="170" bestFit="1" customWidth="1"/>
    <col min="2823" max="3066" width="9.140625" style="170"/>
    <col min="3067" max="3067" width="5.85546875" style="170" customWidth="1"/>
    <col min="3068" max="3068" width="50.42578125" style="170" customWidth="1"/>
    <col min="3069" max="3072" width="7.7109375" style="170" customWidth="1"/>
    <col min="3073" max="3073" width="10.140625" style="170" customWidth="1"/>
    <col min="3074" max="3077" width="7.7109375" style="170" customWidth="1"/>
    <col min="3078" max="3078" width="31.7109375" style="170" bestFit="1" customWidth="1"/>
    <col min="3079" max="3322" width="9.140625" style="170"/>
    <col min="3323" max="3323" width="5.85546875" style="170" customWidth="1"/>
    <col min="3324" max="3324" width="50.42578125" style="170" customWidth="1"/>
    <col min="3325" max="3328" width="7.7109375" style="170" customWidth="1"/>
    <col min="3329" max="3329" width="10.140625" style="170" customWidth="1"/>
    <col min="3330" max="3333" width="7.7109375" style="170" customWidth="1"/>
    <col min="3334" max="3334" width="31.7109375" style="170" bestFit="1" customWidth="1"/>
    <col min="3335" max="3578" width="9.140625" style="170"/>
    <col min="3579" max="3579" width="5.85546875" style="170" customWidth="1"/>
    <col min="3580" max="3580" width="50.42578125" style="170" customWidth="1"/>
    <col min="3581" max="3584" width="7.7109375" style="170" customWidth="1"/>
    <col min="3585" max="3585" width="10.140625" style="170" customWidth="1"/>
    <col min="3586" max="3589" width="7.7109375" style="170" customWidth="1"/>
    <col min="3590" max="3590" width="31.7109375" style="170" bestFit="1" customWidth="1"/>
    <col min="3591" max="3834" width="9.140625" style="170"/>
    <col min="3835" max="3835" width="5.85546875" style="170" customWidth="1"/>
    <col min="3836" max="3836" width="50.42578125" style="170" customWidth="1"/>
    <col min="3837" max="3840" width="7.7109375" style="170" customWidth="1"/>
    <col min="3841" max="3841" width="10.140625" style="170" customWidth="1"/>
    <col min="3842" max="3845" width="7.7109375" style="170" customWidth="1"/>
    <col min="3846" max="3846" width="31.7109375" style="170" bestFit="1" customWidth="1"/>
    <col min="3847" max="4090" width="9.140625" style="170"/>
    <col min="4091" max="4091" width="5.85546875" style="170" customWidth="1"/>
    <col min="4092" max="4092" width="50.42578125" style="170" customWidth="1"/>
    <col min="4093" max="4096" width="7.7109375" style="170" customWidth="1"/>
    <col min="4097" max="4097" width="10.140625" style="170" customWidth="1"/>
    <col min="4098" max="4101" width="7.7109375" style="170" customWidth="1"/>
    <col min="4102" max="4102" width="31.7109375" style="170" bestFit="1" customWidth="1"/>
    <col min="4103" max="4346" width="9.140625" style="170"/>
    <col min="4347" max="4347" width="5.85546875" style="170" customWidth="1"/>
    <col min="4348" max="4348" width="50.42578125" style="170" customWidth="1"/>
    <col min="4349" max="4352" width="7.7109375" style="170" customWidth="1"/>
    <col min="4353" max="4353" width="10.140625" style="170" customWidth="1"/>
    <col min="4354" max="4357" width="7.7109375" style="170" customWidth="1"/>
    <col min="4358" max="4358" width="31.7109375" style="170" bestFit="1" customWidth="1"/>
    <col min="4359" max="4602" width="9.140625" style="170"/>
    <col min="4603" max="4603" width="5.85546875" style="170" customWidth="1"/>
    <col min="4604" max="4604" width="50.42578125" style="170" customWidth="1"/>
    <col min="4605" max="4608" width="7.7109375" style="170" customWidth="1"/>
    <col min="4609" max="4609" width="10.140625" style="170" customWidth="1"/>
    <col min="4610" max="4613" width="7.7109375" style="170" customWidth="1"/>
    <col min="4614" max="4614" width="31.7109375" style="170" bestFit="1" customWidth="1"/>
    <col min="4615" max="4858" width="9.140625" style="170"/>
    <col min="4859" max="4859" width="5.85546875" style="170" customWidth="1"/>
    <col min="4860" max="4860" width="50.42578125" style="170" customWidth="1"/>
    <col min="4861" max="4864" width="7.7109375" style="170" customWidth="1"/>
    <col min="4865" max="4865" width="10.140625" style="170" customWidth="1"/>
    <col min="4866" max="4869" width="7.7109375" style="170" customWidth="1"/>
    <col min="4870" max="4870" width="31.7109375" style="170" bestFit="1" customWidth="1"/>
    <col min="4871" max="5114" width="9.140625" style="170"/>
    <col min="5115" max="5115" width="5.85546875" style="170" customWidth="1"/>
    <col min="5116" max="5116" width="50.42578125" style="170" customWidth="1"/>
    <col min="5117" max="5120" width="7.7109375" style="170" customWidth="1"/>
    <col min="5121" max="5121" width="10.140625" style="170" customWidth="1"/>
    <col min="5122" max="5125" width="7.7109375" style="170" customWidth="1"/>
    <col min="5126" max="5126" width="31.7109375" style="170" bestFit="1" customWidth="1"/>
    <col min="5127" max="5370" width="9.140625" style="170"/>
    <col min="5371" max="5371" width="5.85546875" style="170" customWidth="1"/>
    <col min="5372" max="5372" width="50.42578125" style="170" customWidth="1"/>
    <col min="5373" max="5376" width="7.7109375" style="170" customWidth="1"/>
    <col min="5377" max="5377" width="10.140625" style="170" customWidth="1"/>
    <col min="5378" max="5381" width="7.7109375" style="170" customWidth="1"/>
    <col min="5382" max="5382" width="31.7109375" style="170" bestFit="1" customWidth="1"/>
    <col min="5383" max="5626" width="9.140625" style="170"/>
    <col min="5627" max="5627" width="5.85546875" style="170" customWidth="1"/>
    <col min="5628" max="5628" width="50.42578125" style="170" customWidth="1"/>
    <col min="5629" max="5632" width="7.7109375" style="170" customWidth="1"/>
    <col min="5633" max="5633" width="10.140625" style="170" customWidth="1"/>
    <col min="5634" max="5637" width="7.7109375" style="170" customWidth="1"/>
    <col min="5638" max="5638" width="31.7109375" style="170" bestFit="1" customWidth="1"/>
    <col min="5639" max="5882" width="9.140625" style="170"/>
    <col min="5883" max="5883" width="5.85546875" style="170" customWidth="1"/>
    <col min="5884" max="5884" width="50.42578125" style="170" customWidth="1"/>
    <col min="5885" max="5888" width="7.7109375" style="170" customWidth="1"/>
    <col min="5889" max="5889" width="10.140625" style="170" customWidth="1"/>
    <col min="5890" max="5893" width="7.7109375" style="170" customWidth="1"/>
    <col min="5894" max="5894" width="31.7109375" style="170" bestFit="1" customWidth="1"/>
    <col min="5895" max="6138" width="9.140625" style="170"/>
    <col min="6139" max="6139" width="5.85546875" style="170" customWidth="1"/>
    <col min="6140" max="6140" width="50.42578125" style="170" customWidth="1"/>
    <col min="6141" max="6144" width="7.7109375" style="170" customWidth="1"/>
    <col min="6145" max="6145" width="10.140625" style="170" customWidth="1"/>
    <col min="6146" max="6149" width="7.7109375" style="170" customWidth="1"/>
    <col min="6150" max="6150" width="31.7109375" style="170" bestFit="1" customWidth="1"/>
    <col min="6151" max="6394" width="9.140625" style="170"/>
    <col min="6395" max="6395" width="5.85546875" style="170" customWidth="1"/>
    <col min="6396" max="6396" width="50.42578125" style="170" customWidth="1"/>
    <col min="6397" max="6400" width="7.7109375" style="170" customWidth="1"/>
    <col min="6401" max="6401" width="10.140625" style="170" customWidth="1"/>
    <col min="6402" max="6405" width="7.7109375" style="170" customWidth="1"/>
    <col min="6406" max="6406" width="31.7109375" style="170" bestFit="1" customWidth="1"/>
    <col min="6407" max="6650" width="9.140625" style="170"/>
    <col min="6651" max="6651" width="5.85546875" style="170" customWidth="1"/>
    <col min="6652" max="6652" width="50.42578125" style="170" customWidth="1"/>
    <col min="6653" max="6656" width="7.7109375" style="170" customWidth="1"/>
    <col min="6657" max="6657" width="10.140625" style="170" customWidth="1"/>
    <col min="6658" max="6661" width="7.7109375" style="170" customWidth="1"/>
    <col min="6662" max="6662" width="31.7109375" style="170" bestFit="1" customWidth="1"/>
    <col min="6663" max="6906" width="9.140625" style="170"/>
    <col min="6907" max="6907" width="5.85546875" style="170" customWidth="1"/>
    <col min="6908" max="6908" width="50.42578125" style="170" customWidth="1"/>
    <col min="6909" max="6912" width="7.7109375" style="170" customWidth="1"/>
    <col min="6913" max="6913" width="10.140625" style="170" customWidth="1"/>
    <col min="6914" max="6917" width="7.7109375" style="170" customWidth="1"/>
    <col min="6918" max="6918" width="31.7109375" style="170" bestFit="1" customWidth="1"/>
    <col min="6919" max="7162" width="9.140625" style="170"/>
    <col min="7163" max="7163" width="5.85546875" style="170" customWidth="1"/>
    <col min="7164" max="7164" width="50.42578125" style="170" customWidth="1"/>
    <col min="7165" max="7168" width="7.7109375" style="170" customWidth="1"/>
    <col min="7169" max="7169" width="10.140625" style="170" customWidth="1"/>
    <col min="7170" max="7173" width="7.7109375" style="170" customWidth="1"/>
    <col min="7174" max="7174" width="31.7109375" style="170" bestFit="1" customWidth="1"/>
    <col min="7175" max="7418" width="9.140625" style="170"/>
    <col min="7419" max="7419" width="5.85546875" style="170" customWidth="1"/>
    <col min="7420" max="7420" width="50.42578125" style="170" customWidth="1"/>
    <col min="7421" max="7424" width="7.7109375" style="170" customWidth="1"/>
    <col min="7425" max="7425" width="10.140625" style="170" customWidth="1"/>
    <col min="7426" max="7429" width="7.7109375" style="170" customWidth="1"/>
    <col min="7430" max="7430" width="31.7109375" style="170" bestFit="1" customWidth="1"/>
    <col min="7431" max="7674" width="9.140625" style="170"/>
    <col min="7675" max="7675" width="5.85546875" style="170" customWidth="1"/>
    <col min="7676" max="7676" width="50.42578125" style="170" customWidth="1"/>
    <col min="7677" max="7680" width="7.7109375" style="170" customWidth="1"/>
    <col min="7681" max="7681" width="10.140625" style="170" customWidth="1"/>
    <col min="7682" max="7685" width="7.7109375" style="170" customWidth="1"/>
    <col min="7686" max="7686" width="31.7109375" style="170" bestFit="1" customWidth="1"/>
    <col min="7687" max="7930" width="9.140625" style="170"/>
    <col min="7931" max="7931" width="5.85546875" style="170" customWidth="1"/>
    <col min="7932" max="7932" width="50.42578125" style="170" customWidth="1"/>
    <col min="7933" max="7936" width="7.7109375" style="170" customWidth="1"/>
    <col min="7937" max="7937" width="10.140625" style="170" customWidth="1"/>
    <col min="7938" max="7941" width="7.7109375" style="170" customWidth="1"/>
    <col min="7942" max="7942" width="31.7109375" style="170" bestFit="1" customWidth="1"/>
    <col min="7943" max="8186" width="9.140625" style="170"/>
    <col min="8187" max="8187" width="5.85546875" style="170" customWidth="1"/>
    <col min="8188" max="8188" width="50.42578125" style="170" customWidth="1"/>
    <col min="8189" max="8192" width="7.7109375" style="170" customWidth="1"/>
    <col min="8193" max="8193" width="10.140625" style="170" customWidth="1"/>
    <col min="8194" max="8197" width="7.7109375" style="170" customWidth="1"/>
    <col min="8198" max="8198" width="31.7109375" style="170" bestFit="1" customWidth="1"/>
    <col min="8199" max="8442" width="9.140625" style="170"/>
    <col min="8443" max="8443" width="5.85546875" style="170" customWidth="1"/>
    <col min="8444" max="8444" width="50.42578125" style="170" customWidth="1"/>
    <col min="8445" max="8448" width="7.7109375" style="170" customWidth="1"/>
    <col min="8449" max="8449" width="10.140625" style="170" customWidth="1"/>
    <col min="8450" max="8453" width="7.7109375" style="170" customWidth="1"/>
    <col min="8454" max="8454" width="31.7109375" style="170" bestFit="1" customWidth="1"/>
    <col min="8455" max="8698" width="9.140625" style="170"/>
    <col min="8699" max="8699" width="5.85546875" style="170" customWidth="1"/>
    <col min="8700" max="8700" width="50.42578125" style="170" customWidth="1"/>
    <col min="8701" max="8704" width="7.7109375" style="170" customWidth="1"/>
    <col min="8705" max="8705" width="10.140625" style="170" customWidth="1"/>
    <col min="8706" max="8709" width="7.7109375" style="170" customWidth="1"/>
    <col min="8710" max="8710" width="31.7109375" style="170" bestFit="1" customWidth="1"/>
    <col min="8711" max="8954" width="9.140625" style="170"/>
    <col min="8955" max="8955" width="5.85546875" style="170" customWidth="1"/>
    <col min="8956" max="8956" width="50.42578125" style="170" customWidth="1"/>
    <col min="8957" max="8960" width="7.7109375" style="170" customWidth="1"/>
    <col min="8961" max="8961" width="10.140625" style="170" customWidth="1"/>
    <col min="8962" max="8965" width="7.7109375" style="170" customWidth="1"/>
    <col min="8966" max="8966" width="31.7109375" style="170" bestFit="1" customWidth="1"/>
    <col min="8967" max="9210" width="9.140625" style="170"/>
    <col min="9211" max="9211" width="5.85546875" style="170" customWidth="1"/>
    <col min="9212" max="9212" width="50.42578125" style="170" customWidth="1"/>
    <col min="9213" max="9216" width="7.7109375" style="170" customWidth="1"/>
    <col min="9217" max="9217" width="10.140625" style="170" customWidth="1"/>
    <col min="9218" max="9221" width="7.7109375" style="170" customWidth="1"/>
    <col min="9222" max="9222" width="31.7109375" style="170" bestFit="1" customWidth="1"/>
    <col min="9223" max="9466" width="9.140625" style="170"/>
    <col min="9467" max="9467" width="5.85546875" style="170" customWidth="1"/>
    <col min="9468" max="9468" width="50.42578125" style="170" customWidth="1"/>
    <col min="9469" max="9472" width="7.7109375" style="170" customWidth="1"/>
    <col min="9473" max="9473" width="10.140625" style="170" customWidth="1"/>
    <col min="9474" max="9477" width="7.7109375" style="170" customWidth="1"/>
    <col min="9478" max="9478" width="31.7109375" style="170" bestFit="1" customWidth="1"/>
    <col min="9479" max="9722" width="9.140625" style="170"/>
    <col min="9723" max="9723" width="5.85546875" style="170" customWidth="1"/>
    <col min="9724" max="9724" width="50.42578125" style="170" customWidth="1"/>
    <col min="9725" max="9728" width="7.7109375" style="170" customWidth="1"/>
    <col min="9729" max="9729" width="10.140625" style="170" customWidth="1"/>
    <col min="9730" max="9733" width="7.7109375" style="170" customWidth="1"/>
    <col min="9734" max="9734" width="31.7109375" style="170" bestFit="1" customWidth="1"/>
    <col min="9735" max="9978" width="9.140625" style="170"/>
    <col min="9979" max="9979" width="5.85546875" style="170" customWidth="1"/>
    <col min="9980" max="9980" width="50.42578125" style="170" customWidth="1"/>
    <col min="9981" max="9984" width="7.7109375" style="170" customWidth="1"/>
    <col min="9985" max="9985" width="10.140625" style="170" customWidth="1"/>
    <col min="9986" max="9989" width="7.7109375" style="170" customWidth="1"/>
    <col min="9990" max="9990" width="31.7109375" style="170" bestFit="1" customWidth="1"/>
    <col min="9991" max="10234" width="9.140625" style="170"/>
    <col min="10235" max="10235" width="5.85546875" style="170" customWidth="1"/>
    <col min="10236" max="10236" width="50.42578125" style="170" customWidth="1"/>
    <col min="10237" max="10240" width="7.7109375" style="170" customWidth="1"/>
    <col min="10241" max="10241" width="10.140625" style="170" customWidth="1"/>
    <col min="10242" max="10245" width="7.7109375" style="170" customWidth="1"/>
    <col min="10246" max="10246" width="31.7109375" style="170" bestFit="1" customWidth="1"/>
    <col min="10247" max="10490" width="9.140625" style="170"/>
    <col min="10491" max="10491" width="5.85546875" style="170" customWidth="1"/>
    <col min="10492" max="10492" width="50.42578125" style="170" customWidth="1"/>
    <col min="10493" max="10496" width="7.7109375" style="170" customWidth="1"/>
    <col min="10497" max="10497" width="10.140625" style="170" customWidth="1"/>
    <col min="10498" max="10501" width="7.7109375" style="170" customWidth="1"/>
    <col min="10502" max="10502" width="31.7109375" style="170" bestFit="1" customWidth="1"/>
    <col min="10503" max="10746" width="9.140625" style="170"/>
    <col min="10747" max="10747" width="5.85546875" style="170" customWidth="1"/>
    <col min="10748" max="10748" width="50.42578125" style="170" customWidth="1"/>
    <col min="10749" max="10752" width="7.7109375" style="170" customWidth="1"/>
    <col min="10753" max="10753" width="10.140625" style="170" customWidth="1"/>
    <col min="10754" max="10757" width="7.7109375" style="170" customWidth="1"/>
    <col min="10758" max="10758" width="31.7109375" style="170" bestFit="1" customWidth="1"/>
    <col min="10759" max="11002" width="9.140625" style="170"/>
    <col min="11003" max="11003" width="5.85546875" style="170" customWidth="1"/>
    <col min="11004" max="11004" width="50.42578125" style="170" customWidth="1"/>
    <col min="11005" max="11008" width="7.7109375" style="170" customWidth="1"/>
    <col min="11009" max="11009" width="10.140625" style="170" customWidth="1"/>
    <col min="11010" max="11013" width="7.7109375" style="170" customWidth="1"/>
    <col min="11014" max="11014" width="31.7109375" style="170" bestFit="1" customWidth="1"/>
    <col min="11015" max="11258" width="9.140625" style="170"/>
    <col min="11259" max="11259" width="5.85546875" style="170" customWidth="1"/>
    <col min="11260" max="11260" width="50.42578125" style="170" customWidth="1"/>
    <col min="11261" max="11264" width="7.7109375" style="170" customWidth="1"/>
    <col min="11265" max="11265" width="10.140625" style="170" customWidth="1"/>
    <col min="11266" max="11269" width="7.7109375" style="170" customWidth="1"/>
    <col min="11270" max="11270" width="31.7109375" style="170" bestFit="1" customWidth="1"/>
    <col min="11271" max="11514" width="9.140625" style="170"/>
    <col min="11515" max="11515" width="5.85546875" style="170" customWidth="1"/>
    <col min="11516" max="11516" width="50.42578125" style="170" customWidth="1"/>
    <col min="11517" max="11520" width="7.7109375" style="170" customWidth="1"/>
    <col min="11521" max="11521" width="10.140625" style="170" customWidth="1"/>
    <col min="11522" max="11525" width="7.7109375" style="170" customWidth="1"/>
    <col min="11526" max="11526" width="31.7109375" style="170" bestFit="1" customWidth="1"/>
    <col min="11527" max="11770" width="9.140625" style="170"/>
    <col min="11771" max="11771" width="5.85546875" style="170" customWidth="1"/>
    <col min="11772" max="11772" width="50.42578125" style="170" customWidth="1"/>
    <col min="11773" max="11776" width="7.7109375" style="170" customWidth="1"/>
    <col min="11777" max="11777" width="10.140625" style="170" customWidth="1"/>
    <col min="11778" max="11781" width="7.7109375" style="170" customWidth="1"/>
    <col min="11782" max="11782" width="31.7109375" style="170" bestFit="1" customWidth="1"/>
    <col min="11783" max="12026" width="9.140625" style="170"/>
    <col min="12027" max="12027" width="5.85546875" style="170" customWidth="1"/>
    <col min="12028" max="12028" width="50.42578125" style="170" customWidth="1"/>
    <col min="12029" max="12032" width="7.7109375" style="170" customWidth="1"/>
    <col min="12033" max="12033" width="10.140625" style="170" customWidth="1"/>
    <col min="12034" max="12037" width="7.7109375" style="170" customWidth="1"/>
    <col min="12038" max="12038" width="31.7109375" style="170" bestFit="1" customWidth="1"/>
    <col min="12039" max="12282" width="9.140625" style="170"/>
    <col min="12283" max="12283" width="5.85546875" style="170" customWidth="1"/>
    <col min="12284" max="12284" width="50.42578125" style="170" customWidth="1"/>
    <col min="12285" max="12288" width="7.7109375" style="170" customWidth="1"/>
    <col min="12289" max="12289" width="10.140625" style="170" customWidth="1"/>
    <col min="12290" max="12293" width="7.7109375" style="170" customWidth="1"/>
    <col min="12294" max="12294" width="31.7109375" style="170" bestFit="1" customWidth="1"/>
    <col min="12295" max="12538" width="9.140625" style="170"/>
    <col min="12539" max="12539" width="5.85546875" style="170" customWidth="1"/>
    <col min="12540" max="12540" width="50.42578125" style="170" customWidth="1"/>
    <col min="12541" max="12544" width="7.7109375" style="170" customWidth="1"/>
    <col min="12545" max="12545" width="10.140625" style="170" customWidth="1"/>
    <col min="12546" max="12549" width="7.7109375" style="170" customWidth="1"/>
    <col min="12550" max="12550" width="31.7109375" style="170" bestFit="1" customWidth="1"/>
    <col min="12551" max="12794" width="9.140625" style="170"/>
    <col min="12795" max="12795" width="5.85546875" style="170" customWidth="1"/>
    <col min="12796" max="12796" width="50.42578125" style="170" customWidth="1"/>
    <col min="12797" max="12800" width="7.7109375" style="170" customWidth="1"/>
    <col min="12801" max="12801" width="10.140625" style="170" customWidth="1"/>
    <col min="12802" max="12805" width="7.7109375" style="170" customWidth="1"/>
    <col min="12806" max="12806" width="31.7109375" style="170" bestFit="1" customWidth="1"/>
    <col min="12807" max="13050" width="9.140625" style="170"/>
    <col min="13051" max="13051" width="5.85546875" style="170" customWidth="1"/>
    <col min="13052" max="13052" width="50.42578125" style="170" customWidth="1"/>
    <col min="13053" max="13056" width="7.7109375" style="170" customWidth="1"/>
    <col min="13057" max="13057" width="10.140625" style="170" customWidth="1"/>
    <col min="13058" max="13061" width="7.7109375" style="170" customWidth="1"/>
    <col min="13062" max="13062" width="31.7109375" style="170" bestFit="1" customWidth="1"/>
    <col min="13063" max="13306" width="9.140625" style="170"/>
    <col min="13307" max="13307" width="5.85546875" style="170" customWidth="1"/>
    <col min="13308" max="13308" width="50.42578125" style="170" customWidth="1"/>
    <col min="13309" max="13312" width="7.7109375" style="170" customWidth="1"/>
    <col min="13313" max="13313" width="10.140625" style="170" customWidth="1"/>
    <col min="13314" max="13317" width="7.7109375" style="170" customWidth="1"/>
    <col min="13318" max="13318" width="31.7109375" style="170" bestFit="1" customWidth="1"/>
    <col min="13319" max="13562" width="9.140625" style="170"/>
    <col min="13563" max="13563" width="5.85546875" style="170" customWidth="1"/>
    <col min="13564" max="13564" width="50.42578125" style="170" customWidth="1"/>
    <col min="13565" max="13568" width="7.7109375" style="170" customWidth="1"/>
    <col min="13569" max="13569" width="10.140625" style="170" customWidth="1"/>
    <col min="13570" max="13573" width="7.7109375" style="170" customWidth="1"/>
    <col min="13574" max="13574" width="31.7109375" style="170" bestFit="1" customWidth="1"/>
    <col min="13575" max="13818" width="9.140625" style="170"/>
    <col min="13819" max="13819" width="5.85546875" style="170" customWidth="1"/>
    <col min="13820" max="13820" width="50.42578125" style="170" customWidth="1"/>
    <col min="13821" max="13824" width="7.7109375" style="170" customWidth="1"/>
    <col min="13825" max="13825" width="10.140625" style="170" customWidth="1"/>
    <col min="13826" max="13829" width="7.7109375" style="170" customWidth="1"/>
    <col min="13830" max="13830" width="31.7109375" style="170" bestFit="1" customWidth="1"/>
    <col min="13831" max="14074" width="9.140625" style="170"/>
    <col min="14075" max="14075" width="5.85546875" style="170" customWidth="1"/>
    <col min="14076" max="14076" width="50.42578125" style="170" customWidth="1"/>
    <col min="14077" max="14080" width="7.7109375" style="170" customWidth="1"/>
    <col min="14081" max="14081" width="10.140625" style="170" customWidth="1"/>
    <col min="14082" max="14085" width="7.7109375" style="170" customWidth="1"/>
    <col min="14086" max="14086" width="31.7109375" style="170" bestFit="1" customWidth="1"/>
    <col min="14087" max="14330" width="9.140625" style="170"/>
    <col min="14331" max="14331" width="5.85546875" style="170" customWidth="1"/>
    <col min="14332" max="14332" width="50.42578125" style="170" customWidth="1"/>
    <col min="14333" max="14336" width="7.7109375" style="170" customWidth="1"/>
    <col min="14337" max="14337" width="10.140625" style="170" customWidth="1"/>
    <col min="14338" max="14341" width="7.7109375" style="170" customWidth="1"/>
    <col min="14342" max="14342" width="31.7109375" style="170" bestFit="1" customWidth="1"/>
    <col min="14343" max="14586" width="9.140625" style="170"/>
    <col min="14587" max="14587" width="5.85546875" style="170" customWidth="1"/>
    <col min="14588" max="14588" width="50.42578125" style="170" customWidth="1"/>
    <col min="14589" max="14592" width="7.7109375" style="170" customWidth="1"/>
    <col min="14593" max="14593" width="10.140625" style="170" customWidth="1"/>
    <col min="14594" max="14597" width="7.7109375" style="170" customWidth="1"/>
    <col min="14598" max="14598" width="31.7109375" style="170" bestFit="1" customWidth="1"/>
    <col min="14599" max="14842" width="9.140625" style="170"/>
    <col min="14843" max="14843" width="5.85546875" style="170" customWidth="1"/>
    <col min="14844" max="14844" width="50.42578125" style="170" customWidth="1"/>
    <col min="14845" max="14848" width="7.7109375" style="170" customWidth="1"/>
    <col min="14849" max="14849" width="10.140625" style="170" customWidth="1"/>
    <col min="14850" max="14853" width="7.7109375" style="170" customWidth="1"/>
    <col min="14854" max="14854" width="31.7109375" style="170" bestFit="1" customWidth="1"/>
    <col min="14855" max="15098" width="9.140625" style="170"/>
    <col min="15099" max="15099" width="5.85546875" style="170" customWidth="1"/>
    <col min="15100" max="15100" width="50.42578125" style="170" customWidth="1"/>
    <col min="15101" max="15104" width="7.7109375" style="170" customWidth="1"/>
    <col min="15105" max="15105" width="10.140625" style="170" customWidth="1"/>
    <col min="15106" max="15109" width="7.7109375" style="170" customWidth="1"/>
    <col min="15110" max="15110" width="31.7109375" style="170" bestFit="1" customWidth="1"/>
    <col min="15111" max="15354" width="9.140625" style="170"/>
    <col min="15355" max="15355" width="5.85546875" style="170" customWidth="1"/>
    <col min="15356" max="15356" width="50.42578125" style="170" customWidth="1"/>
    <col min="15357" max="15360" width="7.7109375" style="170" customWidth="1"/>
    <col min="15361" max="15361" width="10.140625" style="170" customWidth="1"/>
    <col min="15362" max="15365" width="7.7109375" style="170" customWidth="1"/>
    <col min="15366" max="15366" width="31.7109375" style="170" bestFit="1" customWidth="1"/>
    <col min="15367" max="15610" width="9.140625" style="170"/>
    <col min="15611" max="15611" width="5.85546875" style="170" customWidth="1"/>
    <col min="15612" max="15612" width="50.42578125" style="170" customWidth="1"/>
    <col min="15613" max="15616" width="7.7109375" style="170" customWidth="1"/>
    <col min="15617" max="15617" width="10.140625" style="170" customWidth="1"/>
    <col min="15618" max="15621" width="7.7109375" style="170" customWidth="1"/>
    <col min="15622" max="15622" width="31.7109375" style="170" bestFit="1" customWidth="1"/>
    <col min="15623" max="15866" width="9.140625" style="170"/>
    <col min="15867" max="15867" width="5.85546875" style="170" customWidth="1"/>
    <col min="15868" max="15868" width="50.42578125" style="170" customWidth="1"/>
    <col min="15869" max="15872" width="7.7109375" style="170" customWidth="1"/>
    <col min="15873" max="15873" width="10.140625" style="170" customWidth="1"/>
    <col min="15874" max="15877" width="7.7109375" style="170" customWidth="1"/>
    <col min="15878" max="15878" width="31.7109375" style="170" bestFit="1" customWidth="1"/>
    <col min="15879" max="16122" width="9.140625" style="170"/>
    <col min="16123" max="16123" width="5.85546875" style="170" customWidth="1"/>
    <col min="16124" max="16124" width="50.42578125" style="170" customWidth="1"/>
    <col min="16125" max="16128" width="7.7109375" style="170" customWidth="1"/>
    <col min="16129" max="16129" width="10.140625" style="170" customWidth="1"/>
    <col min="16130" max="16133" width="7.7109375" style="170" customWidth="1"/>
    <col min="16134" max="16134" width="31.7109375" style="170" bestFit="1" customWidth="1"/>
    <col min="16135" max="16384" width="9.140625" style="170"/>
  </cols>
  <sheetData>
    <row r="1" spans="1:8" s="424" customFormat="1">
      <c r="A1" s="420" t="s">
        <v>1257</v>
      </c>
      <c r="B1" s="421"/>
      <c r="C1" s="422"/>
      <c r="D1" s="423"/>
      <c r="F1" s="421"/>
      <c r="G1" s="421"/>
      <c r="H1" s="421"/>
    </row>
    <row r="3" spans="1:8">
      <c r="A3" s="170" t="s">
        <v>1258</v>
      </c>
    </row>
    <row r="4" spans="1:8">
      <c r="A4" s="170" t="s">
        <v>1259</v>
      </c>
      <c r="B4" s="220" t="s">
        <v>1260</v>
      </c>
      <c r="C4" s="426"/>
    </row>
    <row r="5" spans="1:8" ht="22.5" customHeight="1">
      <c r="A5" s="170" t="s">
        <v>80</v>
      </c>
      <c r="B5" s="1429" t="s">
        <v>1261</v>
      </c>
      <c r="C5" s="1429"/>
      <c r="D5" s="462" t="s">
        <v>410</v>
      </c>
      <c r="E5" s="425" t="s">
        <v>2</v>
      </c>
      <c r="F5" s="425"/>
      <c r="G5" s="425"/>
    </row>
    <row r="6" spans="1:8" ht="22.5">
      <c r="A6" s="428" t="s">
        <v>30</v>
      </c>
      <c r="B6" s="429" t="s">
        <v>19</v>
      </c>
      <c r="C6" s="430" t="s">
        <v>92</v>
      </c>
      <c r="D6" s="430" t="s">
        <v>88</v>
      </c>
      <c r="E6" s="431" t="s">
        <v>93</v>
      </c>
      <c r="F6" s="432" t="s">
        <v>94</v>
      </c>
      <c r="G6" s="433" t="s">
        <v>95</v>
      </c>
    </row>
    <row r="7" spans="1:8" ht="15" customHeight="1">
      <c r="A7" s="428" t="s">
        <v>1262</v>
      </c>
      <c r="B7" s="434" t="s">
        <v>1263</v>
      </c>
      <c r="C7" s="432" t="s">
        <v>99</v>
      </c>
      <c r="D7" s="430" t="s">
        <v>408</v>
      </c>
      <c r="E7" s="431" t="s">
        <v>1264</v>
      </c>
      <c r="F7" s="431">
        <v>10.62</v>
      </c>
      <c r="G7" s="433">
        <f t="shared" ref="G7:G19" si="0">TRUNC(E7*F7,2)</f>
        <v>0.08</v>
      </c>
    </row>
    <row r="8" spans="1:8" ht="30" customHeight="1">
      <c r="A8" s="428" t="s">
        <v>1265</v>
      </c>
      <c r="B8" s="434" t="s">
        <v>1266</v>
      </c>
      <c r="C8" s="432" t="s">
        <v>99</v>
      </c>
      <c r="D8" s="430" t="s">
        <v>408</v>
      </c>
      <c r="E8" s="431" t="s">
        <v>1267</v>
      </c>
      <c r="F8" s="431">
        <v>103.29</v>
      </c>
      <c r="G8" s="433">
        <f t="shared" si="0"/>
        <v>0.06</v>
      </c>
    </row>
    <row r="9" spans="1:8" ht="37.5" customHeight="1">
      <c r="A9" s="428" t="s">
        <v>1268</v>
      </c>
      <c r="B9" s="434" t="s">
        <v>1269</v>
      </c>
      <c r="C9" s="432" t="s">
        <v>99</v>
      </c>
      <c r="D9" s="430" t="s">
        <v>408</v>
      </c>
      <c r="E9" s="431" t="s">
        <v>1270</v>
      </c>
      <c r="F9" s="435">
        <v>532.5</v>
      </c>
      <c r="G9" s="433">
        <f t="shared" si="0"/>
        <v>0.03</v>
      </c>
    </row>
    <row r="10" spans="1:8" ht="15" customHeight="1">
      <c r="A10" s="428" t="s">
        <v>1271</v>
      </c>
      <c r="B10" s="434" t="s">
        <v>1272</v>
      </c>
      <c r="C10" s="432" t="s">
        <v>99</v>
      </c>
      <c r="D10" s="430" t="s">
        <v>408</v>
      </c>
      <c r="E10" s="431" t="s">
        <v>1273</v>
      </c>
      <c r="F10" s="431">
        <v>6.74</v>
      </c>
      <c r="G10" s="433">
        <f t="shared" si="0"/>
        <v>0.06</v>
      </c>
    </row>
    <row r="11" spans="1:8" ht="15" customHeight="1">
      <c r="A11" s="428" t="s">
        <v>1274</v>
      </c>
      <c r="B11" s="434" t="s">
        <v>1275</v>
      </c>
      <c r="C11" s="432" t="s">
        <v>99</v>
      </c>
      <c r="D11" s="430" t="s">
        <v>1276</v>
      </c>
      <c r="E11" s="431" t="s">
        <v>1277</v>
      </c>
      <c r="F11" s="431">
        <v>14.79</v>
      </c>
      <c r="G11" s="433">
        <f t="shared" si="0"/>
        <v>0.02</v>
      </c>
    </row>
    <row r="12" spans="1:8" ht="15" customHeight="1">
      <c r="A12" s="428" t="s">
        <v>1278</v>
      </c>
      <c r="B12" s="434" t="s">
        <v>1279</v>
      </c>
      <c r="C12" s="432" t="s">
        <v>99</v>
      </c>
      <c r="D12" s="430" t="s">
        <v>408</v>
      </c>
      <c r="E12" s="431" t="s">
        <v>1280</v>
      </c>
      <c r="F12" s="431">
        <v>8.7899999999999991</v>
      </c>
      <c r="G12" s="433">
        <f t="shared" si="0"/>
        <v>0.02</v>
      </c>
    </row>
    <row r="13" spans="1:8" ht="15" customHeight="1">
      <c r="A13" s="428" t="s">
        <v>1281</v>
      </c>
      <c r="B13" s="434" t="s">
        <v>1282</v>
      </c>
      <c r="C13" s="432" t="s">
        <v>99</v>
      </c>
      <c r="D13" s="430" t="s">
        <v>408</v>
      </c>
      <c r="E13" s="431" t="s">
        <v>1277</v>
      </c>
      <c r="F13" s="435">
        <v>26.5</v>
      </c>
      <c r="G13" s="433">
        <f t="shared" si="0"/>
        <v>0.04</v>
      </c>
    </row>
    <row r="14" spans="1:8" ht="15" customHeight="1">
      <c r="A14" s="428" t="s">
        <v>1283</v>
      </c>
      <c r="B14" s="434" t="s">
        <v>1284</v>
      </c>
      <c r="C14" s="432" t="s">
        <v>99</v>
      </c>
      <c r="D14" s="430" t="s">
        <v>408</v>
      </c>
      <c r="E14" s="431" t="s">
        <v>1277</v>
      </c>
      <c r="F14" s="431">
        <v>11.95</v>
      </c>
      <c r="G14" s="433">
        <f t="shared" si="0"/>
        <v>0.01</v>
      </c>
    </row>
    <row r="15" spans="1:8" ht="15" customHeight="1">
      <c r="A15" s="428" t="s">
        <v>1285</v>
      </c>
      <c r="B15" s="434" t="s">
        <v>1286</v>
      </c>
      <c r="C15" s="432" t="s">
        <v>99</v>
      </c>
      <c r="D15" s="430" t="s">
        <v>408</v>
      </c>
      <c r="E15" s="431" t="s">
        <v>1287</v>
      </c>
      <c r="F15" s="431">
        <v>401.46</v>
      </c>
      <c r="G15" s="433">
        <f t="shared" si="0"/>
        <v>0.02</v>
      </c>
    </row>
    <row r="16" spans="1:8" ht="15" customHeight="1">
      <c r="A16" s="428" t="s">
        <v>1288</v>
      </c>
      <c r="B16" s="434" t="s">
        <v>1289</v>
      </c>
      <c r="C16" s="432" t="s">
        <v>99</v>
      </c>
      <c r="D16" s="430" t="s">
        <v>408</v>
      </c>
      <c r="E16" s="431" t="s">
        <v>1290</v>
      </c>
      <c r="F16" s="431">
        <v>127.63</v>
      </c>
      <c r="G16" s="433">
        <f t="shared" si="0"/>
        <v>0.03</v>
      </c>
    </row>
    <row r="17" spans="1:9" ht="30" customHeight="1">
      <c r="A17" s="428" t="s">
        <v>1291</v>
      </c>
      <c r="B17" s="434" t="s">
        <v>1292</v>
      </c>
      <c r="C17" s="432" t="s">
        <v>99</v>
      </c>
      <c r="D17" s="430" t="s">
        <v>408</v>
      </c>
      <c r="E17" s="431" t="s">
        <v>1293</v>
      </c>
      <c r="F17" s="435">
        <v>549</v>
      </c>
      <c r="G17" s="433">
        <f t="shared" si="0"/>
        <v>0.02</v>
      </c>
    </row>
    <row r="18" spans="1:9" ht="30" customHeight="1">
      <c r="A18" s="428" t="s">
        <v>1294</v>
      </c>
      <c r="B18" s="434" t="s">
        <v>1295</v>
      </c>
      <c r="C18" s="432" t="s">
        <v>99</v>
      </c>
      <c r="D18" s="430" t="s">
        <v>408</v>
      </c>
      <c r="E18" s="431" t="s">
        <v>1296</v>
      </c>
      <c r="F18" s="431">
        <v>192.31</v>
      </c>
      <c r="G18" s="433">
        <f t="shared" si="0"/>
        <v>0.03</v>
      </c>
    </row>
    <row r="19" spans="1:9" ht="30" customHeight="1">
      <c r="A19" s="428" t="s">
        <v>1297</v>
      </c>
      <c r="B19" s="434" t="s">
        <v>1298</v>
      </c>
      <c r="C19" s="432" t="s">
        <v>99</v>
      </c>
      <c r="D19" s="430" t="s">
        <v>408</v>
      </c>
      <c r="E19" s="431" t="s">
        <v>1293</v>
      </c>
      <c r="F19" s="431">
        <v>544.62</v>
      </c>
      <c r="G19" s="433">
        <f t="shared" si="0"/>
        <v>0.02</v>
      </c>
    </row>
    <row r="20" spans="1:9" ht="14.1" customHeight="1">
      <c r="D20" s="436"/>
      <c r="E20" s="437"/>
      <c r="F20" s="438" t="s">
        <v>103</v>
      </c>
      <c r="G20" s="433"/>
    </row>
    <row r="21" spans="1:9" ht="14.1" customHeight="1">
      <c r="D21" s="436"/>
      <c r="E21" s="437"/>
      <c r="F21" s="438" t="s">
        <v>105</v>
      </c>
      <c r="G21" s="433">
        <f>SUM(G7:G19)</f>
        <v>0.44000000000000006</v>
      </c>
    </row>
    <row r="22" spans="1:9" ht="14.1" customHeight="1">
      <c r="A22" s="439"/>
      <c r="D22" s="436"/>
      <c r="E22" s="437"/>
      <c r="F22" s="438" t="s">
        <v>106</v>
      </c>
      <c r="G22" s="440">
        <f>SUM(G20:G21)</f>
        <v>0.44000000000000006</v>
      </c>
      <c r="H22" s="441"/>
    </row>
    <row r="23" spans="1:9">
      <c r="A23" s="442"/>
      <c r="B23" s="443"/>
      <c r="C23" s="444"/>
      <c r="D23" s="445"/>
      <c r="E23" s="442"/>
      <c r="F23" s="443"/>
      <c r="G23" s="443"/>
      <c r="H23" s="443"/>
      <c r="I23" s="442"/>
    </row>
    <row r="25" spans="1:9" ht="15" customHeight="1">
      <c r="A25" s="170" t="s">
        <v>1258</v>
      </c>
    </row>
    <row r="26" spans="1:9" ht="15" customHeight="1">
      <c r="A26" s="170" t="s">
        <v>1259</v>
      </c>
      <c r="B26" s="221" t="s">
        <v>1299</v>
      </c>
      <c r="C26" s="426"/>
    </row>
    <row r="27" spans="1:9" ht="20.25" customHeight="1">
      <c r="A27" s="170" t="s">
        <v>80</v>
      </c>
      <c r="B27" s="427" t="s">
        <v>1300</v>
      </c>
      <c r="C27" s="462" t="s">
        <v>410</v>
      </c>
      <c r="E27" s="425" t="s">
        <v>2</v>
      </c>
      <c r="F27" s="425"/>
      <c r="G27" s="425"/>
    </row>
    <row r="28" spans="1:9" ht="22.5">
      <c r="A28" s="428" t="s">
        <v>30</v>
      </c>
      <c r="B28" s="429" t="s">
        <v>19</v>
      </c>
      <c r="C28" s="430" t="s">
        <v>92</v>
      </c>
      <c r="D28" s="430" t="s">
        <v>88</v>
      </c>
      <c r="E28" s="431" t="s">
        <v>93</v>
      </c>
      <c r="F28" s="432" t="s">
        <v>94</v>
      </c>
      <c r="G28" s="433" t="s">
        <v>95</v>
      </c>
    </row>
    <row r="29" spans="1:9" ht="15" customHeight="1">
      <c r="A29" s="428" t="s">
        <v>97</v>
      </c>
      <c r="B29" s="434" t="s">
        <v>98</v>
      </c>
      <c r="C29" s="432" t="s">
        <v>99</v>
      </c>
      <c r="D29" s="430" t="s">
        <v>1301</v>
      </c>
      <c r="E29" s="431" t="s">
        <v>1302</v>
      </c>
      <c r="F29" s="435">
        <v>10.8</v>
      </c>
      <c r="G29" s="433">
        <f t="shared" ref="G29:G35" si="1">TRUNC(E29*F29,2)</f>
        <v>0.14000000000000001</v>
      </c>
    </row>
    <row r="30" spans="1:9" ht="30" customHeight="1">
      <c r="A30" s="428" t="s">
        <v>100</v>
      </c>
      <c r="B30" s="434" t="s">
        <v>101</v>
      </c>
      <c r="C30" s="432" t="s">
        <v>99</v>
      </c>
      <c r="D30" s="430" t="s">
        <v>1301</v>
      </c>
      <c r="E30" s="431" t="s">
        <v>1303</v>
      </c>
      <c r="F30" s="435">
        <v>57.6</v>
      </c>
      <c r="G30" s="433">
        <f t="shared" si="1"/>
        <v>0.09</v>
      </c>
    </row>
    <row r="31" spans="1:9" ht="30" customHeight="1">
      <c r="A31" s="428" t="s">
        <v>1304</v>
      </c>
      <c r="B31" s="434" t="s">
        <v>1305</v>
      </c>
      <c r="C31" s="432" t="s">
        <v>99</v>
      </c>
      <c r="D31" s="430" t="s">
        <v>408</v>
      </c>
      <c r="E31" s="431" t="s">
        <v>1306</v>
      </c>
      <c r="F31" s="435">
        <v>1.34</v>
      </c>
      <c r="G31" s="433">
        <f t="shared" si="1"/>
        <v>0.14000000000000001</v>
      </c>
    </row>
    <row r="32" spans="1:9" ht="15" customHeight="1">
      <c r="A32" s="428" t="s">
        <v>1307</v>
      </c>
      <c r="B32" s="434" t="s">
        <v>1308</v>
      </c>
      <c r="C32" s="432" t="s">
        <v>99</v>
      </c>
      <c r="D32" s="430" t="s">
        <v>408</v>
      </c>
      <c r="E32" s="431" t="s">
        <v>1309</v>
      </c>
      <c r="F32" s="435">
        <v>204</v>
      </c>
      <c r="G32" s="433">
        <f t="shared" si="1"/>
        <v>0.25</v>
      </c>
    </row>
    <row r="33" spans="1:9" ht="33.75">
      <c r="A33" s="428" t="s">
        <v>1310</v>
      </c>
      <c r="B33" s="434" t="s">
        <v>1311</v>
      </c>
      <c r="C33" s="432" t="s">
        <v>99</v>
      </c>
      <c r="D33" s="430" t="s">
        <v>408</v>
      </c>
      <c r="E33" s="431" t="s">
        <v>1312</v>
      </c>
      <c r="F33" s="435">
        <v>141</v>
      </c>
      <c r="G33" s="433">
        <f t="shared" si="1"/>
        <v>0.1</v>
      </c>
    </row>
    <row r="34" spans="1:9" ht="30" customHeight="1">
      <c r="A34" s="428" t="s">
        <v>1313</v>
      </c>
      <c r="B34" s="434" t="s">
        <v>1314</v>
      </c>
      <c r="C34" s="432" t="s">
        <v>99</v>
      </c>
      <c r="D34" s="430" t="s">
        <v>408</v>
      </c>
      <c r="E34" s="431" t="s">
        <v>1315</v>
      </c>
      <c r="F34" s="435">
        <v>35.64</v>
      </c>
      <c r="G34" s="433">
        <f t="shared" si="1"/>
        <v>0.09</v>
      </c>
    </row>
    <row r="35" spans="1:9" ht="33.75">
      <c r="A35" s="428" t="s">
        <v>1316</v>
      </c>
      <c r="B35" s="434" t="s">
        <v>1317</v>
      </c>
      <c r="C35" s="432" t="s">
        <v>99</v>
      </c>
      <c r="D35" s="430" t="s">
        <v>408</v>
      </c>
      <c r="E35" s="431" t="s">
        <v>1318</v>
      </c>
      <c r="F35" s="435">
        <v>160.5</v>
      </c>
      <c r="G35" s="433">
        <f t="shared" si="1"/>
        <v>0.17</v>
      </c>
    </row>
    <row r="36" spans="1:9" ht="15" customHeight="1">
      <c r="D36" s="436"/>
      <c r="E36" s="437"/>
      <c r="F36" s="438" t="s">
        <v>103</v>
      </c>
      <c r="G36" s="433"/>
    </row>
    <row r="37" spans="1:9" ht="15" customHeight="1">
      <c r="D37" s="436"/>
      <c r="E37" s="437"/>
      <c r="F37" s="438" t="s">
        <v>105</v>
      </c>
      <c r="G37" s="433">
        <f>SUM(G29:G35)</f>
        <v>0.98</v>
      </c>
    </row>
    <row r="38" spans="1:9" ht="15" customHeight="1">
      <c r="A38" s="439"/>
      <c r="D38" s="436"/>
      <c r="E38" s="437"/>
      <c r="F38" s="438" t="s">
        <v>106</v>
      </c>
      <c r="G38" s="440">
        <f>SUM(G36:G37)</f>
        <v>0.98</v>
      </c>
      <c r="H38" s="441"/>
    </row>
    <row r="39" spans="1:9">
      <c r="A39" s="442"/>
      <c r="B39" s="443"/>
      <c r="C39" s="444"/>
      <c r="D39" s="445"/>
      <c r="E39" s="442"/>
      <c r="F39" s="443"/>
      <c r="G39" s="443"/>
      <c r="H39" s="443"/>
      <c r="I39" s="442"/>
    </row>
    <row r="41" spans="1:9">
      <c r="A41" s="170" t="s">
        <v>1258</v>
      </c>
      <c r="C41" s="173"/>
      <c r="D41" s="170"/>
      <c r="E41" s="193"/>
      <c r="H41" s="424"/>
    </row>
    <row r="42" spans="1:9">
      <c r="A42" s="170" t="s">
        <v>1551</v>
      </c>
      <c r="C42" s="173"/>
      <c r="D42" s="170"/>
      <c r="E42" s="193"/>
      <c r="H42" s="424"/>
    </row>
    <row r="43" spans="1:9" ht="19.5" customHeight="1">
      <c r="A43" s="505" t="s">
        <v>1536</v>
      </c>
      <c r="B43" s="1429" t="s">
        <v>1552</v>
      </c>
      <c r="C43" s="1429"/>
      <c r="D43" s="1429"/>
      <c r="E43" s="506" t="s">
        <v>410</v>
      </c>
      <c r="G43" s="506"/>
      <c r="H43" s="424"/>
    </row>
    <row r="44" spans="1:9" ht="22.5">
      <c r="A44" s="502" t="s">
        <v>30</v>
      </c>
      <c r="B44" s="507" t="s">
        <v>19</v>
      </c>
      <c r="C44" s="430" t="s">
        <v>92</v>
      </c>
      <c r="D44" s="431" t="s">
        <v>88</v>
      </c>
      <c r="E44" s="431" t="s">
        <v>93</v>
      </c>
      <c r="F44" s="432" t="s">
        <v>94</v>
      </c>
      <c r="G44" s="508" t="s">
        <v>95</v>
      </c>
      <c r="H44" s="424"/>
    </row>
    <row r="45" spans="1:9" ht="14.1" customHeight="1">
      <c r="A45" s="502" t="s">
        <v>1321</v>
      </c>
      <c r="B45" s="434" t="s">
        <v>1322</v>
      </c>
      <c r="C45" s="431" t="s">
        <v>117</v>
      </c>
      <c r="D45" s="430" t="s">
        <v>410</v>
      </c>
      <c r="E45" s="474">
        <v>1</v>
      </c>
      <c r="F45" s="519">
        <f>10.6</f>
        <v>10.6</v>
      </c>
      <c r="G45" s="456">
        <f>TRUNC(E45*F45,2)</f>
        <v>10.6</v>
      </c>
    </row>
    <row r="46" spans="1:9" ht="22.5">
      <c r="A46" s="502" t="s">
        <v>1372</v>
      </c>
      <c r="B46" s="434" t="s">
        <v>1373</v>
      </c>
      <c r="C46" s="431" t="s">
        <v>1374</v>
      </c>
      <c r="D46" s="430" t="s">
        <v>410</v>
      </c>
      <c r="E46" s="474">
        <v>1</v>
      </c>
      <c r="F46" s="475">
        <v>2.15</v>
      </c>
      <c r="G46" s="433">
        <f t="shared" ref="G46:G52" si="2">TRUNC(E46*F46,2)</f>
        <v>2.15</v>
      </c>
    </row>
    <row r="47" spans="1:9" ht="22.5">
      <c r="A47" s="502" t="s">
        <v>1375</v>
      </c>
      <c r="B47" s="434" t="s">
        <v>1376</v>
      </c>
      <c r="C47" s="431" t="s">
        <v>1374</v>
      </c>
      <c r="D47" s="430" t="s">
        <v>410</v>
      </c>
      <c r="E47" s="474">
        <v>1</v>
      </c>
      <c r="F47" s="475">
        <v>0.6</v>
      </c>
      <c r="G47" s="456">
        <f t="shared" si="2"/>
        <v>0.6</v>
      </c>
    </row>
    <row r="48" spans="1:9" ht="22.5">
      <c r="A48" s="502" t="s">
        <v>1377</v>
      </c>
      <c r="B48" s="434" t="s">
        <v>1378</v>
      </c>
      <c r="C48" s="431" t="s">
        <v>1374</v>
      </c>
      <c r="D48" s="430" t="s">
        <v>410</v>
      </c>
      <c r="E48" s="474">
        <v>1</v>
      </c>
      <c r="F48" s="475">
        <v>0.37</v>
      </c>
      <c r="G48" s="433">
        <f t="shared" si="2"/>
        <v>0.37</v>
      </c>
    </row>
    <row r="49" spans="1:9" ht="22.5">
      <c r="A49" s="502" t="s">
        <v>1379</v>
      </c>
      <c r="B49" s="434" t="s">
        <v>1380</v>
      </c>
      <c r="C49" s="431" t="s">
        <v>1374</v>
      </c>
      <c r="D49" s="430" t="s">
        <v>410</v>
      </c>
      <c r="E49" s="474">
        <v>1</v>
      </c>
      <c r="F49" s="475">
        <v>0.02</v>
      </c>
      <c r="G49" s="433">
        <f t="shared" si="2"/>
        <v>0.02</v>
      </c>
    </row>
    <row r="50" spans="1:9" ht="22.5">
      <c r="A50" s="502" t="s">
        <v>1553</v>
      </c>
      <c r="B50" s="434" t="s">
        <v>1261</v>
      </c>
      <c r="C50" s="431" t="s">
        <v>99</v>
      </c>
      <c r="D50" s="430" t="s">
        <v>410</v>
      </c>
      <c r="E50" s="474">
        <v>1</v>
      </c>
      <c r="F50" s="475">
        <f>G22</f>
        <v>0.44000000000000006</v>
      </c>
      <c r="G50" s="433">
        <f t="shared" si="2"/>
        <v>0.44</v>
      </c>
    </row>
    <row r="51" spans="1:9" ht="14.1" customHeight="1">
      <c r="A51" s="502" t="s">
        <v>1381</v>
      </c>
      <c r="B51" s="434" t="s">
        <v>1300</v>
      </c>
      <c r="C51" s="431" t="s">
        <v>99</v>
      </c>
      <c r="D51" s="430" t="s">
        <v>410</v>
      </c>
      <c r="E51" s="474">
        <v>1</v>
      </c>
      <c r="F51" s="475">
        <f>G38</f>
        <v>0.98</v>
      </c>
      <c r="G51" s="433">
        <f t="shared" si="2"/>
        <v>0.98</v>
      </c>
    </row>
    <row r="52" spans="1:9" ht="33.75">
      <c r="A52" s="502" t="s">
        <v>1554</v>
      </c>
      <c r="B52" s="434" t="s">
        <v>1320</v>
      </c>
      <c r="C52" s="431" t="s">
        <v>117</v>
      </c>
      <c r="D52" s="430" t="s">
        <v>410</v>
      </c>
      <c r="E52" s="474">
        <v>1</v>
      </c>
      <c r="F52" s="475">
        <f>G492</f>
        <v>0.14000000000000001</v>
      </c>
      <c r="G52" s="433">
        <f t="shared" si="2"/>
        <v>0.14000000000000001</v>
      </c>
    </row>
    <row r="53" spans="1:9" ht="14.1" customHeight="1">
      <c r="C53" s="170"/>
      <c r="D53" s="476"/>
      <c r="E53" s="437"/>
      <c r="F53" s="438" t="s">
        <v>103</v>
      </c>
      <c r="G53" s="456">
        <f>G45+G52</f>
        <v>10.74</v>
      </c>
    </row>
    <row r="54" spans="1:9" ht="14.1" customHeight="1">
      <c r="C54" s="170"/>
      <c r="D54" s="216"/>
      <c r="E54" s="437"/>
      <c r="F54" s="438" t="s">
        <v>105</v>
      </c>
      <c r="G54" s="456">
        <f>SUM(G46:G51)</f>
        <v>4.5600000000000005</v>
      </c>
    </row>
    <row r="55" spans="1:9" ht="14.1" customHeight="1">
      <c r="A55" s="477"/>
      <c r="B55" s="215"/>
      <c r="C55" s="170"/>
      <c r="D55" s="463"/>
      <c r="E55" s="437"/>
      <c r="F55" s="438" t="s">
        <v>106</v>
      </c>
      <c r="G55" s="457">
        <f>SUM(G53:G54)</f>
        <v>15.3</v>
      </c>
      <c r="H55" s="441"/>
    </row>
    <row r="56" spans="1:9">
      <c r="A56" s="521"/>
      <c r="B56" s="522"/>
      <c r="C56" s="445"/>
      <c r="D56" s="442"/>
      <c r="E56" s="443"/>
      <c r="F56" s="443"/>
      <c r="G56" s="443"/>
      <c r="H56" s="442"/>
      <c r="I56" s="442"/>
    </row>
    <row r="58" spans="1:9">
      <c r="A58" s="170" t="s">
        <v>1258</v>
      </c>
      <c r="C58" s="173"/>
      <c r="D58" s="170"/>
      <c r="E58" s="193"/>
      <c r="H58" s="424"/>
    </row>
    <row r="59" spans="1:9">
      <c r="A59" s="170" t="s">
        <v>2789</v>
      </c>
      <c r="C59" s="173"/>
      <c r="D59" s="170"/>
      <c r="E59" s="193"/>
      <c r="H59" s="424"/>
    </row>
    <row r="60" spans="1:9" ht="15" customHeight="1">
      <c r="A60" s="505" t="s">
        <v>1536</v>
      </c>
      <c r="B60" s="1429" t="s">
        <v>2788</v>
      </c>
      <c r="C60" s="1429"/>
      <c r="D60" s="506" t="s">
        <v>410</v>
      </c>
      <c r="G60" s="506"/>
      <c r="H60" s="424"/>
    </row>
    <row r="61" spans="1:9" ht="22.5">
      <c r="A61" s="1103" t="s">
        <v>30</v>
      </c>
      <c r="B61" s="507" t="s">
        <v>19</v>
      </c>
      <c r="C61" s="430" t="s">
        <v>92</v>
      </c>
      <c r="D61" s="1094" t="s">
        <v>88</v>
      </c>
      <c r="E61" s="1094" t="s">
        <v>93</v>
      </c>
      <c r="F61" s="432" t="s">
        <v>94</v>
      </c>
      <c r="G61" s="508" t="s">
        <v>95</v>
      </c>
      <c r="H61" s="424"/>
    </row>
    <row r="62" spans="1:9" ht="15" customHeight="1">
      <c r="A62" s="1103">
        <v>6127</v>
      </c>
      <c r="B62" s="1101" t="s">
        <v>2790</v>
      </c>
      <c r="C62" s="1094" t="s">
        <v>117</v>
      </c>
      <c r="D62" s="430" t="s">
        <v>410</v>
      </c>
      <c r="E62" s="474">
        <v>1</v>
      </c>
      <c r="F62" s="519">
        <f>10.9</f>
        <v>10.9</v>
      </c>
      <c r="G62" s="456">
        <f>TRUNC(E62*F62,2)</f>
        <v>10.9</v>
      </c>
    </row>
    <row r="63" spans="1:9" ht="22.5">
      <c r="A63" s="1103" t="s">
        <v>1372</v>
      </c>
      <c r="B63" s="1101" t="s">
        <v>1373</v>
      </c>
      <c r="C63" s="1094" t="s">
        <v>1374</v>
      </c>
      <c r="D63" s="430" t="s">
        <v>410</v>
      </c>
      <c r="E63" s="474">
        <v>1</v>
      </c>
      <c r="F63" s="475">
        <v>2.15</v>
      </c>
      <c r="G63" s="433">
        <f t="shared" ref="G63:G69" si="3">TRUNC(E63*F63,2)</f>
        <v>2.15</v>
      </c>
    </row>
    <row r="64" spans="1:9" ht="22.5">
      <c r="A64" s="1103" t="s">
        <v>1375</v>
      </c>
      <c r="B64" s="1101" t="s">
        <v>1376</v>
      </c>
      <c r="C64" s="1094" t="s">
        <v>1374</v>
      </c>
      <c r="D64" s="430" t="s">
        <v>410</v>
      </c>
      <c r="E64" s="474">
        <v>1</v>
      </c>
      <c r="F64" s="475">
        <v>0.6</v>
      </c>
      <c r="G64" s="456">
        <f t="shared" si="3"/>
        <v>0.6</v>
      </c>
    </row>
    <row r="65" spans="1:8" ht="22.5">
      <c r="A65" s="1103" t="s">
        <v>1377</v>
      </c>
      <c r="B65" s="1101" t="s">
        <v>1378</v>
      </c>
      <c r="C65" s="1094" t="s">
        <v>1374</v>
      </c>
      <c r="D65" s="430" t="s">
        <v>410</v>
      </c>
      <c r="E65" s="474">
        <v>1</v>
      </c>
      <c r="F65" s="475">
        <v>0.37</v>
      </c>
      <c r="G65" s="433">
        <f t="shared" si="3"/>
        <v>0.37</v>
      </c>
    </row>
    <row r="66" spans="1:8" ht="22.5">
      <c r="A66" s="1103" t="s">
        <v>1379</v>
      </c>
      <c r="B66" s="1101" t="s">
        <v>1380</v>
      </c>
      <c r="C66" s="1094" t="s">
        <v>1374</v>
      </c>
      <c r="D66" s="430" t="s">
        <v>410</v>
      </c>
      <c r="E66" s="474">
        <v>1</v>
      </c>
      <c r="F66" s="475">
        <v>0.02</v>
      </c>
      <c r="G66" s="433">
        <f t="shared" si="3"/>
        <v>0.02</v>
      </c>
    </row>
    <row r="67" spans="1:8" ht="22.5">
      <c r="A67" s="1103" t="s">
        <v>1553</v>
      </c>
      <c r="B67" s="1101" t="s">
        <v>1261</v>
      </c>
      <c r="C67" s="1094" t="s">
        <v>99</v>
      </c>
      <c r="D67" s="430" t="s">
        <v>410</v>
      </c>
      <c r="E67" s="474">
        <v>1</v>
      </c>
      <c r="F67" s="475">
        <f>G22</f>
        <v>0.44000000000000006</v>
      </c>
      <c r="G67" s="433">
        <f t="shared" si="3"/>
        <v>0.44</v>
      </c>
    </row>
    <row r="68" spans="1:8" ht="15" customHeight="1">
      <c r="A68" s="1103" t="s">
        <v>1381</v>
      </c>
      <c r="B68" s="1101" t="s">
        <v>1300</v>
      </c>
      <c r="C68" s="1094" t="s">
        <v>99</v>
      </c>
      <c r="D68" s="430" t="s">
        <v>410</v>
      </c>
      <c r="E68" s="474">
        <v>1</v>
      </c>
      <c r="F68" s="475">
        <f>G38</f>
        <v>0.98</v>
      </c>
      <c r="G68" s="433">
        <f t="shared" si="3"/>
        <v>0.98</v>
      </c>
    </row>
    <row r="69" spans="1:8" ht="22.5">
      <c r="A69" s="1100">
        <v>95312</v>
      </c>
      <c r="B69" s="1101" t="s">
        <v>2791</v>
      </c>
      <c r="C69" s="1094" t="s">
        <v>117</v>
      </c>
      <c r="D69" s="430" t="s">
        <v>410</v>
      </c>
      <c r="E69" s="474">
        <v>1</v>
      </c>
      <c r="F69" s="475">
        <f>G502</f>
        <v>0.12</v>
      </c>
      <c r="G69" s="433">
        <f t="shared" si="3"/>
        <v>0.12</v>
      </c>
    </row>
    <row r="70" spans="1:8" ht="14.1" customHeight="1">
      <c r="C70" s="170"/>
      <c r="D70" s="476"/>
      <c r="E70" s="437"/>
      <c r="F70" s="438" t="s">
        <v>103</v>
      </c>
      <c r="G70" s="456">
        <f>G62+G69</f>
        <v>11.02</v>
      </c>
    </row>
    <row r="71" spans="1:8" ht="14.1" customHeight="1">
      <c r="C71" s="170"/>
      <c r="D71" s="216"/>
      <c r="E71" s="437"/>
      <c r="F71" s="438" t="s">
        <v>105</v>
      </c>
      <c r="G71" s="456">
        <f>SUM(G63:G68)</f>
        <v>4.5600000000000005</v>
      </c>
    </row>
    <row r="72" spans="1:8" ht="14.1" customHeight="1">
      <c r="A72" s="477"/>
      <c r="B72" s="215"/>
      <c r="C72" s="170"/>
      <c r="D72" s="463"/>
      <c r="E72" s="437"/>
      <c r="F72" s="438" t="s">
        <v>106</v>
      </c>
      <c r="G72" s="457">
        <f>SUM(G70:G71)</f>
        <v>15.58</v>
      </c>
      <c r="H72" s="441"/>
    </row>
    <row r="73" spans="1:8">
      <c r="A73" s="521"/>
      <c r="B73" s="522"/>
      <c r="C73" s="445"/>
      <c r="D73" s="442"/>
      <c r="E73" s="443"/>
      <c r="F73" s="443"/>
      <c r="G73" s="443"/>
      <c r="H73" s="442"/>
    </row>
    <row r="75" spans="1:8">
      <c r="A75" s="170" t="s">
        <v>1369</v>
      </c>
      <c r="C75" s="173"/>
      <c r="D75" s="170"/>
      <c r="E75" s="193"/>
      <c r="H75" s="170"/>
    </row>
    <row r="76" spans="1:8" ht="14.25" customHeight="1">
      <c r="A76" s="170" t="s">
        <v>33</v>
      </c>
      <c r="B76" s="221" t="s">
        <v>1555</v>
      </c>
      <c r="C76" s="173"/>
      <c r="D76" s="170"/>
      <c r="E76" s="193"/>
      <c r="H76" s="170"/>
    </row>
    <row r="77" spans="1:8" ht="18" customHeight="1">
      <c r="A77" s="170" t="s">
        <v>80</v>
      </c>
      <c r="B77" s="1573" t="s">
        <v>147</v>
      </c>
      <c r="C77" s="1573"/>
      <c r="D77" s="462" t="s">
        <v>410</v>
      </c>
      <c r="H77" s="170"/>
    </row>
    <row r="78" spans="1:8" ht="22.5">
      <c r="A78" s="515" t="s">
        <v>30</v>
      </c>
      <c r="B78" s="434" t="s">
        <v>19</v>
      </c>
      <c r="C78" s="430" t="s">
        <v>92</v>
      </c>
      <c r="D78" s="430" t="s">
        <v>88</v>
      </c>
      <c r="E78" s="431" t="s">
        <v>93</v>
      </c>
      <c r="F78" s="432" t="s">
        <v>94</v>
      </c>
      <c r="G78" s="469" t="s">
        <v>95</v>
      </c>
    </row>
    <row r="79" spans="1:8" ht="14.1" customHeight="1">
      <c r="A79" s="502">
        <v>1213</v>
      </c>
      <c r="B79" s="434" t="s">
        <v>1333</v>
      </c>
      <c r="C79" s="431" t="s">
        <v>117</v>
      </c>
      <c r="D79" s="430" t="s">
        <v>410</v>
      </c>
      <c r="E79" s="474">
        <v>1</v>
      </c>
      <c r="F79" s="472">
        <f>14.68</f>
        <v>14.68</v>
      </c>
      <c r="G79" s="456">
        <f>TRUNC(E79*F79,2)</f>
        <v>14.68</v>
      </c>
    </row>
    <row r="80" spans="1:8" ht="22.5">
      <c r="A80" s="502" t="s">
        <v>1372</v>
      </c>
      <c r="B80" s="434" t="s">
        <v>1373</v>
      </c>
      <c r="C80" s="431" t="s">
        <v>1374</v>
      </c>
      <c r="D80" s="430" t="s">
        <v>410</v>
      </c>
      <c r="E80" s="474">
        <v>1</v>
      </c>
      <c r="F80" s="475">
        <v>2.15</v>
      </c>
      <c r="G80" s="433">
        <f t="shared" ref="G80:G86" si="4">TRUNC(E80*F80,2)</f>
        <v>2.15</v>
      </c>
    </row>
    <row r="81" spans="1:9" ht="22.5">
      <c r="A81" s="502" t="s">
        <v>1375</v>
      </c>
      <c r="B81" s="434" t="s">
        <v>1376</v>
      </c>
      <c r="C81" s="431" t="s">
        <v>1374</v>
      </c>
      <c r="D81" s="430" t="s">
        <v>410</v>
      </c>
      <c r="E81" s="474">
        <v>1</v>
      </c>
      <c r="F81" s="475">
        <v>0.6</v>
      </c>
      <c r="G81" s="456">
        <f t="shared" si="4"/>
        <v>0.6</v>
      </c>
    </row>
    <row r="82" spans="1:9" ht="22.5">
      <c r="A82" s="502" t="s">
        <v>1377</v>
      </c>
      <c r="B82" s="434" t="s">
        <v>1378</v>
      </c>
      <c r="C82" s="431" t="s">
        <v>1374</v>
      </c>
      <c r="D82" s="430" t="s">
        <v>410</v>
      </c>
      <c r="E82" s="474">
        <v>1</v>
      </c>
      <c r="F82" s="475">
        <v>0.37</v>
      </c>
      <c r="G82" s="433">
        <f t="shared" si="4"/>
        <v>0.37</v>
      </c>
    </row>
    <row r="83" spans="1:9" ht="22.5">
      <c r="A83" s="502" t="s">
        <v>1379</v>
      </c>
      <c r="B83" s="434" t="s">
        <v>1380</v>
      </c>
      <c r="C83" s="431" t="s">
        <v>1374</v>
      </c>
      <c r="D83" s="430" t="s">
        <v>410</v>
      </c>
      <c r="E83" s="474">
        <v>1</v>
      </c>
      <c r="F83" s="475">
        <v>0.02</v>
      </c>
      <c r="G83" s="433">
        <f t="shared" si="4"/>
        <v>0.02</v>
      </c>
    </row>
    <row r="84" spans="1:9" ht="22.5">
      <c r="A84" s="502" t="s">
        <v>1553</v>
      </c>
      <c r="B84" s="434" t="s">
        <v>1261</v>
      </c>
      <c r="C84" s="431" t="s">
        <v>99</v>
      </c>
      <c r="D84" s="430" t="s">
        <v>410</v>
      </c>
      <c r="E84" s="474">
        <v>1</v>
      </c>
      <c r="F84" s="475">
        <f>G22</f>
        <v>0.44000000000000006</v>
      </c>
      <c r="G84" s="433">
        <f t="shared" si="4"/>
        <v>0.44</v>
      </c>
    </row>
    <row r="85" spans="1:9" ht="14.1" customHeight="1">
      <c r="A85" s="502" t="s">
        <v>1381</v>
      </c>
      <c r="B85" s="434" t="s">
        <v>1300</v>
      </c>
      <c r="C85" s="431" t="s">
        <v>99</v>
      </c>
      <c r="D85" s="430" t="s">
        <v>410</v>
      </c>
      <c r="E85" s="474">
        <v>1</v>
      </c>
      <c r="F85" s="475">
        <f>G38</f>
        <v>0.98</v>
      </c>
      <c r="G85" s="433">
        <f t="shared" si="4"/>
        <v>0.98</v>
      </c>
    </row>
    <row r="86" spans="1:9" ht="22.5">
      <c r="A86" s="448">
        <v>95330</v>
      </c>
      <c r="B86" s="449" t="s">
        <v>1556</v>
      </c>
      <c r="C86" s="431" t="s">
        <v>117</v>
      </c>
      <c r="D86" s="430" t="s">
        <v>410</v>
      </c>
      <c r="E86" s="474">
        <v>1</v>
      </c>
      <c r="F86" s="475">
        <f>G552</f>
        <v>0.13</v>
      </c>
      <c r="G86" s="433">
        <f t="shared" si="4"/>
        <v>0.13</v>
      </c>
    </row>
    <row r="87" spans="1:9" ht="14.1" customHeight="1">
      <c r="C87" s="170"/>
      <c r="D87" s="476"/>
      <c r="E87" s="437"/>
      <c r="F87" s="438" t="s">
        <v>103</v>
      </c>
      <c r="G87" s="456">
        <f>G79+G86</f>
        <v>14.81</v>
      </c>
    </row>
    <row r="88" spans="1:9" ht="14.1" customHeight="1">
      <c r="C88" s="170"/>
      <c r="D88" s="216"/>
      <c r="E88" s="437"/>
      <c r="F88" s="438" t="s">
        <v>105</v>
      </c>
      <c r="G88" s="456">
        <f>SUM(G80:G85)</f>
        <v>4.5600000000000005</v>
      </c>
    </row>
    <row r="89" spans="1:9" ht="14.1" customHeight="1">
      <c r="A89" s="477"/>
      <c r="B89" s="215"/>
      <c r="C89" s="170"/>
      <c r="D89" s="463"/>
      <c r="E89" s="437"/>
      <c r="F89" s="438" t="s">
        <v>106</v>
      </c>
      <c r="G89" s="440">
        <f>SUM(G87:G88)</f>
        <v>19.37</v>
      </c>
      <c r="H89" s="441"/>
    </row>
    <row r="90" spans="1:9">
      <c r="A90" s="442"/>
      <c r="B90" s="443"/>
      <c r="C90" s="445"/>
      <c r="D90" s="442"/>
      <c r="E90" s="443"/>
      <c r="F90" s="443"/>
      <c r="G90" s="443"/>
      <c r="H90" s="442"/>
      <c r="I90" s="442"/>
    </row>
    <row r="92" spans="1:9">
      <c r="A92" s="170" t="s">
        <v>1369</v>
      </c>
      <c r="C92" s="173"/>
      <c r="D92" s="170"/>
      <c r="E92" s="193"/>
      <c r="H92" s="170"/>
    </row>
    <row r="93" spans="1:9">
      <c r="A93" s="170" t="s">
        <v>33</v>
      </c>
      <c r="B93" s="221" t="s">
        <v>1557</v>
      </c>
      <c r="C93" s="173"/>
      <c r="D93" s="170"/>
      <c r="E93" s="193"/>
      <c r="H93" s="170"/>
    </row>
    <row r="94" spans="1:9" ht="15.75" customHeight="1">
      <c r="A94" s="170" t="s">
        <v>80</v>
      </c>
      <c r="B94" s="427" t="s">
        <v>123</v>
      </c>
      <c r="C94" s="462" t="s">
        <v>410</v>
      </c>
      <c r="D94" s="170" t="s">
        <v>2</v>
      </c>
      <c r="E94" s="193"/>
      <c r="H94" s="170"/>
    </row>
    <row r="95" spans="1:9" ht="22.5">
      <c r="A95" s="515" t="s">
        <v>30</v>
      </c>
      <c r="B95" s="434" t="s">
        <v>19</v>
      </c>
      <c r="C95" s="430" t="s">
        <v>92</v>
      </c>
      <c r="D95" s="430" t="s">
        <v>88</v>
      </c>
      <c r="E95" s="431" t="s">
        <v>93</v>
      </c>
      <c r="F95" s="432" t="s">
        <v>94</v>
      </c>
      <c r="G95" s="469" t="s">
        <v>95</v>
      </c>
      <c r="H95" s="170"/>
    </row>
    <row r="96" spans="1:9" ht="14.1" customHeight="1">
      <c r="A96" s="502">
        <v>6111</v>
      </c>
      <c r="B96" s="434" t="s">
        <v>1325</v>
      </c>
      <c r="C96" s="430" t="s">
        <v>117</v>
      </c>
      <c r="D96" s="430" t="s">
        <v>410</v>
      </c>
      <c r="E96" s="474">
        <v>1</v>
      </c>
      <c r="F96" s="519">
        <f>10.92</f>
        <v>10.92</v>
      </c>
      <c r="G96" s="456">
        <f>TRUNC(E96*F96,2)</f>
        <v>10.92</v>
      </c>
      <c r="H96" s="170"/>
    </row>
    <row r="97" spans="1:9" ht="22.5">
      <c r="A97" s="502" t="s">
        <v>1372</v>
      </c>
      <c r="B97" s="434" t="s">
        <v>1373</v>
      </c>
      <c r="C97" s="430" t="s">
        <v>1374</v>
      </c>
      <c r="D97" s="430" t="s">
        <v>410</v>
      </c>
      <c r="E97" s="474">
        <v>1</v>
      </c>
      <c r="F97" s="475">
        <v>2.15</v>
      </c>
      <c r="G97" s="433">
        <f t="shared" ref="G97:G103" si="5">TRUNC(E97*F97,2)</f>
        <v>2.15</v>
      </c>
      <c r="H97" s="170"/>
    </row>
    <row r="98" spans="1:9" ht="22.5">
      <c r="A98" s="502" t="s">
        <v>1375</v>
      </c>
      <c r="B98" s="434" t="s">
        <v>1376</v>
      </c>
      <c r="C98" s="430" t="s">
        <v>1374</v>
      </c>
      <c r="D98" s="430" t="s">
        <v>410</v>
      </c>
      <c r="E98" s="474">
        <v>1</v>
      </c>
      <c r="F98" s="475">
        <v>0.6</v>
      </c>
      <c r="G98" s="456">
        <f t="shared" si="5"/>
        <v>0.6</v>
      </c>
      <c r="H98" s="170"/>
    </row>
    <row r="99" spans="1:9" ht="22.5">
      <c r="A99" s="502" t="s">
        <v>1377</v>
      </c>
      <c r="B99" s="434" t="s">
        <v>1378</v>
      </c>
      <c r="C99" s="430" t="s">
        <v>1374</v>
      </c>
      <c r="D99" s="430" t="s">
        <v>410</v>
      </c>
      <c r="E99" s="474">
        <v>1</v>
      </c>
      <c r="F99" s="475">
        <v>0.37</v>
      </c>
      <c r="G99" s="433">
        <f t="shared" si="5"/>
        <v>0.37</v>
      </c>
      <c r="H99" s="170"/>
    </row>
    <row r="100" spans="1:9" ht="22.5">
      <c r="A100" s="502" t="s">
        <v>1379</v>
      </c>
      <c r="B100" s="434" t="s">
        <v>1380</v>
      </c>
      <c r="C100" s="430" t="s">
        <v>1374</v>
      </c>
      <c r="D100" s="430" t="s">
        <v>410</v>
      </c>
      <c r="E100" s="474">
        <v>1</v>
      </c>
      <c r="F100" s="475">
        <v>0.02</v>
      </c>
      <c r="G100" s="433">
        <f t="shared" si="5"/>
        <v>0.02</v>
      </c>
      <c r="H100" s="170"/>
    </row>
    <row r="101" spans="1:9" ht="22.5">
      <c r="A101" s="502" t="s">
        <v>1553</v>
      </c>
      <c r="B101" s="434" t="s">
        <v>1261</v>
      </c>
      <c r="C101" s="430" t="s">
        <v>99</v>
      </c>
      <c r="D101" s="430" t="s">
        <v>410</v>
      </c>
      <c r="E101" s="474">
        <v>1</v>
      </c>
      <c r="F101" s="475">
        <f>G22</f>
        <v>0.44000000000000006</v>
      </c>
      <c r="G101" s="433">
        <f t="shared" si="5"/>
        <v>0.44</v>
      </c>
      <c r="H101" s="170"/>
    </row>
    <row r="102" spans="1:9" ht="14.1" customHeight="1">
      <c r="A102" s="502" t="s">
        <v>1381</v>
      </c>
      <c r="B102" s="434" t="s">
        <v>1300</v>
      </c>
      <c r="C102" s="430" t="s">
        <v>99</v>
      </c>
      <c r="D102" s="430" t="s">
        <v>410</v>
      </c>
      <c r="E102" s="474">
        <v>1</v>
      </c>
      <c r="F102" s="475">
        <f>G38</f>
        <v>0.98</v>
      </c>
      <c r="G102" s="433">
        <f t="shared" si="5"/>
        <v>0.98</v>
      </c>
      <c r="H102" s="170"/>
    </row>
    <row r="103" spans="1:9" ht="22.5">
      <c r="A103" s="502">
        <v>95378</v>
      </c>
      <c r="B103" s="434" t="s">
        <v>1324</v>
      </c>
      <c r="C103" s="430" t="s">
        <v>117</v>
      </c>
      <c r="D103" s="430" t="s">
        <v>410</v>
      </c>
      <c r="E103" s="474">
        <v>1</v>
      </c>
      <c r="F103" s="475">
        <f>G522</f>
        <v>0.18</v>
      </c>
      <c r="G103" s="433">
        <f t="shared" si="5"/>
        <v>0.18</v>
      </c>
      <c r="H103" s="170"/>
    </row>
    <row r="104" spans="1:9" ht="14.1" customHeight="1">
      <c r="C104" s="173"/>
      <c r="D104" s="476"/>
      <c r="E104" s="437"/>
      <c r="F104" s="438" t="s">
        <v>103</v>
      </c>
      <c r="G104" s="456">
        <f>G96+G103</f>
        <v>11.1</v>
      </c>
      <c r="H104" s="170"/>
    </row>
    <row r="105" spans="1:9" ht="14.1" customHeight="1">
      <c r="C105" s="173"/>
      <c r="D105" s="216"/>
      <c r="E105" s="437"/>
      <c r="F105" s="438" t="s">
        <v>105</v>
      </c>
      <c r="G105" s="456">
        <f>SUM(G97:G102)</f>
        <v>4.5600000000000005</v>
      </c>
      <c r="H105" s="170"/>
    </row>
    <row r="106" spans="1:9" ht="14.1" customHeight="1">
      <c r="A106" s="477"/>
      <c r="B106" s="215"/>
      <c r="C106" s="173"/>
      <c r="D106" s="463"/>
      <c r="E106" s="437"/>
      <c r="F106" s="438" t="s">
        <v>106</v>
      </c>
      <c r="G106" s="440">
        <f>SUM(G104:G105)</f>
        <v>15.66</v>
      </c>
      <c r="H106" s="170"/>
    </row>
    <row r="107" spans="1:9">
      <c r="A107" s="442"/>
      <c r="B107" s="443"/>
      <c r="C107" s="445"/>
      <c r="D107" s="442"/>
      <c r="E107" s="443"/>
      <c r="F107" s="443"/>
      <c r="G107" s="443"/>
      <c r="H107" s="442"/>
      <c r="I107" s="442"/>
    </row>
    <row r="109" spans="1:9">
      <c r="A109" s="170" t="s">
        <v>1369</v>
      </c>
      <c r="C109" s="173"/>
      <c r="D109" s="170"/>
      <c r="E109" s="193"/>
      <c r="H109" s="170"/>
    </row>
    <row r="110" spans="1:9">
      <c r="A110" s="170" t="s">
        <v>33</v>
      </c>
      <c r="B110" s="221" t="s">
        <v>1558</v>
      </c>
      <c r="C110" s="173"/>
      <c r="D110" s="170"/>
      <c r="E110" s="193"/>
      <c r="H110" s="170"/>
    </row>
    <row r="111" spans="1:9" ht="25.5" customHeight="1">
      <c r="A111" s="170" t="s">
        <v>80</v>
      </c>
      <c r="B111" s="1573" t="s">
        <v>1559</v>
      </c>
      <c r="C111" s="1573"/>
      <c r="D111" s="222" t="s">
        <v>410</v>
      </c>
      <c r="H111" s="170"/>
    </row>
    <row r="112" spans="1:9" ht="22.5">
      <c r="A112" s="515" t="s">
        <v>30</v>
      </c>
      <c r="B112" s="434" t="s">
        <v>19</v>
      </c>
      <c r="C112" s="430" t="s">
        <v>92</v>
      </c>
      <c r="D112" s="430" t="s">
        <v>88</v>
      </c>
      <c r="E112" s="431" t="s">
        <v>93</v>
      </c>
      <c r="F112" s="432" t="s">
        <v>94</v>
      </c>
      <c r="G112" s="469" t="s">
        <v>95</v>
      </c>
      <c r="H112" s="170"/>
    </row>
    <row r="113" spans="1:9" ht="14.1" customHeight="1">
      <c r="A113" s="448">
        <v>4094</v>
      </c>
      <c r="B113" s="449" t="s">
        <v>1560</v>
      </c>
      <c r="C113" s="430" t="s">
        <v>117</v>
      </c>
      <c r="D113" s="470" t="s">
        <v>410</v>
      </c>
      <c r="E113" s="471">
        <v>1</v>
      </c>
      <c r="F113" s="472">
        <f>16.13</f>
        <v>16.13</v>
      </c>
      <c r="G113" s="473">
        <f>TRUNC(E113*F113,2)</f>
        <v>16.13</v>
      </c>
      <c r="H113" s="170"/>
    </row>
    <row r="114" spans="1:9" ht="22.5">
      <c r="A114" s="502" t="s">
        <v>1372</v>
      </c>
      <c r="B114" s="434" t="s">
        <v>1373</v>
      </c>
      <c r="C114" s="430" t="s">
        <v>1374</v>
      </c>
      <c r="D114" s="430" t="s">
        <v>410</v>
      </c>
      <c r="E114" s="474">
        <v>1</v>
      </c>
      <c r="F114" s="475">
        <v>2.15</v>
      </c>
      <c r="G114" s="433">
        <f t="shared" ref="G114:G118" si="6">TRUNC(E114*F114,2)</f>
        <v>2.15</v>
      </c>
      <c r="H114" s="170"/>
    </row>
    <row r="115" spans="1:9" ht="22.5">
      <c r="A115" s="502" t="s">
        <v>1375</v>
      </c>
      <c r="B115" s="434" t="s">
        <v>1376</v>
      </c>
      <c r="C115" s="430" t="s">
        <v>1374</v>
      </c>
      <c r="D115" s="430" t="s">
        <v>410</v>
      </c>
      <c r="E115" s="474">
        <v>1</v>
      </c>
      <c r="F115" s="475">
        <v>0.6</v>
      </c>
      <c r="G115" s="456">
        <f t="shared" si="6"/>
        <v>0.6</v>
      </c>
      <c r="H115" s="170"/>
    </row>
    <row r="116" spans="1:9" ht="22.5">
      <c r="A116" s="502" t="s">
        <v>1377</v>
      </c>
      <c r="B116" s="434" t="s">
        <v>1378</v>
      </c>
      <c r="C116" s="430" t="s">
        <v>1374</v>
      </c>
      <c r="D116" s="430" t="s">
        <v>410</v>
      </c>
      <c r="E116" s="474">
        <v>1</v>
      </c>
      <c r="F116" s="475">
        <v>0.37</v>
      </c>
      <c r="G116" s="433">
        <f t="shared" si="6"/>
        <v>0.37</v>
      </c>
      <c r="H116" s="170"/>
    </row>
    <row r="117" spans="1:9" ht="22.5">
      <c r="A117" s="502" t="s">
        <v>1379</v>
      </c>
      <c r="B117" s="434" t="s">
        <v>1380</v>
      </c>
      <c r="C117" s="430" t="s">
        <v>1374</v>
      </c>
      <c r="D117" s="430" t="s">
        <v>410</v>
      </c>
      <c r="E117" s="474">
        <v>1</v>
      </c>
      <c r="F117" s="475">
        <v>0.02</v>
      </c>
      <c r="G117" s="433">
        <f t="shared" si="6"/>
        <v>0.02</v>
      </c>
      <c r="H117" s="170"/>
    </row>
    <row r="118" spans="1:9" ht="33.75">
      <c r="A118" s="448">
        <v>95348</v>
      </c>
      <c r="B118" s="449" t="s">
        <v>1561</v>
      </c>
      <c r="C118" s="430" t="s">
        <v>117</v>
      </c>
      <c r="D118" s="430" t="s">
        <v>410</v>
      </c>
      <c r="E118" s="474">
        <v>1</v>
      </c>
      <c r="F118" s="475">
        <f>G532</f>
        <v>0.06</v>
      </c>
      <c r="G118" s="433">
        <f t="shared" si="6"/>
        <v>0.06</v>
      </c>
      <c r="H118" s="170"/>
    </row>
    <row r="119" spans="1:9" ht="14.1" customHeight="1">
      <c r="C119" s="173"/>
      <c r="D119" s="476"/>
      <c r="E119" s="437"/>
      <c r="F119" s="438" t="s">
        <v>103</v>
      </c>
      <c r="G119" s="456">
        <f>G113+G118</f>
        <v>16.189999999999998</v>
      </c>
      <c r="H119" s="170"/>
    </row>
    <row r="120" spans="1:9" ht="14.1" customHeight="1">
      <c r="C120" s="173"/>
      <c r="D120" s="216"/>
      <c r="E120" s="437"/>
      <c r="F120" s="438" t="s">
        <v>105</v>
      </c>
      <c r="G120" s="456">
        <f>SUM(G114:G117)</f>
        <v>3.14</v>
      </c>
      <c r="H120" s="170"/>
    </row>
    <row r="121" spans="1:9" ht="14.1" customHeight="1">
      <c r="A121" s="477"/>
      <c r="B121" s="215"/>
      <c r="C121" s="173"/>
      <c r="D121" s="463"/>
      <c r="E121" s="437"/>
      <c r="F121" s="438" t="s">
        <v>106</v>
      </c>
      <c r="G121" s="440">
        <f>SUM(G119:G120)</f>
        <v>19.329999999999998</v>
      </c>
      <c r="H121" s="170"/>
    </row>
    <row r="122" spans="1:9">
      <c r="A122" s="442"/>
      <c r="B122" s="443"/>
      <c r="C122" s="445"/>
      <c r="D122" s="442"/>
      <c r="E122" s="443"/>
      <c r="F122" s="443"/>
      <c r="G122" s="443"/>
      <c r="H122" s="442"/>
      <c r="I122" s="442"/>
    </row>
    <row r="124" spans="1:9">
      <c r="A124" s="170" t="s">
        <v>1369</v>
      </c>
      <c r="C124" s="173"/>
      <c r="D124" s="170"/>
      <c r="E124" s="193"/>
      <c r="H124" s="170"/>
    </row>
    <row r="125" spans="1:9">
      <c r="A125" s="170" t="s">
        <v>33</v>
      </c>
      <c r="B125" s="221" t="s">
        <v>1562</v>
      </c>
      <c r="C125" s="173"/>
      <c r="D125" s="170"/>
      <c r="E125" s="193"/>
      <c r="H125" s="170"/>
    </row>
    <row r="126" spans="1:9" ht="16.5" customHeight="1">
      <c r="A126" s="170" t="s">
        <v>80</v>
      </c>
      <c r="B126" s="1573" t="s">
        <v>1339</v>
      </c>
      <c r="C126" s="1573"/>
      <c r="D126" s="222" t="s">
        <v>410</v>
      </c>
      <c r="H126" s="170"/>
    </row>
    <row r="127" spans="1:9" ht="22.5">
      <c r="A127" s="515" t="s">
        <v>30</v>
      </c>
      <c r="B127" s="434" t="s">
        <v>19</v>
      </c>
      <c r="C127" s="430" t="s">
        <v>92</v>
      </c>
      <c r="D127" s="430" t="s">
        <v>88</v>
      </c>
      <c r="E127" s="431" t="s">
        <v>93</v>
      </c>
      <c r="F127" s="432" t="s">
        <v>94</v>
      </c>
      <c r="G127" s="469" t="s">
        <v>95</v>
      </c>
      <c r="H127" s="170"/>
    </row>
    <row r="128" spans="1:9" ht="14.1" customHeight="1">
      <c r="A128" s="448">
        <v>20020</v>
      </c>
      <c r="B128" s="449" t="s">
        <v>1563</v>
      </c>
      <c r="C128" s="430" t="s">
        <v>117</v>
      </c>
      <c r="D128" s="470" t="s">
        <v>410</v>
      </c>
      <c r="E128" s="471">
        <v>1</v>
      </c>
      <c r="F128" s="472">
        <f>11.38</f>
        <v>11.38</v>
      </c>
      <c r="G128" s="473">
        <f>TRUNC(E128*F128,2)</f>
        <v>11.38</v>
      </c>
      <c r="H128" s="170"/>
    </row>
    <row r="129" spans="1:9" ht="22.5">
      <c r="A129" s="502" t="s">
        <v>1372</v>
      </c>
      <c r="B129" s="434" t="s">
        <v>1373</v>
      </c>
      <c r="C129" s="430" t="s">
        <v>1374</v>
      </c>
      <c r="D129" s="430" t="s">
        <v>410</v>
      </c>
      <c r="E129" s="474">
        <v>1</v>
      </c>
      <c r="F129" s="475">
        <v>2.15</v>
      </c>
      <c r="G129" s="433">
        <f t="shared" ref="G129:G133" si="7">TRUNC(E129*F129,2)</f>
        <v>2.15</v>
      </c>
      <c r="H129" s="170"/>
    </row>
    <row r="130" spans="1:9" ht="22.5">
      <c r="A130" s="502" t="s">
        <v>1375</v>
      </c>
      <c r="B130" s="434" t="s">
        <v>1376</v>
      </c>
      <c r="C130" s="430" t="s">
        <v>1374</v>
      </c>
      <c r="D130" s="430" t="s">
        <v>410</v>
      </c>
      <c r="E130" s="474">
        <v>1</v>
      </c>
      <c r="F130" s="475">
        <v>0.6</v>
      </c>
      <c r="G130" s="456">
        <f t="shared" si="7"/>
        <v>0.6</v>
      </c>
      <c r="H130" s="170"/>
    </row>
    <row r="131" spans="1:9" ht="22.5">
      <c r="A131" s="502" t="s">
        <v>1377</v>
      </c>
      <c r="B131" s="434" t="s">
        <v>1378</v>
      </c>
      <c r="C131" s="430" t="s">
        <v>1374</v>
      </c>
      <c r="D131" s="430" t="s">
        <v>410</v>
      </c>
      <c r="E131" s="474">
        <v>1</v>
      </c>
      <c r="F131" s="475">
        <v>0.37</v>
      </c>
      <c r="G131" s="433">
        <f t="shared" si="7"/>
        <v>0.37</v>
      </c>
      <c r="H131" s="170"/>
    </row>
    <row r="132" spans="1:9" ht="22.5">
      <c r="A132" s="502" t="s">
        <v>1379</v>
      </c>
      <c r="B132" s="434" t="s">
        <v>1380</v>
      </c>
      <c r="C132" s="430" t="s">
        <v>1374</v>
      </c>
      <c r="D132" s="430" t="s">
        <v>410</v>
      </c>
      <c r="E132" s="474">
        <v>1</v>
      </c>
      <c r="F132" s="475">
        <v>0.02</v>
      </c>
      <c r="G132" s="433">
        <f t="shared" si="7"/>
        <v>0.02</v>
      </c>
      <c r="H132" s="170"/>
    </row>
    <row r="133" spans="1:9" ht="29.25" customHeight="1">
      <c r="A133" s="448">
        <v>95346</v>
      </c>
      <c r="B133" s="449" t="s">
        <v>1329</v>
      </c>
      <c r="C133" s="430" t="s">
        <v>117</v>
      </c>
      <c r="D133" s="430" t="s">
        <v>410</v>
      </c>
      <c r="E133" s="474">
        <v>1</v>
      </c>
      <c r="F133" s="475">
        <f>G542</f>
        <v>0.04</v>
      </c>
      <c r="G133" s="433">
        <f t="shared" si="7"/>
        <v>0.04</v>
      </c>
      <c r="H133" s="170"/>
    </row>
    <row r="134" spans="1:9" ht="14.1" customHeight="1">
      <c r="C134" s="173"/>
      <c r="D134" s="476"/>
      <c r="E134" s="437"/>
      <c r="F134" s="438" t="s">
        <v>103</v>
      </c>
      <c r="G134" s="456">
        <f>G128+G133</f>
        <v>11.42</v>
      </c>
      <c r="H134" s="170"/>
    </row>
    <row r="135" spans="1:9" ht="14.1" customHeight="1">
      <c r="C135" s="173"/>
      <c r="D135" s="216"/>
      <c r="E135" s="437"/>
      <c r="F135" s="438" t="s">
        <v>105</v>
      </c>
      <c r="G135" s="456">
        <f>SUM(G129:G132)</f>
        <v>3.14</v>
      </c>
      <c r="H135" s="170"/>
    </row>
    <row r="136" spans="1:9" ht="14.1" customHeight="1">
      <c r="A136" s="477"/>
      <c r="B136" s="215"/>
      <c r="C136" s="173"/>
      <c r="D136" s="463"/>
      <c r="E136" s="437"/>
      <c r="F136" s="438" t="s">
        <v>106</v>
      </c>
      <c r="G136" s="440">
        <f>SUM(G134:G135)</f>
        <v>14.56</v>
      </c>
      <c r="H136" s="170"/>
    </row>
    <row r="137" spans="1:9">
      <c r="A137" s="442"/>
      <c r="B137" s="443"/>
      <c r="C137" s="445"/>
      <c r="D137" s="442"/>
      <c r="E137" s="443"/>
      <c r="F137" s="443"/>
      <c r="G137" s="443"/>
      <c r="H137" s="442"/>
      <c r="I137" s="442"/>
    </row>
    <row r="139" spans="1:9">
      <c r="A139" s="170" t="s">
        <v>1369</v>
      </c>
      <c r="C139" s="173"/>
      <c r="D139" s="170"/>
      <c r="E139" s="193"/>
      <c r="H139" s="170"/>
    </row>
    <row r="140" spans="1:9">
      <c r="A140" s="170" t="s">
        <v>33</v>
      </c>
      <c r="B140" s="446" t="s">
        <v>1564</v>
      </c>
      <c r="C140" s="423"/>
      <c r="D140" s="170"/>
      <c r="E140" s="193"/>
      <c r="H140" s="170"/>
    </row>
    <row r="141" spans="1:9">
      <c r="A141" s="170" t="s">
        <v>80</v>
      </c>
      <c r="B141" s="1581" t="s">
        <v>131</v>
      </c>
      <c r="C141" s="1581"/>
      <c r="D141" s="222" t="s">
        <v>410</v>
      </c>
      <c r="H141" s="170"/>
    </row>
    <row r="142" spans="1:9" ht="22.5">
      <c r="A142" s="515" t="s">
        <v>30</v>
      </c>
      <c r="B142" s="434" t="s">
        <v>19</v>
      </c>
      <c r="C142" s="430" t="s">
        <v>92</v>
      </c>
      <c r="D142" s="430" t="s">
        <v>88</v>
      </c>
      <c r="E142" s="431" t="s">
        <v>93</v>
      </c>
      <c r="F142" s="432" t="s">
        <v>94</v>
      </c>
      <c r="G142" s="469" t="s">
        <v>95</v>
      </c>
    </row>
    <row r="143" spans="1:9" ht="14.1" customHeight="1">
      <c r="A143" s="448">
        <v>4750</v>
      </c>
      <c r="B143" s="449" t="s">
        <v>143</v>
      </c>
      <c r="C143" s="431" t="s">
        <v>117</v>
      </c>
      <c r="D143" s="430" t="s">
        <v>410</v>
      </c>
      <c r="E143" s="474">
        <v>1</v>
      </c>
      <c r="F143" s="472">
        <f>14.68</f>
        <v>14.68</v>
      </c>
      <c r="G143" s="456">
        <f>TRUNC(E143*F143,2)</f>
        <v>14.68</v>
      </c>
    </row>
    <row r="144" spans="1:9" ht="22.5">
      <c r="A144" s="502" t="s">
        <v>1372</v>
      </c>
      <c r="B144" s="434" t="s">
        <v>1373</v>
      </c>
      <c r="C144" s="431" t="s">
        <v>1374</v>
      </c>
      <c r="D144" s="430" t="s">
        <v>410</v>
      </c>
      <c r="E144" s="474">
        <v>1</v>
      </c>
      <c r="F144" s="475">
        <v>2.15</v>
      </c>
      <c r="G144" s="433">
        <f t="shared" ref="G144:G150" si="8">TRUNC(E144*F144,2)</f>
        <v>2.15</v>
      </c>
    </row>
    <row r="145" spans="1:9" ht="22.5">
      <c r="A145" s="502" t="s">
        <v>1375</v>
      </c>
      <c r="B145" s="434" t="s">
        <v>1376</v>
      </c>
      <c r="C145" s="431" t="s">
        <v>1374</v>
      </c>
      <c r="D145" s="430" t="s">
        <v>410</v>
      </c>
      <c r="E145" s="474">
        <v>1</v>
      </c>
      <c r="F145" s="475">
        <v>0.6</v>
      </c>
      <c r="G145" s="456">
        <f t="shared" si="8"/>
        <v>0.6</v>
      </c>
    </row>
    <row r="146" spans="1:9" ht="22.5">
      <c r="A146" s="502" t="s">
        <v>1377</v>
      </c>
      <c r="B146" s="434" t="s">
        <v>1378</v>
      </c>
      <c r="C146" s="431" t="s">
        <v>1374</v>
      </c>
      <c r="D146" s="430" t="s">
        <v>410</v>
      </c>
      <c r="E146" s="474">
        <v>1</v>
      </c>
      <c r="F146" s="475">
        <v>0.37</v>
      </c>
      <c r="G146" s="433">
        <f t="shared" si="8"/>
        <v>0.37</v>
      </c>
    </row>
    <row r="147" spans="1:9" ht="22.5">
      <c r="A147" s="502" t="s">
        <v>1379</v>
      </c>
      <c r="B147" s="434" t="s">
        <v>1380</v>
      </c>
      <c r="C147" s="431" t="s">
        <v>1374</v>
      </c>
      <c r="D147" s="430" t="s">
        <v>410</v>
      </c>
      <c r="E147" s="474">
        <v>1</v>
      </c>
      <c r="F147" s="475">
        <v>0.02</v>
      </c>
      <c r="G147" s="433">
        <f t="shared" si="8"/>
        <v>0.02</v>
      </c>
    </row>
    <row r="148" spans="1:9" ht="22.5">
      <c r="A148" s="502" t="s">
        <v>1553</v>
      </c>
      <c r="B148" s="434" t="s">
        <v>1261</v>
      </c>
      <c r="C148" s="431" t="s">
        <v>99</v>
      </c>
      <c r="D148" s="430" t="s">
        <v>410</v>
      </c>
      <c r="E148" s="474">
        <v>1</v>
      </c>
      <c r="F148" s="475">
        <f>G22</f>
        <v>0.44000000000000006</v>
      </c>
      <c r="G148" s="433">
        <f t="shared" si="8"/>
        <v>0.44</v>
      </c>
    </row>
    <row r="149" spans="1:9" ht="14.1" customHeight="1">
      <c r="A149" s="502" t="s">
        <v>1381</v>
      </c>
      <c r="B149" s="434" t="s">
        <v>1300</v>
      </c>
      <c r="C149" s="431" t="s">
        <v>99</v>
      </c>
      <c r="D149" s="430" t="s">
        <v>410</v>
      </c>
      <c r="E149" s="474">
        <v>1</v>
      </c>
      <c r="F149" s="475">
        <f>G38</f>
        <v>0.98</v>
      </c>
      <c r="G149" s="433">
        <f t="shared" si="8"/>
        <v>0.98</v>
      </c>
    </row>
    <row r="150" spans="1:9" ht="22.5">
      <c r="A150" s="448">
        <v>95371</v>
      </c>
      <c r="B150" s="449" t="s">
        <v>1335</v>
      </c>
      <c r="C150" s="431" t="s">
        <v>117</v>
      </c>
      <c r="D150" s="430" t="s">
        <v>410</v>
      </c>
      <c r="E150" s="474">
        <v>1</v>
      </c>
      <c r="F150" s="475">
        <f>G572</f>
        <v>0.25</v>
      </c>
      <c r="G150" s="433">
        <f t="shared" si="8"/>
        <v>0.25</v>
      </c>
    </row>
    <row r="151" spans="1:9" ht="14.1" customHeight="1">
      <c r="C151" s="170"/>
      <c r="D151" s="476"/>
      <c r="E151" s="437"/>
      <c r="F151" s="438" t="s">
        <v>103</v>
      </c>
      <c r="G151" s="456">
        <f>G143+G150</f>
        <v>14.93</v>
      </c>
    </row>
    <row r="152" spans="1:9" ht="14.1" customHeight="1">
      <c r="C152" s="170"/>
      <c r="D152" s="216"/>
      <c r="E152" s="437"/>
      <c r="F152" s="438" t="s">
        <v>105</v>
      </c>
      <c r="G152" s="456">
        <f>SUM(G144:G149)</f>
        <v>4.5600000000000005</v>
      </c>
    </row>
    <row r="153" spans="1:9" ht="14.1" customHeight="1">
      <c r="A153" s="477"/>
      <c r="B153" s="215"/>
      <c r="C153" s="170"/>
      <c r="D153" s="463"/>
      <c r="E153" s="437"/>
      <c r="F153" s="438" t="s">
        <v>106</v>
      </c>
      <c r="G153" s="440">
        <f>SUM(G151:G152)</f>
        <v>19.490000000000002</v>
      </c>
      <c r="H153" s="441"/>
    </row>
    <row r="154" spans="1:9">
      <c r="A154" s="442"/>
      <c r="B154" s="443"/>
      <c r="C154" s="445"/>
      <c r="D154" s="442"/>
      <c r="E154" s="443"/>
      <c r="F154" s="443"/>
      <c r="G154" s="443"/>
      <c r="H154" s="442"/>
      <c r="I154" s="442"/>
    </row>
    <row r="156" spans="1:9">
      <c r="A156" s="170" t="s">
        <v>1369</v>
      </c>
      <c r="C156" s="173"/>
      <c r="D156" s="170"/>
      <c r="E156" s="193"/>
      <c r="H156" s="170"/>
    </row>
    <row r="157" spans="1:9">
      <c r="A157" s="170" t="s">
        <v>33</v>
      </c>
      <c r="B157" s="221" t="s">
        <v>1565</v>
      </c>
      <c r="C157" s="173"/>
      <c r="D157" s="170"/>
      <c r="E157" s="193"/>
      <c r="H157" s="170"/>
    </row>
    <row r="158" spans="1:9">
      <c r="A158" s="170" t="s">
        <v>80</v>
      </c>
      <c r="B158" s="1573" t="s">
        <v>1470</v>
      </c>
      <c r="C158" s="1573"/>
      <c r="D158" s="1573"/>
      <c r="E158" s="506" t="s">
        <v>410</v>
      </c>
      <c r="F158" s="506"/>
      <c r="H158" s="170"/>
    </row>
    <row r="159" spans="1:9" ht="22.5">
      <c r="A159" s="468" t="s">
        <v>30</v>
      </c>
      <c r="B159" s="434" t="s">
        <v>19</v>
      </c>
      <c r="C159" s="430" t="s">
        <v>92</v>
      </c>
      <c r="D159" s="430" t="s">
        <v>88</v>
      </c>
      <c r="E159" s="431" t="s">
        <v>93</v>
      </c>
      <c r="F159" s="432" t="s">
        <v>94</v>
      </c>
      <c r="G159" s="469" t="s">
        <v>95</v>
      </c>
    </row>
    <row r="160" spans="1:9" ht="14.1" customHeight="1">
      <c r="A160" s="502">
        <v>378</v>
      </c>
      <c r="B160" s="434" t="s">
        <v>1576</v>
      </c>
      <c r="C160" s="431" t="s">
        <v>117</v>
      </c>
      <c r="D160" s="430" t="s">
        <v>410</v>
      </c>
      <c r="E160" s="474">
        <v>1</v>
      </c>
      <c r="F160" s="472">
        <f>14.68</f>
        <v>14.68</v>
      </c>
      <c r="G160" s="456">
        <f>TRUNC(E160*F160,2)</f>
        <v>14.68</v>
      </c>
    </row>
    <row r="161" spans="1:9" ht="22.5">
      <c r="A161" s="502" t="s">
        <v>1372</v>
      </c>
      <c r="B161" s="434" t="s">
        <v>1373</v>
      </c>
      <c r="C161" s="431" t="s">
        <v>1374</v>
      </c>
      <c r="D161" s="430" t="s">
        <v>410</v>
      </c>
      <c r="E161" s="474">
        <v>1</v>
      </c>
      <c r="F161" s="475">
        <v>2.15</v>
      </c>
      <c r="G161" s="433">
        <f t="shared" ref="G161:G167" si="9">TRUNC(E161*F161,2)</f>
        <v>2.15</v>
      </c>
    </row>
    <row r="162" spans="1:9" ht="22.5">
      <c r="A162" s="502" t="s">
        <v>1375</v>
      </c>
      <c r="B162" s="434" t="s">
        <v>1376</v>
      </c>
      <c r="C162" s="431" t="s">
        <v>1374</v>
      </c>
      <c r="D162" s="430" t="s">
        <v>410</v>
      </c>
      <c r="E162" s="474">
        <v>1</v>
      </c>
      <c r="F162" s="475">
        <v>0.6</v>
      </c>
      <c r="G162" s="456">
        <f t="shared" si="9"/>
        <v>0.6</v>
      </c>
    </row>
    <row r="163" spans="1:9" ht="22.5">
      <c r="A163" s="502" t="s">
        <v>1377</v>
      </c>
      <c r="B163" s="434" t="s">
        <v>1378</v>
      </c>
      <c r="C163" s="431" t="s">
        <v>1374</v>
      </c>
      <c r="D163" s="430" t="s">
        <v>410</v>
      </c>
      <c r="E163" s="474">
        <v>1</v>
      </c>
      <c r="F163" s="475">
        <v>0.37</v>
      </c>
      <c r="G163" s="433">
        <f t="shared" si="9"/>
        <v>0.37</v>
      </c>
    </row>
    <row r="164" spans="1:9" ht="22.5">
      <c r="A164" s="502" t="s">
        <v>1379</v>
      </c>
      <c r="B164" s="434" t="s">
        <v>1380</v>
      </c>
      <c r="C164" s="431" t="s">
        <v>1374</v>
      </c>
      <c r="D164" s="430" t="s">
        <v>410</v>
      </c>
      <c r="E164" s="474">
        <v>1</v>
      </c>
      <c r="F164" s="475">
        <v>0.02</v>
      </c>
      <c r="G164" s="433">
        <f t="shared" si="9"/>
        <v>0.02</v>
      </c>
    </row>
    <row r="165" spans="1:9" ht="22.5">
      <c r="A165" s="502" t="s">
        <v>1553</v>
      </c>
      <c r="B165" s="434" t="s">
        <v>1261</v>
      </c>
      <c r="C165" s="431" t="s">
        <v>99</v>
      </c>
      <c r="D165" s="430" t="s">
        <v>410</v>
      </c>
      <c r="E165" s="474">
        <v>1</v>
      </c>
      <c r="F165" s="475">
        <f>G22</f>
        <v>0.44000000000000006</v>
      </c>
      <c r="G165" s="433">
        <f t="shared" si="9"/>
        <v>0.44</v>
      </c>
    </row>
    <row r="166" spans="1:9" ht="14.1" customHeight="1">
      <c r="A166" s="502" t="s">
        <v>1381</v>
      </c>
      <c r="B166" s="434" t="s">
        <v>1300</v>
      </c>
      <c r="C166" s="431" t="s">
        <v>99</v>
      </c>
      <c r="D166" s="430" t="s">
        <v>410</v>
      </c>
      <c r="E166" s="474">
        <v>1</v>
      </c>
      <c r="F166" s="475">
        <f>G38</f>
        <v>0.98</v>
      </c>
      <c r="G166" s="433">
        <f t="shared" si="9"/>
        <v>0.98</v>
      </c>
    </row>
    <row r="167" spans="1:9" ht="22.5">
      <c r="A167" s="448">
        <v>95314</v>
      </c>
      <c r="B167" s="434" t="s">
        <v>1463</v>
      </c>
      <c r="C167" s="431" t="s">
        <v>117</v>
      </c>
      <c r="D167" s="430" t="s">
        <v>410</v>
      </c>
      <c r="E167" s="474">
        <v>1</v>
      </c>
      <c r="F167" s="523">
        <f>G1052</f>
        <v>0.13</v>
      </c>
      <c r="G167" s="433">
        <f t="shared" si="9"/>
        <v>0.13</v>
      </c>
    </row>
    <row r="168" spans="1:9" ht="14.1" customHeight="1">
      <c r="C168" s="170"/>
      <c r="D168" s="476"/>
      <c r="E168" s="437"/>
      <c r="F168" s="438" t="s">
        <v>103</v>
      </c>
      <c r="G168" s="456">
        <f>G160+G167</f>
        <v>14.81</v>
      </c>
    </row>
    <row r="169" spans="1:9" ht="14.1" customHeight="1">
      <c r="C169" s="170"/>
      <c r="D169" s="216"/>
      <c r="E169" s="437"/>
      <c r="F169" s="438" t="s">
        <v>105</v>
      </c>
      <c r="G169" s="456">
        <f>SUM(G161:G166)</f>
        <v>4.5600000000000005</v>
      </c>
    </row>
    <row r="170" spans="1:9" ht="14.1" customHeight="1">
      <c r="A170" s="477"/>
      <c r="B170" s="215"/>
      <c r="C170" s="170"/>
      <c r="D170" s="216"/>
      <c r="E170" s="437"/>
      <c r="F170" s="438" t="s">
        <v>106</v>
      </c>
      <c r="G170" s="457">
        <f>SUM(G168:G169)</f>
        <v>19.37</v>
      </c>
      <c r="H170" s="441"/>
    </row>
    <row r="171" spans="1:9">
      <c r="A171" s="521"/>
      <c r="B171" s="522"/>
      <c r="C171" s="445"/>
      <c r="D171" s="442"/>
      <c r="E171" s="443"/>
      <c r="F171" s="443"/>
      <c r="G171" s="443"/>
      <c r="H171" s="442"/>
      <c r="I171" s="442"/>
    </row>
    <row r="173" spans="1:9">
      <c r="A173" s="170" t="s">
        <v>1369</v>
      </c>
      <c r="C173" s="173"/>
      <c r="D173" s="170"/>
      <c r="E173" s="193"/>
      <c r="H173" s="170"/>
    </row>
    <row r="174" spans="1:9">
      <c r="A174" s="170" t="s">
        <v>33</v>
      </c>
      <c r="B174" s="221" t="s">
        <v>1566</v>
      </c>
      <c r="C174" s="173"/>
      <c r="D174" s="170"/>
      <c r="E174" s="193"/>
      <c r="H174" s="170"/>
    </row>
    <row r="175" spans="1:9">
      <c r="A175" s="170" t="s">
        <v>80</v>
      </c>
      <c r="B175" s="1573" t="s">
        <v>1469</v>
      </c>
      <c r="C175" s="1573"/>
      <c r="D175" s="1573"/>
      <c r="E175" s="506" t="s">
        <v>410</v>
      </c>
      <c r="F175" s="506"/>
      <c r="H175" s="170"/>
    </row>
    <row r="176" spans="1:9" ht="22.5">
      <c r="A176" s="515" t="s">
        <v>30</v>
      </c>
      <c r="B176" s="434" t="s">
        <v>19</v>
      </c>
      <c r="C176" s="430" t="s">
        <v>92</v>
      </c>
      <c r="D176" s="430" t="s">
        <v>88</v>
      </c>
      <c r="E176" s="431" t="s">
        <v>93</v>
      </c>
      <c r="F176" s="432" t="s">
        <v>94</v>
      </c>
      <c r="G176" s="469" t="s">
        <v>95</v>
      </c>
    </row>
    <row r="177" spans="1:9" ht="14.1" customHeight="1">
      <c r="A177" s="502">
        <v>6114</v>
      </c>
      <c r="B177" s="434" t="s">
        <v>1577</v>
      </c>
      <c r="C177" s="431" t="s">
        <v>117</v>
      </c>
      <c r="D177" s="430" t="s">
        <v>410</v>
      </c>
      <c r="E177" s="474">
        <v>1</v>
      </c>
      <c r="F177" s="472">
        <f>10.22</f>
        <v>10.220000000000001</v>
      </c>
      <c r="G177" s="456">
        <f>TRUNC(E177*F177,2)</f>
        <v>10.220000000000001</v>
      </c>
    </row>
    <row r="178" spans="1:9" ht="22.5">
      <c r="A178" s="502" t="s">
        <v>1372</v>
      </c>
      <c r="B178" s="434" t="s">
        <v>1373</v>
      </c>
      <c r="C178" s="431" t="s">
        <v>1374</v>
      </c>
      <c r="D178" s="430" t="s">
        <v>410</v>
      </c>
      <c r="E178" s="474">
        <v>1</v>
      </c>
      <c r="F178" s="475">
        <v>2.15</v>
      </c>
      <c r="G178" s="433">
        <f t="shared" ref="G178:G184" si="10">TRUNC(E178*F178,2)</f>
        <v>2.15</v>
      </c>
    </row>
    <row r="179" spans="1:9" ht="22.5">
      <c r="A179" s="502" t="s">
        <v>1375</v>
      </c>
      <c r="B179" s="434" t="s">
        <v>1376</v>
      </c>
      <c r="C179" s="431" t="s">
        <v>1374</v>
      </c>
      <c r="D179" s="430" t="s">
        <v>410</v>
      </c>
      <c r="E179" s="474">
        <v>1</v>
      </c>
      <c r="F179" s="475">
        <v>0.6</v>
      </c>
      <c r="G179" s="456">
        <f t="shared" si="10"/>
        <v>0.6</v>
      </c>
    </row>
    <row r="180" spans="1:9" ht="22.5">
      <c r="A180" s="502" t="s">
        <v>1377</v>
      </c>
      <c r="B180" s="434" t="s">
        <v>1378</v>
      </c>
      <c r="C180" s="431" t="s">
        <v>1374</v>
      </c>
      <c r="D180" s="430" t="s">
        <v>410</v>
      </c>
      <c r="E180" s="474">
        <v>1</v>
      </c>
      <c r="F180" s="475">
        <v>0.37</v>
      </c>
      <c r="G180" s="433">
        <f t="shared" si="10"/>
        <v>0.37</v>
      </c>
    </row>
    <row r="181" spans="1:9" ht="22.5">
      <c r="A181" s="502" t="s">
        <v>1379</v>
      </c>
      <c r="B181" s="434" t="s">
        <v>1380</v>
      </c>
      <c r="C181" s="431" t="s">
        <v>1374</v>
      </c>
      <c r="D181" s="430" t="s">
        <v>410</v>
      </c>
      <c r="E181" s="474">
        <v>1</v>
      </c>
      <c r="F181" s="475">
        <v>0.02</v>
      </c>
      <c r="G181" s="433">
        <f t="shared" si="10"/>
        <v>0.02</v>
      </c>
    </row>
    <row r="182" spans="1:9" ht="22.5">
      <c r="A182" s="502" t="s">
        <v>1553</v>
      </c>
      <c r="B182" s="434" t="s">
        <v>1261</v>
      </c>
      <c r="C182" s="431" t="s">
        <v>99</v>
      </c>
      <c r="D182" s="430" t="s">
        <v>410</v>
      </c>
      <c r="E182" s="474">
        <v>1</v>
      </c>
      <c r="F182" s="475">
        <f>G22</f>
        <v>0.44000000000000006</v>
      </c>
      <c r="G182" s="433">
        <f t="shared" si="10"/>
        <v>0.44</v>
      </c>
    </row>
    <row r="183" spans="1:9" ht="14.1" customHeight="1">
      <c r="A183" s="502" t="s">
        <v>1381</v>
      </c>
      <c r="B183" s="434" t="s">
        <v>1300</v>
      </c>
      <c r="C183" s="431" t="s">
        <v>99</v>
      </c>
      <c r="D183" s="430" t="s">
        <v>410</v>
      </c>
      <c r="E183" s="474">
        <v>1</v>
      </c>
      <c r="F183" s="475">
        <f>G38</f>
        <v>0.98</v>
      </c>
      <c r="G183" s="433">
        <f t="shared" si="10"/>
        <v>0.98</v>
      </c>
    </row>
    <row r="184" spans="1:9" ht="22.5">
      <c r="A184" s="502">
        <v>95308</v>
      </c>
      <c r="B184" s="434" t="s">
        <v>1461</v>
      </c>
      <c r="C184" s="431" t="s">
        <v>117</v>
      </c>
      <c r="D184" s="430" t="s">
        <v>410</v>
      </c>
      <c r="E184" s="474">
        <v>1</v>
      </c>
      <c r="F184" s="475">
        <f>G1042</f>
        <v>0.09</v>
      </c>
      <c r="G184" s="433">
        <f t="shared" si="10"/>
        <v>0.09</v>
      </c>
    </row>
    <row r="185" spans="1:9" ht="14.1" customHeight="1">
      <c r="C185" s="170"/>
      <c r="D185" s="476"/>
      <c r="E185" s="437"/>
      <c r="F185" s="438" t="s">
        <v>103</v>
      </c>
      <c r="G185" s="456">
        <f>G177+G184</f>
        <v>10.31</v>
      </c>
    </row>
    <row r="186" spans="1:9" ht="14.1" customHeight="1">
      <c r="C186" s="170"/>
      <c r="D186" s="216"/>
      <c r="E186" s="437"/>
      <c r="F186" s="438" t="s">
        <v>105</v>
      </c>
      <c r="G186" s="456">
        <f>SUM(G178:G183)</f>
        <v>4.5600000000000005</v>
      </c>
    </row>
    <row r="187" spans="1:9" ht="14.1" customHeight="1">
      <c r="A187" s="477"/>
      <c r="B187" s="215"/>
      <c r="C187" s="170"/>
      <c r="D187" s="216"/>
      <c r="E187" s="437"/>
      <c r="F187" s="438" t="s">
        <v>106</v>
      </c>
      <c r="G187" s="457">
        <f>SUM(G185:G186)</f>
        <v>14.870000000000001</v>
      </c>
      <c r="H187" s="441"/>
    </row>
    <row r="188" spans="1:9">
      <c r="A188" s="521"/>
      <c r="B188" s="522"/>
      <c r="C188" s="445"/>
      <c r="D188" s="442"/>
      <c r="E188" s="443"/>
      <c r="F188" s="443"/>
      <c r="G188" s="443"/>
      <c r="H188" s="442"/>
      <c r="I188" s="442"/>
    </row>
    <row r="190" spans="1:9">
      <c r="A190" s="170" t="s">
        <v>1369</v>
      </c>
      <c r="C190" s="173"/>
      <c r="D190" s="170"/>
      <c r="E190" s="193"/>
      <c r="H190" s="170"/>
    </row>
    <row r="191" spans="1:9">
      <c r="A191" s="170" t="s">
        <v>33</v>
      </c>
      <c r="B191" s="221" t="s">
        <v>1567</v>
      </c>
      <c r="C191" s="173"/>
      <c r="D191" s="170"/>
      <c r="E191" s="193"/>
      <c r="H191" s="170"/>
    </row>
    <row r="192" spans="1:9" ht="15" customHeight="1">
      <c r="A192" s="170" t="s">
        <v>80</v>
      </c>
      <c r="B192" s="1573" t="s">
        <v>971</v>
      </c>
      <c r="C192" s="1573"/>
      <c r="D192" s="1573"/>
      <c r="E192" s="506" t="s">
        <v>410</v>
      </c>
      <c r="F192" s="506"/>
      <c r="H192" s="170"/>
    </row>
    <row r="193" spans="1:9" ht="22.5">
      <c r="A193" s="515" t="s">
        <v>30</v>
      </c>
      <c r="B193" s="434" t="s">
        <v>19</v>
      </c>
      <c r="C193" s="430" t="s">
        <v>92</v>
      </c>
      <c r="D193" s="430" t="s">
        <v>88</v>
      </c>
      <c r="E193" s="431" t="s">
        <v>93</v>
      </c>
      <c r="F193" s="432" t="s">
        <v>94</v>
      </c>
      <c r="G193" s="469" t="s">
        <v>95</v>
      </c>
    </row>
    <row r="194" spans="1:9" ht="14.1" customHeight="1">
      <c r="A194" s="502">
        <v>6117</v>
      </c>
      <c r="B194" s="434" t="s">
        <v>1519</v>
      </c>
      <c r="C194" s="431" t="s">
        <v>117</v>
      </c>
      <c r="D194" s="430" t="s">
        <v>410</v>
      </c>
      <c r="E194" s="474">
        <v>1</v>
      </c>
      <c r="F194" s="472">
        <f>13.74</f>
        <v>13.74</v>
      </c>
      <c r="G194" s="456">
        <f>TRUNC(E194*F194,2)</f>
        <v>13.74</v>
      </c>
    </row>
    <row r="195" spans="1:9" ht="22.5">
      <c r="A195" s="502" t="s">
        <v>1372</v>
      </c>
      <c r="B195" s="434" t="s">
        <v>1373</v>
      </c>
      <c r="C195" s="431" t="s">
        <v>1374</v>
      </c>
      <c r="D195" s="430" t="s">
        <v>410</v>
      </c>
      <c r="E195" s="474">
        <v>1</v>
      </c>
      <c r="F195" s="475">
        <v>2.15</v>
      </c>
      <c r="G195" s="433">
        <f t="shared" ref="G195:G201" si="11">TRUNC(E195*F195,2)</f>
        <v>2.15</v>
      </c>
    </row>
    <row r="196" spans="1:9" ht="22.5">
      <c r="A196" s="502" t="s">
        <v>1375</v>
      </c>
      <c r="B196" s="434" t="s">
        <v>1376</v>
      </c>
      <c r="C196" s="431" t="s">
        <v>1374</v>
      </c>
      <c r="D196" s="430" t="s">
        <v>410</v>
      </c>
      <c r="E196" s="474">
        <v>1</v>
      </c>
      <c r="F196" s="475">
        <v>0.6</v>
      </c>
      <c r="G196" s="456">
        <f t="shared" si="11"/>
        <v>0.6</v>
      </c>
    </row>
    <row r="197" spans="1:9" ht="22.5">
      <c r="A197" s="502" t="s">
        <v>1377</v>
      </c>
      <c r="B197" s="434" t="s">
        <v>1378</v>
      </c>
      <c r="C197" s="431" t="s">
        <v>1374</v>
      </c>
      <c r="D197" s="430" t="s">
        <v>410</v>
      </c>
      <c r="E197" s="474">
        <v>1</v>
      </c>
      <c r="F197" s="475">
        <v>0.37</v>
      </c>
      <c r="G197" s="433">
        <f t="shared" si="11"/>
        <v>0.37</v>
      </c>
    </row>
    <row r="198" spans="1:9" ht="22.5">
      <c r="A198" s="502" t="s">
        <v>1379</v>
      </c>
      <c r="B198" s="434" t="s">
        <v>1380</v>
      </c>
      <c r="C198" s="431" t="s">
        <v>1374</v>
      </c>
      <c r="D198" s="430" t="s">
        <v>410</v>
      </c>
      <c r="E198" s="474">
        <v>1</v>
      </c>
      <c r="F198" s="475">
        <v>0.02</v>
      </c>
      <c r="G198" s="433">
        <f t="shared" si="11"/>
        <v>0.02</v>
      </c>
    </row>
    <row r="199" spans="1:9" ht="22.5">
      <c r="A199" s="502" t="s">
        <v>1553</v>
      </c>
      <c r="B199" s="434" t="s">
        <v>1261</v>
      </c>
      <c r="C199" s="431" t="s">
        <v>99</v>
      </c>
      <c r="D199" s="430" t="s">
        <v>410</v>
      </c>
      <c r="E199" s="474">
        <v>1</v>
      </c>
      <c r="F199" s="475">
        <f>G22</f>
        <v>0.44000000000000006</v>
      </c>
      <c r="G199" s="433">
        <f t="shared" si="11"/>
        <v>0.44</v>
      </c>
    </row>
    <row r="200" spans="1:9" ht="14.1" customHeight="1">
      <c r="A200" s="502" t="s">
        <v>1381</v>
      </c>
      <c r="B200" s="434" t="s">
        <v>1300</v>
      </c>
      <c r="C200" s="431" t="s">
        <v>99</v>
      </c>
      <c r="D200" s="430" t="s">
        <v>410</v>
      </c>
      <c r="E200" s="474">
        <v>1</v>
      </c>
      <c r="F200" s="475">
        <f>G38</f>
        <v>0.98</v>
      </c>
      <c r="G200" s="433">
        <f t="shared" si="11"/>
        <v>0.98</v>
      </c>
    </row>
    <row r="201" spans="1:9" ht="33.75">
      <c r="A201" s="502">
        <v>95309</v>
      </c>
      <c r="B201" s="434" t="s">
        <v>1518</v>
      </c>
      <c r="C201" s="431" t="s">
        <v>117</v>
      </c>
      <c r="D201" s="430" t="s">
        <v>410</v>
      </c>
      <c r="E201" s="474">
        <v>1</v>
      </c>
      <c r="F201" s="475">
        <f>G1423</f>
        <v>0.16</v>
      </c>
      <c r="G201" s="433">
        <f t="shared" si="11"/>
        <v>0.16</v>
      </c>
    </row>
    <row r="202" spans="1:9" ht="14.1" customHeight="1">
      <c r="C202" s="170"/>
      <c r="D202" s="476"/>
      <c r="E202" s="437"/>
      <c r="F202" s="438" t="s">
        <v>103</v>
      </c>
      <c r="G202" s="456">
        <f>G194+G201</f>
        <v>13.9</v>
      </c>
    </row>
    <row r="203" spans="1:9" ht="14.1" customHeight="1">
      <c r="C203" s="170"/>
      <c r="D203" s="216"/>
      <c r="E203" s="437"/>
      <c r="F203" s="438" t="s">
        <v>105</v>
      </c>
      <c r="G203" s="456">
        <f>SUM(G195:G200)</f>
        <v>4.5600000000000005</v>
      </c>
    </row>
    <row r="204" spans="1:9" ht="14.1" customHeight="1">
      <c r="A204" s="477"/>
      <c r="B204" s="215"/>
      <c r="C204" s="170"/>
      <c r="D204" s="216"/>
      <c r="E204" s="437"/>
      <c r="F204" s="438" t="s">
        <v>106</v>
      </c>
      <c r="G204" s="457">
        <f>SUM(G202:G203)</f>
        <v>18.46</v>
      </c>
      <c r="H204" s="441"/>
    </row>
    <row r="205" spans="1:9">
      <c r="A205" s="521"/>
      <c r="B205" s="522"/>
      <c r="C205" s="445"/>
      <c r="D205" s="442"/>
      <c r="E205" s="443"/>
      <c r="F205" s="443"/>
      <c r="G205" s="443"/>
      <c r="H205" s="442"/>
      <c r="I205" s="442"/>
    </row>
    <row r="207" spans="1:9">
      <c r="A207" s="170" t="s">
        <v>1369</v>
      </c>
      <c r="C207" s="173"/>
      <c r="D207" s="170"/>
      <c r="E207" s="193"/>
      <c r="H207" s="170"/>
    </row>
    <row r="208" spans="1:9">
      <c r="A208" s="170" t="s">
        <v>33</v>
      </c>
      <c r="B208" s="221" t="s">
        <v>1568</v>
      </c>
      <c r="C208" s="173"/>
      <c r="D208" s="170"/>
      <c r="E208" s="193"/>
      <c r="H208" s="170"/>
    </row>
    <row r="209" spans="1:9">
      <c r="A209" s="170" t="s">
        <v>80</v>
      </c>
      <c r="B209" s="506" t="s">
        <v>931</v>
      </c>
      <c r="C209" s="506" t="s">
        <v>410</v>
      </c>
      <c r="D209" s="506"/>
      <c r="E209" s="193"/>
      <c r="F209" s="506"/>
      <c r="H209" s="170"/>
    </row>
    <row r="210" spans="1:9" ht="22.5">
      <c r="A210" s="515" t="s">
        <v>30</v>
      </c>
      <c r="B210" s="434" t="s">
        <v>19</v>
      </c>
      <c r="C210" s="430" t="s">
        <v>92</v>
      </c>
      <c r="D210" s="430" t="s">
        <v>88</v>
      </c>
      <c r="E210" s="431" t="s">
        <v>93</v>
      </c>
      <c r="F210" s="432" t="s">
        <v>94</v>
      </c>
      <c r="G210" s="469" t="s">
        <v>95</v>
      </c>
    </row>
    <row r="211" spans="1:9" ht="14.1" customHeight="1">
      <c r="A211" s="448">
        <v>12869</v>
      </c>
      <c r="B211" s="434" t="s">
        <v>1516</v>
      </c>
      <c r="C211" s="431" t="s">
        <v>117</v>
      </c>
      <c r="D211" s="430" t="s">
        <v>410</v>
      </c>
      <c r="E211" s="474">
        <v>1</v>
      </c>
      <c r="F211" s="524">
        <f>16.02</f>
        <v>16.02</v>
      </c>
      <c r="G211" s="456">
        <f>TRUNC(E211*F211,2)</f>
        <v>16.02</v>
      </c>
    </row>
    <row r="212" spans="1:9" ht="22.5">
      <c r="A212" s="502" t="s">
        <v>1372</v>
      </c>
      <c r="B212" s="434" t="s">
        <v>1373</v>
      </c>
      <c r="C212" s="431" t="s">
        <v>1374</v>
      </c>
      <c r="D212" s="430" t="s">
        <v>410</v>
      </c>
      <c r="E212" s="474">
        <v>1</v>
      </c>
      <c r="F212" s="475">
        <v>2.15</v>
      </c>
      <c r="G212" s="433">
        <f t="shared" ref="G212:G218" si="12">TRUNC(E212*F212,2)</f>
        <v>2.15</v>
      </c>
    </row>
    <row r="213" spans="1:9" ht="22.5">
      <c r="A213" s="502" t="s">
        <v>1375</v>
      </c>
      <c r="B213" s="434" t="s">
        <v>1376</v>
      </c>
      <c r="C213" s="431" t="s">
        <v>1374</v>
      </c>
      <c r="D213" s="430" t="s">
        <v>410</v>
      </c>
      <c r="E213" s="474">
        <v>1</v>
      </c>
      <c r="F213" s="475">
        <v>0.6</v>
      </c>
      <c r="G213" s="456">
        <f t="shared" si="12"/>
        <v>0.6</v>
      </c>
    </row>
    <row r="214" spans="1:9" ht="22.5">
      <c r="A214" s="502" t="s">
        <v>1377</v>
      </c>
      <c r="B214" s="434" t="s">
        <v>1378</v>
      </c>
      <c r="C214" s="431" t="s">
        <v>1374</v>
      </c>
      <c r="D214" s="430" t="s">
        <v>410</v>
      </c>
      <c r="E214" s="474">
        <v>1</v>
      </c>
      <c r="F214" s="475">
        <v>0.37</v>
      </c>
      <c r="G214" s="433">
        <f t="shared" si="12"/>
        <v>0.37</v>
      </c>
    </row>
    <row r="215" spans="1:9" ht="22.5">
      <c r="A215" s="502" t="s">
        <v>1379</v>
      </c>
      <c r="B215" s="434" t="s">
        <v>1380</v>
      </c>
      <c r="C215" s="431" t="s">
        <v>1374</v>
      </c>
      <c r="D215" s="430" t="s">
        <v>410</v>
      </c>
      <c r="E215" s="474">
        <v>1</v>
      </c>
      <c r="F215" s="475">
        <v>0.02</v>
      </c>
      <c r="G215" s="433">
        <f t="shared" si="12"/>
        <v>0.02</v>
      </c>
    </row>
    <row r="216" spans="1:9" ht="22.5">
      <c r="A216" s="502" t="s">
        <v>1553</v>
      </c>
      <c r="B216" s="434" t="s">
        <v>1261</v>
      </c>
      <c r="C216" s="431" t="s">
        <v>99</v>
      </c>
      <c r="D216" s="430" t="s">
        <v>410</v>
      </c>
      <c r="E216" s="474">
        <v>1</v>
      </c>
      <c r="F216" s="475">
        <f>G22</f>
        <v>0.44000000000000006</v>
      </c>
      <c r="G216" s="433">
        <f t="shared" si="12"/>
        <v>0.44</v>
      </c>
    </row>
    <row r="217" spans="1:9" ht="14.1" customHeight="1">
      <c r="A217" s="502" t="s">
        <v>1381</v>
      </c>
      <c r="B217" s="434" t="s">
        <v>1300</v>
      </c>
      <c r="C217" s="431" t="s">
        <v>99</v>
      </c>
      <c r="D217" s="430" t="s">
        <v>410</v>
      </c>
      <c r="E217" s="474">
        <v>1</v>
      </c>
      <c r="F217" s="475">
        <f>G38</f>
        <v>0.98</v>
      </c>
      <c r="G217" s="433">
        <f t="shared" si="12"/>
        <v>0.98</v>
      </c>
    </row>
    <row r="218" spans="1:9" ht="22.5">
      <c r="A218" s="448">
        <v>95385</v>
      </c>
      <c r="B218" s="434" t="s">
        <v>1515</v>
      </c>
      <c r="C218" s="431" t="s">
        <v>117</v>
      </c>
      <c r="D218" s="430" t="s">
        <v>410</v>
      </c>
      <c r="E218" s="474">
        <v>1</v>
      </c>
      <c r="F218" s="523">
        <f>G1413</f>
        <v>0.12</v>
      </c>
      <c r="G218" s="433">
        <f t="shared" si="12"/>
        <v>0.12</v>
      </c>
    </row>
    <row r="219" spans="1:9" ht="14.1" customHeight="1">
      <c r="C219" s="170"/>
      <c r="D219" s="476"/>
      <c r="E219" s="437"/>
      <c r="F219" s="438" t="s">
        <v>103</v>
      </c>
      <c r="G219" s="456">
        <f>G211+G218</f>
        <v>16.14</v>
      </c>
    </row>
    <row r="220" spans="1:9" ht="14.1" customHeight="1">
      <c r="C220" s="170"/>
      <c r="D220" s="216"/>
      <c r="E220" s="437"/>
      <c r="F220" s="438" t="s">
        <v>105</v>
      </c>
      <c r="G220" s="456">
        <f>SUM(G212:G217)</f>
        <v>4.5600000000000005</v>
      </c>
    </row>
    <row r="221" spans="1:9" ht="14.1" customHeight="1">
      <c r="A221" s="477"/>
      <c r="B221" s="215"/>
      <c r="C221" s="170"/>
      <c r="D221" s="216"/>
      <c r="E221" s="437"/>
      <c r="F221" s="438" t="s">
        <v>106</v>
      </c>
      <c r="G221" s="457">
        <f>SUM(G219:G220)</f>
        <v>20.700000000000003</v>
      </c>
      <c r="H221" s="441"/>
    </row>
    <row r="222" spans="1:9">
      <c r="A222" s="521"/>
      <c r="B222" s="522"/>
      <c r="C222" s="445"/>
      <c r="D222" s="442"/>
      <c r="E222" s="443"/>
      <c r="F222" s="443"/>
      <c r="G222" s="443"/>
      <c r="H222" s="442"/>
      <c r="I222" s="442"/>
    </row>
    <row r="224" spans="1:9">
      <c r="A224" s="170" t="s">
        <v>1369</v>
      </c>
      <c r="C224" s="173"/>
      <c r="D224" s="170"/>
      <c r="E224" s="193"/>
      <c r="H224" s="170"/>
    </row>
    <row r="225" spans="1:9">
      <c r="A225" s="170" t="s">
        <v>33</v>
      </c>
      <c r="B225" s="221" t="s">
        <v>1569</v>
      </c>
      <c r="C225" s="173"/>
      <c r="D225" s="170"/>
      <c r="E225" s="193"/>
      <c r="H225" s="170"/>
    </row>
    <row r="226" spans="1:9">
      <c r="A226" s="170" t="s">
        <v>80</v>
      </c>
      <c r="B226" s="1573" t="s">
        <v>1024</v>
      </c>
      <c r="C226" s="1573"/>
      <c r="D226" s="1573"/>
      <c r="E226" s="506" t="s">
        <v>410</v>
      </c>
      <c r="F226" s="506"/>
      <c r="H226" s="170"/>
    </row>
    <row r="227" spans="1:9" ht="22.5">
      <c r="A227" s="515" t="s">
        <v>30</v>
      </c>
      <c r="B227" s="434" t="s">
        <v>19</v>
      </c>
      <c r="C227" s="430" t="s">
        <v>92</v>
      </c>
      <c r="D227" s="430" t="s">
        <v>88</v>
      </c>
      <c r="E227" s="431" t="s">
        <v>93</v>
      </c>
      <c r="F227" s="432" t="s">
        <v>94</v>
      </c>
      <c r="G227" s="469" t="s">
        <v>95</v>
      </c>
    </row>
    <row r="228" spans="1:9" ht="14.1" customHeight="1">
      <c r="A228" s="448">
        <v>4783</v>
      </c>
      <c r="B228" s="434" t="s">
        <v>1522</v>
      </c>
      <c r="C228" s="431" t="s">
        <v>117</v>
      </c>
      <c r="D228" s="430" t="s">
        <v>410</v>
      </c>
      <c r="E228" s="474">
        <v>1</v>
      </c>
      <c r="F228" s="524">
        <f>14.68</f>
        <v>14.68</v>
      </c>
      <c r="G228" s="456">
        <f>TRUNC(E228*F228,2)</f>
        <v>14.68</v>
      </c>
    </row>
    <row r="229" spans="1:9" ht="22.5">
      <c r="A229" s="502" t="s">
        <v>1372</v>
      </c>
      <c r="B229" s="434" t="s">
        <v>1373</v>
      </c>
      <c r="C229" s="431" t="s">
        <v>1374</v>
      </c>
      <c r="D229" s="430" t="s">
        <v>410</v>
      </c>
      <c r="E229" s="474">
        <v>1</v>
      </c>
      <c r="F229" s="475">
        <v>2.15</v>
      </c>
      <c r="G229" s="433">
        <f t="shared" ref="G229:G235" si="13">TRUNC(E229*F229,2)</f>
        <v>2.15</v>
      </c>
    </row>
    <row r="230" spans="1:9" ht="22.5">
      <c r="A230" s="502" t="s">
        <v>1375</v>
      </c>
      <c r="B230" s="434" t="s">
        <v>1376</v>
      </c>
      <c r="C230" s="431" t="s">
        <v>1374</v>
      </c>
      <c r="D230" s="430" t="s">
        <v>410</v>
      </c>
      <c r="E230" s="474">
        <v>1</v>
      </c>
      <c r="F230" s="475">
        <v>0.6</v>
      </c>
      <c r="G230" s="456">
        <f t="shared" si="13"/>
        <v>0.6</v>
      </c>
    </row>
    <row r="231" spans="1:9" ht="22.5">
      <c r="A231" s="502" t="s">
        <v>1377</v>
      </c>
      <c r="B231" s="434" t="s">
        <v>1378</v>
      </c>
      <c r="C231" s="431" t="s">
        <v>1374</v>
      </c>
      <c r="D231" s="430" t="s">
        <v>410</v>
      </c>
      <c r="E231" s="474">
        <v>1</v>
      </c>
      <c r="F231" s="475">
        <v>0.37</v>
      </c>
      <c r="G231" s="433">
        <f t="shared" si="13"/>
        <v>0.37</v>
      </c>
    </row>
    <row r="232" spans="1:9" ht="22.5">
      <c r="A232" s="502" t="s">
        <v>1379</v>
      </c>
      <c r="B232" s="434" t="s">
        <v>1380</v>
      </c>
      <c r="C232" s="431" t="s">
        <v>1374</v>
      </c>
      <c r="D232" s="430" t="s">
        <v>410</v>
      </c>
      <c r="E232" s="474">
        <v>1</v>
      </c>
      <c r="F232" s="475">
        <v>0.02</v>
      </c>
      <c r="G232" s="433">
        <f t="shared" si="13"/>
        <v>0.02</v>
      </c>
    </row>
    <row r="233" spans="1:9" ht="22.5">
      <c r="A233" s="502" t="s">
        <v>1553</v>
      </c>
      <c r="B233" s="434" t="s">
        <v>1261</v>
      </c>
      <c r="C233" s="431" t="s">
        <v>99</v>
      </c>
      <c r="D233" s="430" t="s">
        <v>410</v>
      </c>
      <c r="E233" s="474">
        <v>1</v>
      </c>
      <c r="F233" s="475">
        <f>G22</f>
        <v>0.44000000000000006</v>
      </c>
      <c r="G233" s="433">
        <f t="shared" si="13"/>
        <v>0.44</v>
      </c>
    </row>
    <row r="234" spans="1:9" ht="14.1" customHeight="1">
      <c r="A234" s="502" t="s">
        <v>1381</v>
      </c>
      <c r="B234" s="434" t="s">
        <v>1300</v>
      </c>
      <c r="C234" s="431" t="s">
        <v>99</v>
      </c>
      <c r="D234" s="430" t="s">
        <v>410</v>
      </c>
      <c r="E234" s="474">
        <v>1</v>
      </c>
      <c r="F234" s="475">
        <f>G38</f>
        <v>0.98</v>
      </c>
      <c r="G234" s="433">
        <f t="shared" si="13"/>
        <v>0.98</v>
      </c>
    </row>
    <row r="235" spans="1:9" ht="22.5">
      <c r="A235" s="448">
        <v>95372</v>
      </c>
      <c r="B235" s="434" t="s">
        <v>1521</v>
      </c>
      <c r="C235" s="431" t="s">
        <v>117</v>
      </c>
      <c r="D235" s="430" t="s">
        <v>410</v>
      </c>
      <c r="E235" s="474">
        <v>1</v>
      </c>
      <c r="F235" s="523">
        <f>G1433</f>
        <v>0.17</v>
      </c>
      <c r="G235" s="433">
        <f t="shared" si="13"/>
        <v>0.17</v>
      </c>
    </row>
    <row r="236" spans="1:9" ht="14.1" customHeight="1">
      <c r="C236" s="170"/>
      <c r="D236" s="476"/>
      <c r="E236" s="437"/>
      <c r="F236" s="438" t="s">
        <v>103</v>
      </c>
      <c r="G236" s="456">
        <f>G228+G235</f>
        <v>14.85</v>
      </c>
    </row>
    <row r="237" spans="1:9" ht="14.1" customHeight="1">
      <c r="C237" s="170"/>
      <c r="D237" s="216"/>
      <c r="E237" s="437"/>
      <c r="F237" s="438" t="s">
        <v>105</v>
      </c>
      <c r="G237" s="456">
        <f>SUM(G229:G234)</f>
        <v>4.5600000000000005</v>
      </c>
    </row>
    <row r="238" spans="1:9" ht="14.1" customHeight="1">
      <c r="A238" s="477"/>
      <c r="B238" s="215"/>
      <c r="C238" s="170"/>
      <c r="D238" s="216"/>
      <c r="E238" s="437"/>
      <c r="F238" s="438" t="s">
        <v>106</v>
      </c>
      <c r="G238" s="457">
        <f>SUM(G236:G237)</f>
        <v>19.41</v>
      </c>
      <c r="H238" s="441"/>
    </row>
    <row r="239" spans="1:9">
      <c r="A239" s="521"/>
      <c r="B239" s="522"/>
      <c r="C239" s="445"/>
      <c r="D239" s="442"/>
      <c r="E239" s="443"/>
      <c r="F239" s="443"/>
      <c r="G239" s="443"/>
      <c r="H239" s="442"/>
      <c r="I239" s="442"/>
    </row>
    <row r="241" spans="1:9">
      <c r="A241" s="170" t="s">
        <v>1369</v>
      </c>
      <c r="C241" s="173"/>
      <c r="D241" s="170"/>
      <c r="E241" s="193"/>
      <c r="H241" s="170"/>
    </row>
    <row r="242" spans="1:9">
      <c r="A242" s="170" t="s">
        <v>33</v>
      </c>
      <c r="B242" s="221" t="s">
        <v>1569</v>
      </c>
      <c r="C242" s="173"/>
      <c r="D242" s="170"/>
      <c r="E242" s="193"/>
      <c r="H242" s="170"/>
    </row>
    <row r="243" spans="1:9">
      <c r="A243" s="170" t="s">
        <v>80</v>
      </c>
      <c r="B243" s="1573" t="s">
        <v>306</v>
      </c>
      <c r="C243" s="1573"/>
      <c r="D243" s="1573"/>
      <c r="E243" s="506" t="s">
        <v>410</v>
      </c>
      <c r="F243" s="506"/>
      <c r="H243" s="170"/>
    </row>
    <row r="244" spans="1:9" ht="22.5">
      <c r="A244" s="515" t="s">
        <v>30</v>
      </c>
      <c r="B244" s="434" t="s">
        <v>19</v>
      </c>
      <c r="C244" s="430" t="s">
        <v>92</v>
      </c>
      <c r="D244" s="430" t="s">
        <v>88</v>
      </c>
      <c r="E244" s="431" t="s">
        <v>93</v>
      </c>
      <c r="F244" s="432" t="s">
        <v>94</v>
      </c>
      <c r="G244" s="469" t="s">
        <v>95</v>
      </c>
    </row>
    <row r="245" spans="1:9" ht="14.1" customHeight="1">
      <c r="A245" s="448">
        <v>4783</v>
      </c>
      <c r="B245" s="434" t="s">
        <v>1570</v>
      </c>
      <c r="C245" s="431" t="s">
        <v>117</v>
      </c>
      <c r="D245" s="430" t="s">
        <v>410</v>
      </c>
      <c r="E245" s="474">
        <v>1</v>
      </c>
      <c r="F245" s="524">
        <f>15.19</f>
        <v>15.19</v>
      </c>
      <c r="G245" s="456">
        <f>TRUNC(E245*F245,2)</f>
        <v>15.19</v>
      </c>
    </row>
    <row r="246" spans="1:9" ht="22.5">
      <c r="A246" s="502" t="s">
        <v>1372</v>
      </c>
      <c r="B246" s="434" t="s">
        <v>1373</v>
      </c>
      <c r="C246" s="431" t="s">
        <v>1374</v>
      </c>
      <c r="D246" s="430" t="s">
        <v>410</v>
      </c>
      <c r="E246" s="474">
        <v>1</v>
      </c>
      <c r="F246" s="475">
        <v>2.15</v>
      </c>
      <c r="G246" s="433">
        <f t="shared" ref="G246:G252" si="14">TRUNC(E246*F246,2)</f>
        <v>2.15</v>
      </c>
    </row>
    <row r="247" spans="1:9" ht="22.5">
      <c r="A247" s="502" t="s">
        <v>1375</v>
      </c>
      <c r="B247" s="434" t="s">
        <v>1376</v>
      </c>
      <c r="C247" s="431" t="s">
        <v>1374</v>
      </c>
      <c r="D247" s="430" t="s">
        <v>410</v>
      </c>
      <c r="E247" s="474">
        <v>1</v>
      </c>
      <c r="F247" s="475">
        <v>0.6</v>
      </c>
      <c r="G247" s="456">
        <f t="shared" si="14"/>
        <v>0.6</v>
      </c>
    </row>
    <row r="248" spans="1:9" ht="22.5">
      <c r="A248" s="502" t="s">
        <v>1377</v>
      </c>
      <c r="B248" s="434" t="s">
        <v>1378</v>
      </c>
      <c r="C248" s="431" t="s">
        <v>1374</v>
      </c>
      <c r="D248" s="430" t="s">
        <v>410</v>
      </c>
      <c r="E248" s="474">
        <v>1</v>
      </c>
      <c r="F248" s="475">
        <v>0.37</v>
      </c>
      <c r="G248" s="433">
        <f t="shared" si="14"/>
        <v>0.37</v>
      </c>
    </row>
    <row r="249" spans="1:9" ht="22.5">
      <c r="A249" s="502" t="s">
        <v>1379</v>
      </c>
      <c r="B249" s="434" t="s">
        <v>1380</v>
      </c>
      <c r="C249" s="431" t="s">
        <v>1374</v>
      </c>
      <c r="D249" s="430" t="s">
        <v>410</v>
      </c>
      <c r="E249" s="474">
        <v>1</v>
      </c>
      <c r="F249" s="475">
        <v>0.02</v>
      </c>
      <c r="G249" s="433">
        <f t="shared" si="14"/>
        <v>0.02</v>
      </c>
    </row>
    <row r="250" spans="1:9" ht="22.5">
      <c r="A250" s="502" t="s">
        <v>1553</v>
      </c>
      <c r="B250" s="434" t="s">
        <v>1261</v>
      </c>
      <c r="C250" s="431" t="s">
        <v>99</v>
      </c>
      <c r="D250" s="430" t="s">
        <v>410</v>
      </c>
      <c r="E250" s="474">
        <v>1</v>
      </c>
      <c r="F250" s="475">
        <f>G22</f>
        <v>0.44000000000000006</v>
      </c>
      <c r="G250" s="433">
        <f t="shared" si="14"/>
        <v>0.44</v>
      </c>
    </row>
    <row r="251" spans="1:9" ht="14.1" customHeight="1">
      <c r="A251" s="502" t="s">
        <v>1381</v>
      </c>
      <c r="B251" s="434" t="s">
        <v>1300</v>
      </c>
      <c r="C251" s="431" t="s">
        <v>99</v>
      </c>
      <c r="D251" s="430" t="s">
        <v>410</v>
      </c>
      <c r="E251" s="474">
        <v>1</v>
      </c>
      <c r="F251" s="475">
        <f>G38</f>
        <v>0.98</v>
      </c>
      <c r="G251" s="433">
        <f t="shared" si="14"/>
        <v>0.98</v>
      </c>
    </row>
    <row r="252" spans="1:9" ht="22.5">
      <c r="A252" s="448">
        <v>95332</v>
      </c>
      <c r="B252" s="434" t="s">
        <v>1527</v>
      </c>
      <c r="C252" s="431" t="s">
        <v>117</v>
      </c>
      <c r="D252" s="430" t="s">
        <v>410</v>
      </c>
      <c r="E252" s="474">
        <v>1</v>
      </c>
      <c r="F252" s="523">
        <f>G1453</f>
        <v>0.45</v>
      </c>
      <c r="G252" s="433">
        <f t="shared" si="14"/>
        <v>0.45</v>
      </c>
    </row>
    <row r="253" spans="1:9" ht="14.1" customHeight="1">
      <c r="C253" s="170"/>
      <c r="D253" s="476"/>
      <c r="E253" s="437"/>
      <c r="F253" s="438" t="s">
        <v>103</v>
      </c>
      <c r="G253" s="456">
        <f>G245+G252</f>
        <v>15.639999999999999</v>
      </c>
    </row>
    <row r="254" spans="1:9" ht="14.1" customHeight="1">
      <c r="C254" s="170"/>
      <c r="D254" s="216"/>
      <c r="E254" s="437"/>
      <c r="F254" s="438" t="s">
        <v>105</v>
      </c>
      <c r="G254" s="456">
        <f>SUM(G246:G251)</f>
        <v>4.5600000000000005</v>
      </c>
    </row>
    <row r="255" spans="1:9" ht="14.1" customHeight="1">
      <c r="A255" s="477"/>
      <c r="B255" s="215"/>
      <c r="C255" s="170"/>
      <c r="D255" s="216"/>
      <c r="E255" s="437"/>
      <c r="F255" s="438" t="s">
        <v>106</v>
      </c>
      <c r="G255" s="457">
        <f>SUM(G253:G254)</f>
        <v>20.2</v>
      </c>
      <c r="H255" s="441"/>
    </row>
    <row r="256" spans="1:9">
      <c r="A256" s="521"/>
      <c r="B256" s="522"/>
      <c r="C256" s="445"/>
      <c r="D256" s="442"/>
      <c r="E256" s="443"/>
      <c r="F256" s="443"/>
      <c r="G256" s="443"/>
      <c r="H256" s="442"/>
      <c r="I256" s="442"/>
    </row>
    <row r="258" spans="1:8">
      <c r="A258" s="170" t="s">
        <v>1369</v>
      </c>
      <c r="C258" s="173"/>
      <c r="D258" s="170"/>
      <c r="E258" s="193"/>
      <c r="H258" s="170"/>
    </row>
    <row r="259" spans="1:8" ht="15" customHeight="1">
      <c r="A259" s="170" t="s">
        <v>33</v>
      </c>
      <c r="B259" s="221" t="s">
        <v>2538</v>
      </c>
      <c r="C259" s="173"/>
      <c r="D259" s="170"/>
      <c r="E259" s="193"/>
      <c r="H259" s="170"/>
    </row>
    <row r="260" spans="1:8" ht="15.75" customHeight="1">
      <c r="A260" s="170" t="s">
        <v>80</v>
      </c>
      <c r="B260" s="506" t="s">
        <v>2531</v>
      </c>
      <c r="C260" s="506" t="s">
        <v>410</v>
      </c>
      <c r="D260" s="506"/>
      <c r="F260" s="506"/>
      <c r="H260" s="170"/>
    </row>
    <row r="261" spans="1:8" ht="22.5">
      <c r="A261" s="515" t="s">
        <v>30</v>
      </c>
      <c r="B261" s="987" t="s">
        <v>19</v>
      </c>
      <c r="C261" s="430" t="s">
        <v>92</v>
      </c>
      <c r="D261" s="430" t="s">
        <v>88</v>
      </c>
      <c r="E261" s="989" t="s">
        <v>93</v>
      </c>
      <c r="F261" s="432" t="s">
        <v>94</v>
      </c>
      <c r="G261" s="469" t="s">
        <v>95</v>
      </c>
    </row>
    <row r="262" spans="1:8" ht="15" customHeight="1">
      <c r="A262" s="992">
        <v>7595</v>
      </c>
      <c r="B262" s="987" t="s">
        <v>2537</v>
      </c>
      <c r="C262" s="989" t="s">
        <v>117</v>
      </c>
      <c r="D262" s="430" t="s">
        <v>410</v>
      </c>
      <c r="E262" s="474">
        <v>1</v>
      </c>
      <c r="F262" s="524">
        <f>7.54</f>
        <v>7.54</v>
      </c>
      <c r="G262" s="456">
        <f>TRUNC(E262*F262,2)</f>
        <v>7.54</v>
      </c>
    </row>
    <row r="263" spans="1:8" ht="22.5">
      <c r="A263" s="986" t="s">
        <v>1372</v>
      </c>
      <c r="B263" s="987" t="s">
        <v>1373</v>
      </c>
      <c r="C263" s="989" t="s">
        <v>1374</v>
      </c>
      <c r="D263" s="430" t="s">
        <v>410</v>
      </c>
      <c r="E263" s="474">
        <v>1</v>
      </c>
      <c r="F263" s="475">
        <v>2.15</v>
      </c>
      <c r="G263" s="433">
        <f t="shared" ref="G263:G269" si="15">TRUNC(E263*F263,2)</f>
        <v>2.15</v>
      </c>
    </row>
    <row r="264" spans="1:8" ht="22.5">
      <c r="A264" s="986" t="s">
        <v>1375</v>
      </c>
      <c r="B264" s="987" t="s">
        <v>1376</v>
      </c>
      <c r="C264" s="989" t="s">
        <v>1374</v>
      </c>
      <c r="D264" s="430" t="s">
        <v>410</v>
      </c>
      <c r="E264" s="474">
        <v>1</v>
      </c>
      <c r="F264" s="475">
        <v>0.6</v>
      </c>
      <c r="G264" s="456">
        <f t="shared" si="15"/>
        <v>0.6</v>
      </c>
    </row>
    <row r="265" spans="1:8" ht="22.5">
      <c r="A265" s="986" t="s">
        <v>1377</v>
      </c>
      <c r="B265" s="987" t="s">
        <v>1378</v>
      </c>
      <c r="C265" s="989" t="s">
        <v>1374</v>
      </c>
      <c r="D265" s="430" t="s">
        <v>410</v>
      </c>
      <c r="E265" s="474">
        <v>1</v>
      </c>
      <c r="F265" s="475">
        <v>0.37</v>
      </c>
      <c r="G265" s="433">
        <f t="shared" si="15"/>
        <v>0.37</v>
      </c>
    </row>
    <row r="266" spans="1:8" ht="22.5">
      <c r="A266" s="986" t="s">
        <v>1379</v>
      </c>
      <c r="B266" s="987" t="s">
        <v>1380</v>
      </c>
      <c r="C266" s="989" t="s">
        <v>1374</v>
      </c>
      <c r="D266" s="430" t="s">
        <v>410</v>
      </c>
      <c r="E266" s="474">
        <v>1</v>
      </c>
      <c r="F266" s="475">
        <v>0.02</v>
      </c>
      <c r="G266" s="433">
        <f t="shared" si="15"/>
        <v>0.02</v>
      </c>
    </row>
    <row r="267" spans="1:8" ht="22.5">
      <c r="A267" s="986" t="s">
        <v>1553</v>
      </c>
      <c r="B267" s="987" t="s">
        <v>1261</v>
      </c>
      <c r="C267" s="989" t="s">
        <v>99</v>
      </c>
      <c r="D267" s="430" t="s">
        <v>410</v>
      </c>
      <c r="E267" s="474">
        <v>1</v>
      </c>
      <c r="F267" s="475">
        <f>G22</f>
        <v>0.44000000000000006</v>
      </c>
      <c r="G267" s="433">
        <f t="shared" si="15"/>
        <v>0.44</v>
      </c>
    </row>
    <row r="268" spans="1:8" ht="15" customHeight="1">
      <c r="A268" s="986" t="s">
        <v>1381</v>
      </c>
      <c r="B268" s="987" t="s">
        <v>1300</v>
      </c>
      <c r="C268" s="989" t="s">
        <v>99</v>
      </c>
      <c r="D268" s="430" t="s">
        <v>410</v>
      </c>
      <c r="E268" s="474">
        <v>1</v>
      </c>
      <c r="F268" s="475">
        <f>G38</f>
        <v>0.98</v>
      </c>
      <c r="G268" s="433">
        <f t="shared" si="15"/>
        <v>0.98</v>
      </c>
    </row>
    <row r="269" spans="1:8" ht="22.5">
      <c r="A269" s="992">
        <v>95352</v>
      </c>
      <c r="B269" s="987" t="s">
        <v>2539</v>
      </c>
      <c r="C269" s="989" t="s">
        <v>117</v>
      </c>
      <c r="D269" s="430" t="s">
        <v>410</v>
      </c>
      <c r="E269" s="474">
        <v>1</v>
      </c>
      <c r="F269" s="523">
        <f>G472</f>
        <v>0.05</v>
      </c>
      <c r="G269" s="433">
        <f t="shared" si="15"/>
        <v>0.05</v>
      </c>
    </row>
    <row r="270" spans="1:8" ht="15" customHeight="1">
      <c r="C270" s="170"/>
      <c r="D270" s="476"/>
      <c r="E270" s="437"/>
      <c r="F270" s="438" t="s">
        <v>103</v>
      </c>
      <c r="G270" s="456">
        <f>G262+G269</f>
        <v>7.59</v>
      </c>
    </row>
    <row r="271" spans="1:8" ht="15" customHeight="1">
      <c r="C271" s="170"/>
      <c r="D271" s="216"/>
      <c r="E271" s="437"/>
      <c r="F271" s="438" t="s">
        <v>105</v>
      </c>
      <c r="G271" s="456">
        <f>SUM(G263:G268)</f>
        <v>4.5600000000000005</v>
      </c>
    </row>
    <row r="272" spans="1:8" ht="15" customHeight="1">
      <c r="A272" s="477"/>
      <c r="B272" s="215"/>
      <c r="C272" s="170"/>
      <c r="D272" s="216"/>
      <c r="E272" s="437"/>
      <c r="F272" s="438" t="s">
        <v>106</v>
      </c>
      <c r="G272" s="457">
        <f>SUM(G270:G271)</f>
        <v>12.15</v>
      </c>
      <c r="H272" s="441"/>
    </row>
    <row r="273" spans="1:8">
      <c r="A273" s="521"/>
      <c r="B273" s="522"/>
      <c r="C273" s="445"/>
      <c r="D273" s="442"/>
      <c r="E273" s="443"/>
      <c r="F273" s="443"/>
      <c r="G273" s="443"/>
      <c r="H273" s="442"/>
    </row>
    <row r="275" spans="1:8">
      <c r="A275" s="170" t="s">
        <v>1369</v>
      </c>
      <c r="C275" s="173"/>
      <c r="D275" s="170"/>
      <c r="E275" s="193"/>
      <c r="H275" s="170"/>
    </row>
    <row r="276" spans="1:8">
      <c r="A276" s="170" t="s">
        <v>33</v>
      </c>
      <c r="B276" s="221" t="s">
        <v>1569</v>
      </c>
      <c r="C276" s="173"/>
      <c r="D276" s="170"/>
      <c r="E276" s="193"/>
      <c r="H276" s="170"/>
    </row>
    <row r="277" spans="1:8">
      <c r="A277" s="170" t="s">
        <v>80</v>
      </c>
      <c r="B277" s="1573" t="s">
        <v>1068</v>
      </c>
      <c r="C277" s="1573"/>
      <c r="D277" s="1573"/>
      <c r="E277" s="506" t="s">
        <v>410</v>
      </c>
      <c r="F277" s="506"/>
      <c r="H277" s="170"/>
    </row>
    <row r="278" spans="1:8" ht="22.5">
      <c r="A278" s="515" t="s">
        <v>30</v>
      </c>
      <c r="B278" s="434" t="s">
        <v>19</v>
      </c>
      <c r="C278" s="430" t="s">
        <v>92</v>
      </c>
      <c r="D278" s="430" t="s">
        <v>88</v>
      </c>
      <c r="E278" s="431" t="s">
        <v>93</v>
      </c>
      <c r="F278" s="432" t="s">
        <v>94</v>
      </c>
      <c r="G278" s="469" t="s">
        <v>95</v>
      </c>
    </row>
    <row r="279" spans="1:8" ht="14.1" customHeight="1">
      <c r="A279" s="448">
        <v>247</v>
      </c>
      <c r="B279" s="434" t="s">
        <v>1571</v>
      </c>
      <c r="C279" s="431" t="s">
        <v>117</v>
      </c>
      <c r="D279" s="430" t="s">
        <v>410</v>
      </c>
      <c r="E279" s="474">
        <v>1</v>
      </c>
      <c r="F279" s="524">
        <f>10.66</f>
        <v>10.66</v>
      </c>
      <c r="G279" s="456">
        <f>TRUNC(E279*F279,2)</f>
        <v>10.66</v>
      </c>
    </row>
    <row r="280" spans="1:8" ht="22.5">
      <c r="A280" s="502" t="s">
        <v>1372</v>
      </c>
      <c r="B280" s="434" t="s">
        <v>1373</v>
      </c>
      <c r="C280" s="431" t="s">
        <v>1374</v>
      </c>
      <c r="D280" s="430" t="s">
        <v>410</v>
      </c>
      <c r="E280" s="474">
        <v>1</v>
      </c>
      <c r="F280" s="475">
        <v>2.15</v>
      </c>
      <c r="G280" s="433">
        <f t="shared" ref="G280:G286" si="16">TRUNC(E280*F280,2)</f>
        <v>2.15</v>
      </c>
    </row>
    <row r="281" spans="1:8" ht="22.5">
      <c r="A281" s="502" t="s">
        <v>1375</v>
      </c>
      <c r="B281" s="434" t="s">
        <v>1376</v>
      </c>
      <c r="C281" s="431" t="s">
        <v>1374</v>
      </c>
      <c r="D281" s="430" t="s">
        <v>410</v>
      </c>
      <c r="E281" s="474">
        <v>1</v>
      </c>
      <c r="F281" s="475">
        <v>0.6</v>
      </c>
      <c r="G281" s="456">
        <f t="shared" si="16"/>
        <v>0.6</v>
      </c>
    </row>
    <row r="282" spans="1:8" ht="22.5">
      <c r="A282" s="502" t="s">
        <v>1377</v>
      </c>
      <c r="B282" s="434" t="s">
        <v>1378</v>
      </c>
      <c r="C282" s="431" t="s">
        <v>1374</v>
      </c>
      <c r="D282" s="430" t="s">
        <v>410</v>
      </c>
      <c r="E282" s="474">
        <v>1</v>
      </c>
      <c r="F282" s="475">
        <v>0.37</v>
      </c>
      <c r="G282" s="433">
        <f t="shared" si="16"/>
        <v>0.37</v>
      </c>
    </row>
    <row r="283" spans="1:8" ht="22.5">
      <c r="A283" s="502" t="s">
        <v>1379</v>
      </c>
      <c r="B283" s="434" t="s">
        <v>1380</v>
      </c>
      <c r="C283" s="431" t="s">
        <v>1374</v>
      </c>
      <c r="D283" s="430" t="s">
        <v>410</v>
      </c>
      <c r="E283" s="474">
        <v>1</v>
      </c>
      <c r="F283" s="475">
        <v>0.02</v>
      </c>
      <c r="G283" s="433">
        <f t="shared" si="16"/>
        <v>0.02</v>
      </c>
    </row>
    <row r="284" spans="1:8" ht="22.5">
      <c r="A284" s="502" t="s">
        <v>1553</v>
      </c>
      <c r="B284" s="434" t="s">
        <v>1261</v>
      </c>
      <c r="C284" s="431" t="s">
        <v>99</v>
      </c>
      <c r="D284" s="430" t="s">
        <v>410</v>
      </c>
      <c r="E284" s="474">
        <v>1</v>
      </c>
      <c r="F284" s="475">
        <f>G22</f>
        <v>0.44000000000000006</v>
      </c>
      <c r="G284" s="433">
        <f t="shared" si="16"/>
        <v>0.44</v>
      </c>
    </row>
    <row r="285" spans="1:8" ht="14.1" customHeight="1">
      <c r="A285" s="502" t="s">
        <v>1381</v>
      </c>
      <c r="B285" s="434" t="s">
        <v>1300</v>
      </c>
      <c r="C285" s="431" t="s">
        <v>99</v>
      </c>
      <c r="D285" s="430" t="s">
        <v>410</v>
      </c>
      <c r="E285" s="474">
        <v>1</v>
      </c>
      <c r="F285" s="475">
        <f>G38</f>
        <v>0.98</v>
      </c>
      <c r="G285" s="433">
        <f t="shared" si="16"/>
        <v>0.98</v>
      </c>
    </row>
    <row r="286" spans="1:8" ht="33.75">
      <c r="A286" s="448">
        <v>95316</v>
      </c>
      <c r="B286" s="434" t="s">
        <v>1524</v>
      </c>
      <c r="C286" s="431" t="s">
        <v>117</v>
      </c>
      <c r="D286" s="430" t="s">
        <v>410</v>
      </c>
      <c r="E286" s="474">
        <v>1</v>
      </c>
      <c r="F286" s="523">
        <f>G1443</f>
        <v>0.32</v>
      </c>
      <c r="G286" s="433">
        <f t="shared" si="16"/>
        <v>0.32</v>
      </c>
    </row>
    <row r="287" spans="1:8" ht="14.1" customHeight="1">
      <c r="C287" s="170"/>
      <c r="D287" s="476"/>
      <c r="E287" s="437"/>
      <c r="F287" s="438" t="s">
        <v>103</v>
      </c>
      <c r="G287" s="456">
        <f>G279+G286</f>
        <v>10.98</v>
      </c>
    </row>
    <row r="288" spans="1:8" ht="14.1" customHeight="1">
      <c r="C288" s="170"/>
      <c r="D288" s="216"/>
      <c r="E288" s="437"/>
      <c r="F288" s="438" t="s">
        <v>105</v>
      </c>
      <c r="G288" s="456">
        <f>SUM(G280:G285)</f>
        <v>4.5600000000000005</v>
      </c>
    </row>
    <row r="289" spans="1:9" ht="14.1" customHeight="1">
      <c r="A289" s="477"/>
      <c r="B289" s="215"/>
      <c r="C289" s="170"/>
      <c r="D289" s="216"/>
      <c r="E289" s="437"/>
      <c r="F289" s="438" t="s">
        <v>106</v>
      </c>
      <c r="G289" s="457">
        <f>SUM(G287:G288)</f>
        <v>15.540000000000001</v>
      </c>
      <c r="H289" s="441"/>
    </row>
    <row r="290" spans="1:9">
      <c r="A290" s="521"/>
      <c r="B290" s="522"/>
      <c r="C290" s="445"/>
      <c r="D290" s="442"/>
      <c r="E290" s="443"/>
      <c r="F290" s="443"/>
      <c r="G290" s="443"/>
      <c r="H290" s="442"/>
      <c r="I290" s="442"/>
    </row>
    <row r="292" spans="1:9">
      <c r="A292" s="170" t="s">
        <v>1369</v>
      </c>
      <c r="C292" s="173"/>
      <c r="D292" s="170"/>
      <c r="E292" s="193"/>
      <c r="H292" s="170"/>
    </row>
    <row r="293" spans="1:9">
      <c r="A293" s="170" t="s">
        <v>33</v>
      </c>
      <c r="B293" s="221" t="s">
        <v>2532</v>
      </c>
      <c r="C293" s="173"/>
      <c r="D293" s="170"/>
      <c r="E293" s="193"/>
      <c r="H293" s="170"/>
    </row>
    <row r="294" spans="1:9" ht="15.75" customHeight="1">
      <c r="A294" s="170" t="s">
        <v>80</v>
      </c>
      <c r="B294" s="1573" t="s">
        <v>2529</v>
      </c>
      <c r="C294" s="1573"/>
      <c r="D294" s="1573"/>
      <c r="E294" s="506" t="s">
        <v>410</v>
      </c>
      <c r="F294" s="506"/>
      <c r="H294" s="170"/>
    </row>
    <row r="295" spans="1:9" ht="22.5">
      <c r="A295" s="515" t="s">
        <v>30</v>
      </c>
      <c r="B295" s="987" t="s">
        <v>19</v>
      </c>
      <c r="C295" s="430" t="s">
        <v>92</v>
      </c>
      <c r="D295" s="430" t="s">
        <v>88</v>
      </c>
      <c r="E295" s="989" t="s">
        <v>93</v>
      </c>
      <c r="F295" s="432" t="s">
        <v>94</v>
      </c>
      <c r="G295" s="469" t="s">
        <v>95</v>
      </c>
    </row>
    <row r="296" spans="1:9" ht="15" customHeight="1">
      <c r="A296" s="992">
        <v>244</v>
      </c>
      <c r="B296" s="987" t="s">
        <v>2533</v>
      </c>
      <c r="C296" s="989" t="s">
        <v>117</v>
      </c>
      <c r="D296" s="430" t="s">
        <v>410</v>
      </c>
      <c r="E296" s="474">
        <v>1</v>
      </c>
      <c r="F296" s="524">
        <f>5.98</f>
        <v>5.98</v>
      </c>
      <c r="G296" s="456">
        <f>TRUNC(E296*F296,2)</f>
        <v>5.98</v>
      </c>
    </row>
    <row r="297" spans="1:9" ht="22.5">
      <c r="A297" s="986" t="s">
        <v>1372</v>
      </c>
      <c r="B297" s="987" t="s">
        <v>1373</v>
      </c>
      <c r="C297" s="989" t="s">
        <v>1374</v>
      </c>
      <c r="D297" s="430" t="s">
        <v>410</v>
      </c>
      <c r="E297" s="474">
        <v>1</v>
      </c>
      <c r="F297" s="475">
        <v>2.15</v>
      </c>
      <c r="G297" s="433">
        <f t="shared" ref="G297:G303" si="17">TRUNC(E297*F297,2)</f>
        <v>2.15</v>
      </c>
    </row>
    <row r="298" spans="1:9" ht="22.5">
      <c r="A298" s="986" t="s">
        <v>1375</v>
      </c>
      <c r="B298" s="987" t="s">
        <v>1376</v>
      </c>
      <c r="C298" s="989" t="s">
        <v>1374</v>
      </c>
      <c r="D298" s="430" t="s">
        <v>410</v>
      </c>
      <c r="E298" s="474">
        <v>1</v>
      </c>
      <c r="F298" s="475">
        <v>0.6</v>
      </c>
      <c r="G298" s="456">
        <f t="shared" si="17"/>
        <v>0.6</v>
      </c>
    </row>
    <row r="299" spans="1:9" ht="22.5">
      <c r="A299" s="986" t="s">
        <v>1377</v>
      </c>
      <c r="B299" s="987" t="s">
        <v>1378</v>
      </c>
      <c r="C299" s="989" t="s">
        <v>1374</v>
      </c>
      <c r="D299" s="430" t="s">
        <v>410</v>
      </c>
      <c r="E299" s="474">
        <v>1</v>
      </c>
      <c r="F299" s="475">
        <v>0.37</v>
      </c>
      <c r="G299" s="433">
        <f t="shared" si="17"/>
        <v>0.37</v>
      </c>
    </row>
    <row r="300" spans="1:9" ht="22.5">
      <c r="A300" s="986" t="s">
        <v>1379</v>
      </c>
      <c r="B300" s="987" t="s">
        <v>1380</v>
      </c>
      <c r="C300" s="989" t="s">
        <v>1374</v>
      </c>
      <c r="D300" s="430" t="s">
        <v>410</v>
      </c>
      <c r="E300" s="474">
        <v>1</v>
      </c>
      <c r="F300" s="475">
        <v>0.02</v>
      </c>
      <c r="G300" s="433">
        <f t="shared" si="17"/>
        <v>0.02</v>
      </c>
    </row>
    <row r="301" spans="1:9" ht="22.5">
      <c r="A301" s="986" t="s">
        <v>1553</v>
      </c>
      <c r="B301" s="987" t="s">
        <v>1261</v>
      </c>
      <c r="C301" s="989" t="s">
        <v>99</v>
      </c>
      <c r="D301" s="430" t="s">
        <v>410</v>
      </c>
      <c r="E301" s="474">
        <v>1</v>
      </c>
      <c r="F301" s="475">
        <f>G22</f>
        <v>0.44000000000000006</v>
      </c>
      <c r="G301" s="433">
        <f t="shared" si="17"/>
        <v>0.44</v>
      </c>
    </row>
    <row r="302" spans="1:9" ht="15" customHeight="1">
      <c r="A302" s="986" t="s">
        <v>1381</v>
      </c>
      <c r="B302" s="987" t="s">
        <v>1300</v>
      </c>
      <c r="C302" s="989" t="s">
        <v>99</v>
      </c>
      <c r="D302" s="430" t="s">
        <v>410</v>
      </c>
      <c r="E302" s="474">
        <v>1</v>
      </c>
      <c r="F302" s="475">
        <f>G38</f>
        <v>0.98</v>
      </c>
      <c r="G302" s="433">
        <f t="shared" si="17"/>
        <v>0.98</v>
      </c>
    </row>
    <row r="303" spans="1:9" ht="33.75">
      <c r="A303" s="992">
        <v>95316</v>
      </c>
      <c r="B303" s="987" t="s">
        <v>2534</v>
      </c>
      <c r="C303" s="989" t="s">
        <v>117</v>
      </c>
      <c r="D303" s="430" t="s">
        <v>410</v>
      </c>
      <c r="E303" s="474">
        <v>1</v>
      </c>
      <c r="F303" s="523">
        <f>G462</f>
        <v>0.04</v>
      </c>
      <c r="G303" s="433">
        <f t="shared" si="17"/>
        <v>0.04</v>
      </c>
    </row>
    <row r="304" spans="1:9" ht="15" customHeight="1">
      <c r="C304" s="170"/>
      <c r="D304" s="476"/>
      <c r="E304" s="437"/>
      <c r="F304" s="438" t="s">
        <v>103</v>
      </c>
      <c r="G304" s="456">
        <f>G296+G303</f>
        <v>6.0200000000000005</v>
      </c>
    </row>
    <row r="305" spans="1:8" ht="15" customHeight="1">
      <c r="C305" s="170"/>
      <c r="D305" s="216"/>
      <c r="E305" s="437"/>
      <c r="F305" s="438" t="s">
        <v>105</v>
      </c>
      <c r="G305" s="456">
        <f>SUM(G297:G302)</f>
        <v>4.5600000000000005</v>
      </c>
    </row>
    <row r="306" spans="1:8" ht="15" customHeight="1">
      <c r="A306" s="477"/>
      <c r="B306" s="215"/>
      <c r="C306" s="170"/>
      <c r="D306" s="216"/>
      <c r="E306" s="437"/>
      <c r="F306" s="438" t="s">
        <v>106</v>
      </c>
      <c r="G306" s="457">
        <f>SUM(G304:G305)</f>
        <v>10.580000000000002</v>
      </c>
      <c r="H306" s="441"/>
    </row>
    <row r="307" spans="1:8">
      <c r="A307" s="521"/>
      <c r="B307" s="522"/>
      <c r="C307" s="445"/>
      <c r="D307" s="442"/>
      <c r="E307" s="443"/>
      <c r="F307" s="443"/>
      <c r="G307" s="443"/>
      <c r="H307" s="442"/>
    </row>
    <row r="309" spans="1:8">
      <c r="A309" s="170" t="s">
        <v>1369</v>
      </c>
      <c r="C309" s="173"/>
      <c r="D309" s="170"/>
      <c r="E309" s="193"/>
      <c r="H309" s="170"/>
    </row>
    <row r="310" spans="1:8" ht="13.5" customHeight="1">
      <c r="A310" s="170" t="s">
        <v>33</v>
      </c>
      <c r="B310" s="221" t="s">
        <v>1572</v>
      </c>
      <c r="C310" s="173"/>
      <c r="D310" s="170"/>
      <c r="E310" s="193"/>
      <c r="H310" s="170"/>
    </row>
    <row r="311" spans="1:8" ht="29.25" customHeight="1">
      <c r="A311" s="170" t="s">
        <v>80</v>
      </c>
      <c r="B311" s="1573" t="s">
        <v>334</v>
      </c>
      <c r="C311" s="1573"/>
      <c r="D311" s="1573"/>
      <c r="E311" s="506" t="s">
        <v>410</v>
      </c>
      <c r="F311" s="506"/>
      <c r="H311" s="170"/>
    </row>
    <row r="312" spans="1:8" ht="22.5">
      <c r="A312" s="515" t="s">
        <v>30</v>
      </c>
      <c r="B312" s="434" t="s">
        <v>19</v>
      </c>
      <c r="C312" s="430" t="s">
        <v>92</v>
      </c>
      <c r="D312" s="430" t="s">
        <v>88</v>
      </c>
      <c r="E312" s="431" t="s">
        <v>93</v>
      </c>
      <c r="F312" s="432" t="s">
        <v>94</v>
      </c>
      <c r="G312" s="469" t="s">
        <v>95</v>
      </c>
    </row>
    <row r="313" spans="1:8" ht="14.1" customHeight="1">
      <c r="A313" s="448">
        <v>246</v>
      </c>
      <c r="B313" s="434" t="s">
        <v>1531</v>
      </c>
      <c r="C313" s="431" t="s">
        <v>117</v>
      </c>
      <c r="D313" s="430" t="s">
        <v>410</v>
      </c>
      <c r="E313" s="474">
        <v>1</v>
      </c>
      <c r="F313" s="524">
        <f>10.75</f>
        <v>10.75</v>
      </c>
      <c r="G313" s="456">
        <f>TRUNC(E313*F313,2)</f>
        <v>10.75</v>
      </c>
    </row>
    <row r="314" spans="1:8" ht="22.5">
      <c r="A314" s="502" t="s">
        <v>1372</v>
      </c>
      <c r="B314" s="434" t="s">
        <v>1373</v>
      </c>
      <c r="C314" s="431" t="s">
        <v>1374</v>
      </c>
      <c r="D314" s="430" t="s">
        <v>410</v>
      </c>
      <c r="E314" s="474">
        <v>1</v>
      </c>
      <c r="F314" s="475">
        <v>2.15</v>
      </c>
      <c r="G314" s="433">
        <f t="shared" ref="G314:G320" si="18">TRUNC(E314*F314,2)</f>
        <v>2.15</v>
      </c>
    </row>
    <row r="315" spans="1:8" ht="22.5">
      <c r="A315" s="502" t="s">
        <v>1375</v>
      </c>
      <c r="B315" s="434" t="s">
        <v>1376</v>
      </c>
      <c r="C315" s="431" t="s">
        <v>1374</v>
      </c>
      <c r="D315" s="430" t="s">
        <v>410</v>
      </c>
      <c r="E315" s="474">
        <v>1</v>
      </c>
      <c r="F315" s="475">
        <v>0.6</v>
      </c>
      <c r="G315" s="456">
        <f t="shared" si="18"/>
        <v>0.6</v>
      </c>
    </row>
    <row r="316" spans="1:8" ht="22.5">
      <c r="A316" s="502" t="s">
        <v>1377</v>
      </c>
      <c r="B316" s="434" t="s">
        <v>1378</v>
      </c>
      <c r="C316" s="431" t="s">
        <v>1374</v>
      </c>
      <c r="D316" s="430" t="s">
        <v>410</v>
      </c>
      <c r="E316" s="474">
        <v>1</v>
      </c>
      <c r="F316" s="475">
        <v>0.37</v>
      </c>
      <c r="G316" s="433">
        <f t="shared" si="18"/>
        <v>0.37</v>
      </c>
    </row>
    <row r="317" spans="1:8" ht="22.5">
      <c r="A317" s="502" t="s">
        <v>1379</v>
      </c>
      <c r="B317" s="434" t="s">
        <v>1380</v>
      </c>
      <c r="C317" s="431" t="s">
        <v>1374</v>
      </c>
      <c r="D317" s="430" t="s">
        <v>410</v>
      </c>
      <c r="E317" s="474">
        <v>1</v>
      </c>
      <c r="F317" s="475">
        <v>0.02</v>
      </c>
      <c r="G317" s="433">
        <f t="shared" si="18"/>
        <v>0.02</v>
      </c>
    </row>
    <row r="318" spans="1:8" ht="22.5">
      <c r="A318" s="502" t="s">
        <v>1553</v>
      </c>
      <c r="B318" s="434" t="s">
        <v>1261</v>
      </c>
      <c r="C318" s="431" t="s">
        <v>99</v>
      </c>
      <c r="D318" s="430" t="s">
        <v>410</v>
      </c>
      <c r="E318" s="474">
        <v>1</v>
      </c>
      <c r="F318" s="475">
        <f>G22</f>
        <v>0.44000000000000006</v>
      </c>
      <c r="G318" s="433">
        <f t="shared" si="18"/>
        <v>0.44</v>
      </c>
    </row>
    <row r="319" spans="1:8" ht="14.1" customHeight="1">
      <c r="A319" s="502" t="s">
        <v>1381</v>
      </c>
      <c r="B319" s="434" t="s">
        <v>1300</v>
      </c>
      <c r="C319" s="431" t="s">
        <v>99</v>
      </c>
      <c r="D319" s="430" t="s">
        <v>410</v>
      </c>
      <c r="E319" s="474">
        <v>1</v>
      </c>
      <c r="F319" s="475">
        <f>G38</f>
        <v>0.98</v>
      </c>
      <c r="G319" s="433">
        <f t="shared" si="18"/>
        <v>0.98</v>
      </c>
    </row>
    <row r="320" spans="1:8" ht="33.75">
      <c r="A320" s="448">
        <v>95317</v>
      </c>
      <c r="B320" s="434" t="s">
        <v>1530</v>
      </c>
      <c r="C320" s="431" t="s">
        <v>117</v>
      </c>
      <c r="D320" s="430" t="s">
        <v>410</v>
      </c>
      <c r="E320" s="474">
        <v>1</v>
      </c>
      <c r="F320" s="523">
        <f>G1463</f>
        <v>0.15</v>
      </c>
      <c r="G320" s="433">
        <f t="shared" si="18"/>
        <v>0.15</v>
      </c>
    </row>
    <row r="321" spans="1:9" ht="14.1" customHeight="1">
      <c r="C321" s="170"/>
      <c r="D321" s="476"/>
      <c r="E321" s="437"/>
      <c r="F321" s="438" t="s">
        <v>103</v>
      </c>
      <c r="G321" s="456">
        <f>G313+G320</f>
        <v>10.9</v>
      </c>
    </row>
    <row r="322" spans="1:9" ht="14.1" customHeight="1">
      <c r="C322" s="170"/>
      <c r="D322" s="216"/>
      <c r="E322" s="437"/>
      <c r="F322" s="438" t="s">
        <v>105</v>
      </c>
      <c r="G322" s="456">
        <f>SUM(G314:G319)</f>
        <v>4.5600000000000005</v>
      </c>
    </row>
    <row r="323" spans="1:9" ht="14.1" customHeight="1">
      <c r="A323" s="477"/>
      <c r="B323" s="215"/>
      <c r="C323" s="170"/>
      <c r="D323" s="216"/>
      <c r="E323" s="437"/>
      <c r="F323" s="438" t="s">
        <v>106</v>
      </c>
      <c r="G323" s="457">
        <f>SUM(G321:G322)</f>
        <v>15.46</v>
      </c>
      <c r="H323" s="441"/>
    </row>
    <row r="324" spans="1:9">
      <c r="A324" s="521"/>
      <c r="B324" s="522"/>
      <c r="C324" s="445"/>
      <c r="D324" s="442"/>
      <c r="E324" s="443"/>
      <c r="F324" s="443"/>
      <c r="G324" s="443"/>
      <c r="H324" s="442"/>
      <c r="I324" s="442"/>
    </row>
    <row r="326" spans="1:9">
      <c r="A326" s="170" t="s">
        <v>1369</v>
      </c>
      <c r="C326" s="173"/>
      <c r="D326" s="170"/>
      <c r="E326" s="193"/>
      <c r="H326" s="170"/>
    </row>
    <row r="327" spans="1:9">
      <c r="A327" s="170" t="s">
        <v>33</v>
      </c>
      <c r="B327" s="221" t="s">
        <v>1573</v>
      </c>
      <c r="C327" s="173"/>
      <c r="D327" s="170"/>
      <c r="E327" s="193"/>
      <c r="H327" s="170"/>
    </row>
    <row r="328" spans="1:9" ht="17.25" customHeight="1">
      <c r="A328" s="170" t="s">
        <v>80</v>
      </c>
      <c r="B328" s="1573" t="s">
        <v>298</v>
      </c>
      <c r="C328" s="1573"/>
      <c r="D328" s="1573"/>
      <c r="E328" s="559" t="s">
        <v>410</v>
      </c>
      <c r="F328" s="506"/>
      <c r="H328" s="170"/>
    </row>
    <row r="329" spans="1:9" ht="22.5">
      <c r="A329" s="515" t="s">
        <v>30</v>
      </c>
      <c r="B329" s="434" t="s">
        <v>19</v>
      </c>
      <c r="C329" s="430" t="s">
        <v>92</v>
      </c>
      <c r="D329" s="430" t="s">
        <v>88</v>
      </c>
      <c r="E329" s="431" t="s">
        <v>93</v>
      </c>
      <c r="F329" s="432" t="s">
        <v>94</v>
      </c>
      <c r="G329" s="469" t="s">
        <v>95</v>
      </c>
    </row>
    <row r="330" spans="1:9" ht="14.1" customHeight="1">
      <c r="A330" s="448">
        <v>2696</v>
      </c>
      <c r="B330" s="434" t="s">
        <v>1534</v>
      </c>
      <c r="C330" s="431" t="s">
        <v>117</v>
      </c>
      <c r="D330" s="430" t="s">
        <v>410</v>
      </c>
      <c r="E330" s="474">
        <v>1</v>
      </c>
      <c r="F330" s="524">
        <f>15.19</f>
        <v>15.19</v>
      </c>
      <c r="G330" s="456">
        <f>TRUNC(E330*F330,2)</f>
        <v>15.19</v>
      </c>
    </row>
    <row r="331" spans="1:9" ht="22.5">
      <c r="A331" s="502" t="s">
        <v>1372</v>
      </c>
      <c r="B331" s="434" t="s">
        <v>1373</v>
      </c>
      <c r="C331" s="431" t="s">
        <v>1374</v>
      </c>
      <c r="D331" s="430" t="s">
        <v>410</v>
      </c>
      <c r="E331" s="474">
        <v>1</v>
      </c>
      <c r="F331" s="475">
        <v>2.15</v>
      </c>
      <c r="G331" s="433">
        <f t="shared" ref="G331:G337" si="19">TRUNC(E331*F331,2)</f>
        <v>2.15</v>
      </c>
    </row>
    <row r="332" spans="1:9" ht="22.5">
      <c r="A332" s="502" t="s">
        <v>1375</v>
      </c>
      <c r="B332" s="434" t="s">
        <v>1376</v>
      </c>
      <c r="C332" s="431" t="s">
        <v>1374</v>
      </c>
      <c r="D332" s="430" t="s">
        <v>410</v>
      </c>
      <c r="E332" s="474">
        <v>1</v>
      </c>
      <c r="F332" s="475">
        <v>0.6</v>
      </c>
      <c r="G332" s="456">
        <f t="shared" si="19"/>
        <v>0.6</v>
      </c>
    </row>
    <row r="333" spans="1:9" ht="22.5">
      <c r="A333" s="502" t="s">
        <v>1377</v>
      </c>
      <c r="B333" s="434" t="s">
        <v>1378</v>
      </c>
      <c r="C333" s="431" t="s">
        <v>1374</v>
      </c>
      <c r="D333" s="430" t="s">
        <v>410</v>
      </c>
      <c r="E333" s="474">
        <v>1</v>
      </c>
      <c r="F333" s="475">
        <v>0.37</v>
      </c>
      <c r="G333" s="433">
        <f t="shared" si="19"/>
        <v>0.37</v>
      </c>
    </row>
    <row r="334" spans="1:9" ht="22.5">
      <c r="A334" s="502" t="s">
        <v>1379</v>
      </c>
      <c r="B334" s="434" t="s">
        <v>1380</v>
      </c>
      <c r="C334" s="431" t="s">
        <v>1374</v>
      </c>
      <c r="D334" s="430" t="s">
        <v>410</v>
      </c>
      <c r="E334" s="474">
        <v>1</v>
      </c>
      <c r="F334" s="475">
        <v>0.02</v>
      </c>
      <c r="G334" s="433">
        <f t="shared" si="19"/>
        <v>0.02</v>
      </c>
    </row>
    <row r="335" spans="1:9" ht="22.5">
      <c r="A335" s="502" t="s">
        <v>1553</v>
      </c>
      <c r="B335" s="434" t="s">
        <v>1261</v>
      </c>
      <c r="C335" s="431" t="s">
        <v>99</v>
      </c>
      <c r="D335" s="430" t="s">
        <v>410</v>
      </c>
      <c r="E335" s="474">
        <v>1</v>
      </c>
      <c r="F335" s="475">
        <f>G22</f>
        <v>0.44000000000000006</v>
      </c>
      <c r="G335" s="433">
        <f t="shared" si="19"/>
        <v>0.44</v>
      </c>
    </row>
    <row r="336" spans="1:9" ht="14.1" customHeight="1">
      <c r="A336" s="502" t="s">
        <v>1381</v>
      </c>
      <c r="B336" s="434" t="s">
        <v>1300</v>
      </c>
      <c r="C336" s="431" t="s">
        <v>99</v>
      </c>
      <c r="D336" s="430" t="s">
        <v>410</v>
      </c>
      <c r="E336" s="474">
        <v>1</v>
      </c>
      <c r="F336" s="475">
        <f>G38</f>
        <v>0.98</v>
      </c>
      <c r="G336" s="433">
        <f t="shared" si="19"/>
        <v>0.98</v>
      </c>
    </row>
    <row r="337" spans="1:9" ht="33.75">
      <c r="A337" s="448">
        <v>95335</v>
      </c>
      <c r="B337" s="434" t="s">
        <v>1533</v>
      </c>
      <c r="C337" s="431" t="s">
        <v>117</v>
      </c>
      <c r="D337" s="430" t="s">
        <v>410</v>
      </c>
      <c r="E337" s="474">
        <v>1</v>
      </c>
      <c r="F337" s="523">
        <f>G1473</f>
        <v>0.22</v>
      </c>
      <c r="G337" s="433">
        <f t="shared" si="19"/>
        <v>0.22</v>
      </c>
    </row>
    <row r="338" spans="1:9" ht="14.1" customHeight="1">
      <c r="C338" s="170"/>
      <c r="D338" s="476"/>
      <c r="E338" s="437"/>
      <c r="F338" s="438" t="s">
        <v>103</v>
      </c>
      <c r="G338" s="456">
        <f>G330+G337</f>
        <v>15.41</v>
      </c>
    </row>
    <row r="339" spans="1:9" ht="14.1" customHeight="1">
      <c r="C339" s="170"/>
      <c r="D339" s="216"/>
      <c r="E339" s="437"/>
      <c r="F339" s="438" t="s">
        <v>105</v>
      </c>
      <c r="G339" s="456">
        <f>SUM(G331:G336)</f>
        <v>4.5600000000000005</v>
      </c>
    </row>
    <row r="340" spans="1:9" ht="14.1" customHeight="1">
      <c r="A340" s="477"/>
      <c r="B340" s="215"/>
      <c r="C340" s="170"/>
      <c r="D340" s="216"/>
      <c r="E340" s="437"/>
      <c r="F340" s="438" t="s">
        <v>106</v>
      </c>
      <c r="G340" s="457">
        <f>SUM(G338:G339)</f>
        <v>19.97</v>
      </c>
      <c r="H340" s="441"/>
    </row>
    <row r="341" spans="1:9">
      <c r="A341" s="521"/>
      <c r="B341" s="522"/>
      <c r="C341" s="445"/>
      <c r="D341" s="442"/>
      <c r="E341" s="443"/>
      <c r="F341" s="443"/>
      <c r="G341" s="443"/>
      <c r="H341" s="442"/>
      <c r="I341" s="442"/>
    </row>
    <row r="343" spans="1:9">
      <c r="A343" s="170" t="s">
        <v>1369</v>
      </c>
      <c r="C343" s="173"/>
      <c r="D343" s="170"/>
      <c r="E343" s="193"/>
      <c r="H343" s="170"/>
    </row>
    <row r="344" spans="1:9">
      <c r="A344" s="170" t="s">
        <v>33</v>
      </c>
      <c r="B344" s="221" t="s">
        <v>1590</v>
      </c>
      <c r="C344" s="173"/>
      <c r="D344" s="170"/>
      <c r="E344" s="193"/>
      <c r="H344" s="170"/>
    </row>
    <row r="345" spans="1:9" ht="14.25" customHeight="1">
      <c r="A345" s="170" t="s">
        <v>80</v>
      </c>
      <c r="B345" s="1429" t="s">
        <v>655</v>
      </c>
      <c r="C345" s="1429"/>
      <c r="D345" s="559" t="s">
        <v>410</v>
      </c>
      <c r="F345" s="506"/>
      <c r="H345" s="170"/>
    </row>
    <row r="346" spans="1:9" ht="22.5">
      <c r="A346" s="515" t="s">
        <v>30</v>
      </c>
      <c r="B346" s="434" t="s">
        <v>19</v>
      </c>
      <c r="C346" s="430" t="s">
        <v>92</v>
      </c>
      <c r="D346" s="430" t="s">
        <v>88</v>
      </c>
      <c r="E346" s="512" t="s">
        <v>93</v>
      </c>
      <c r="F346" s="432" t="s">
        <v>94</v>
      </c>
      <c r="G346" s="469" t="s">
        <v>95</v>
      </c>
    </row>
    <row r="347" spans="1:9" ht="14.1" customHeight="1">
      <c r="A347" s="448">
        <v>4760</v>
      </c>
      <c r="B347" s="434" t="s">
        <v>1591</v>
      </c>
      <c r="C347" s="512" t="s">
        <v>117</v>
      </c>
      <c r="D347" s="430" t="s">
        <v>410</v>
      </c>
      <c r="E347" s="474">
        <v>1</v>
      </c>
      <c r="F347" s="524">
        <f>14.68</f>
        <v>14.68</v>
      </c>
      <c r="G347" s="456">
        <f>TRUNC(E347*F347,2)</f>
        <v>14.68</v>
      </c>
    </row>
    <row r="348" spans="1:9" ht="22.5">
      <c r="A348" s="502" t="s">
        <v>1372</v>
      </c>
      <c r="B348" s="434" t="s">
        <v>1373</v>
      </c>
      <c r="C348" s="512" t="s">
        <v>1374</v>
      </c>
      <c r="D348" s="430" t="s">
        <v>410</v>
      </c>
      <c r="E348" s="474">
        <v>1</v>
      </c>
      <c r="F348" s="475">
        <v>2.15</v>
      </c>
      <c r="G348" s="433">
        <f t="shared" ref="G348:G354" si="20">TRUNC(E348*F348,2)</f>
        <v>2.15</v>
      </c>
    </row>
    <row r="349" spans="1:9" ht="22.5">
      <c r="A349" s="502" t="s">
        <v>1375</v>
      </c>
      <c r="B349" s="434" t="s">
        <v>1376</v>
      </c>
      <c r="C349" s="512" t="s">
        <v>1374</v>
      </c>
      <c r="D349" s="430" t="s">
        <v>410</v>
      </c>
      <c r="E349" s="474">
        <v>1</v>
      </c>
      <c r="F349" s="475">
        <v>0.6</v>
      </c>
      <c r="G349" s="456">
        <f t="shared" si="20"/>
        <v>0.6</v>
      </c>
    </row>
    <row r="350" spans="1:9" ht="22.5">
      <c r="A350" s="502" t="s">
        <v>1377</v>
      </c>
      <c r="B350" s="434" t="s">
        <v>1378</v>
      </c>
      <c r="C350" s="512" t="s">
        <v>1374</v>
      </c>
      <c r="D350" s="430" t="s">
        <v>410</v>
      </c>
      <c r="E350" s="474">
        <v>1</v>
      </c>
      <c r="F350" s="475">
        <v>0.37</v>
      </c>
      <c r="G350" s="433">
        <f t="shared" si="20"/>
        <v>0.37</v>
      </c>
    </row>
    <row r="351" spans="1:9" ht="22.5">
      <c r="A351" s="502" t="s">
        <v>1379</v>
      </c>
      <c r="B351" s="434" t="s">
        <v>1380</v>
      </c>
      <c r="C351" s="512" t="s">
        <v>1374</v>
      </c>
      <c r="D351" s="430" t="s">
        <v>410</v>
      </c>
      <c r="E351" s="474">
        <v>1</v>
      </c>
      <c r="F351" s="475">
        <v>0.02</v>
      </c>
      <c r="G351" s="433">
        <f t="shared" si="20"/>
        <v>0.02</v>
      </c>
    </row>
    <row r="352" spans="1:9" ht="22.5">
      <c r="A352" s="502" t="s">
        <v>1553</v>
      </c>
      <c r="B352" s="434" t="s">
        <v>1261</v>
      </c>
      <c r="C352" s="512" t="s">
        <v>99</v>
      </c>
      <c r="D352" s="430" t="s">
        <v>410</v>
      </c>
      <c r="E352" s="474">
        <v>1</v>
      </c>
      <c r="F352" s="475">
        <f>G22</f>
        <v>0.44000000000000006</v>
      </c>
      <c r="G352" s="433">
        <f t="shared" si="20"/>
        <v>0.44</v>
      </c>
    </row>
    <row r="353" spans="1:9" ht="14.1" customHeight="1">
      <c r="A353" s="502" t="s">
        <v>1381</v>
      </c>
      <c r="B353" s="434" t="s">
        <v>1300</v>
      </c>
      <c r="C353" s="512" t="s">
        <v>99</v>
      </c>
      <c r="D353" s="430" t="s">
        <v>410</v>
      </c>
      <c r="E353" s="474">
        <v>1</v>
      </c>
      <c r="F353" s="475">
        <f>G38</f>
        <v>0.98</v>
      </c>
      <c r="G353" s="433">
        <f t="shared" si="20"/>
        <v>0.98</v>
      </c>
    </row>
    <row r="354" spans="1:9" ht="33.75">
      <c r="A354" s="448">
        <v>95324</v>
      </c>
      <c r="B354" s="434" t="s">
        <v>1592</v>
      </c>
      <c r="C354" s="512" t="s">
        <v>117</v>
      </c>
      <c r="D354" s="430" t="s">
        <v>410</v>
      </c>
      <c r="E354" s="474">
        <v>1</v>
      </c>
      <c r="F354" s="523">
        <f>G562</f>
        <v>0.17</v>
      </c>
      <c r="G354" s="433">
        <f t="shared" si="20"/>
        <v>0.17</v>
      </c>
    </row>
    <row r="355" spans="1:9" ht="14.1" customHeight="1">
      <c r="C355" s="170"/>
      <c r="D355" s="476"/>
      <c r="E355" s="437"/>
      <c r="F355" s="438" t="s">
        <v>103</v>
      </c>
      <c r="G355" s="456">
        <f>G347+G354</f>
        <v>14.85</v>
      </c>
    </row>
    <row r="356" spans="1:9" ht="14.1" customHeight="1">
      <c r="C356" s="170"/>
      <c r="D356" s="216"/>
      <c r="E356" s="437"/>
      <c r="F356" s="438" t="s">
        <v>105</v>
      </c>
      <c r="G356" s="456">
        <f>SUM(G348:G353)</f>
        <v>4.5600000000000005</v>
      </c>
    </row>
    <row r="357" spans="1:9" ht="14.1" customHeight="1">
      <c r="A357" s="477"/>
      <c r="B357" s="215"/>
      <c r="C357" s="170"/>
      <c r="D357" s="216"/>
      <c r="E357" s="437"/>
      <c r="F357" s="438" t="s">
        <v>106</v>
      </c>
      <c r="G357" s="457">
        <f>SUM(G355:G356)</f>
        <v>19.41</v>
      </c>
      <c r="H357" s="441"/>
    </row>
    <row r="358" spans="1:9">
      <c r="A358" s="521"/>
      <c r="B358" s="522"/>
      <c r="C358" s="445"/>
      <c r="D358" s="442"/>
      <c r="E358" s="443"/>
      <c r="F358" s="443"/>
      <c r="G358" s="443"/>
      <c r="H358" s="442"/>
      <c r="I358" s="442"/>
    </row>
    <row r="360" spans="1:9">
      <c r="A360" s="170" t="s">
        <v>1369</v>
      </c>
      <c r="C360" s="173"/>
      <c r="D360" s="170"/>
      <c r="E360" s="193"/>
      <c r="H360" s="170"/>
    </row>
    <row r="361" spans="1:9" ht="14.1" customHeight="1">
      <c r="A361" s="170" t="s">
        <v>33</v>
      </c>
      <c r="B361" s="221" t="s">
        <v>1594</v>
      </c>
      <c r="C361" s="173"/>
      <c r="D361" s="170"/>
      <c r="E361" s="193"/>
      <c r="H361" s="170"/>
    </row>
    <row r="362" spans="1:9" ht="16.5" customHeight="1">
      <c r="A362" s="170" t="s">
        <v>80</v>
      </c>
      <c r="B362" s="505" t="s">
        <v>931</v>
      </c>
      <c r="C362" s="545" t="s">
        <v>410</v>
      </c>
      <c r="D362" s="170"/>
      <c r="F362" s="506"/>
      <c r="H362" s="170"/>
    </row>
    <row r="363" spans="1:9" ht="22.5">
      <c r="A363" s="515" t="s">
        <v>30</v>
      </c>
      <c r="B363" s="434" t="s">
        <v>19</v>
      </c>
      <c r="C363" s="430" t="s">
        <v>92</v>
      </c>
      <c r="D363" s="430" t="s">
        <v>88</v>
      </c>
      <c r="E363" s="546" t="s">
        <v>93</v>
      </c>
      <c r="F363" s="432" t="s">
        <v>94</v>
      </c>
      <c r="G363" s="469" t="s">
        <v>95</v>
      </c>
    </row>
    <row r="364" spans="1:9" ht="14.1" customHeight="1">
      <c r="A364" s="448">
        <v>12869</v>
      </c>
      <c r="B364" s="434" t="s">
        <v>1516</v>
      </c>
      <c r="C364" s="546" t="s">
        <v>117</v>
      </c>
      <c r="D364" s="430" t="s">
        <v>410</v>
      </c>
      <c r="E364" s="474">
        <v>1</v>
      </c>
      <c r="F364" s="524">
        <f>16.02</f>
        <v>16.02</v>
      </c>
      <c r="G364" s="456">
        <f>TRUNC(E364*F364,2)</f>
        <v>16.02</v>
      </c>
    </row>
    <row r="365" spans="1:9" ht="22.5">
      <c r="A365" s="502" t="s">
        <v>1372</v>
      </c>
      <c r="B365" s="434" t="s">
        <v>1373</v>
      </c>
      <c r="C365" s="546" t="s">
        <v>1374</v>
      </c>
      <c r="D365" s="430" t="s">
        <v>410</v>
      </c>
      <c r="E365" s="474">
        <v>1</v>
      </c>
      <c r="F365" s="475">
        <v>2.15</v>
      </c>
      <c r="G365" s="433">
        <f t="shared" ref="G365:G371" si="21">TRUNC(E365*F365,2)</f>
        <v>2.15</v>
      </c>
    </row>
    <row r="366" spans="1:9" ht="22.5">
      <c r="A366" s="502" t="s">
        <v>1375</v>
      </c>
      <c r="B366" s="434" t="s">
        <v>1376</v>
      </c>
      <c r="C366" s="546" t="s">
        <v>1374</v>
      </c>
      <c r="D366" s="430" t="s">
        <v>410</v>
      </c>
      <c r="E366" s="474">
        <v>1</v>
      </c>
      <c r="F366" s="475">
        <v>0.6</v>
      </c>
      <c r="G366" s="456">
        <f t="shared" si="21"/>
        <v>0.6</v>
      </c>
    </row>
    <row r="367" spans="1:9" ht="22.5">
      <c r="A367" s="502" t="s">
        <v>1377</v>
      </c>
      <c r="B367" s="434" t="s">
        <v>1378</v>
      </c>
      <c r="C367" s="546" t="s">
        <v>1374</v>
      </c>
      <c r="D367" s="430" t="s">
        <v>410</v>
      </c>
      <c r="E367" s="474">
        <v>1</v>
      </c>
      <c r="F367" s="475">
        <v>0.37</v>
      </c>
      <c r="G367" s="433">
        <f t="shared" si="21"/>
        <v>0.37</v>
      </c>
    </row>
    <row r="368" spans="1:9" ht="22.5">
      <c r="A368" s="502" t="s">
        <v>1379</v>
      </c>
      <c r="B368" s="434" t="s">
        <v>1380</v>
      </c>
      <c r="C368" s="546" t="s">
        <v>1374</v>
      </c>
      <c r="D368" s="430" t="s">
        <v>410</v>
      </c>
      <c r="E368" s="474">
        <v>1</v>
      </c>
      <c r="F368" s="475">
        <v>0.02</v>
      </c>
      <c r="G368" s="433">
        <f t="shared" si="21"/>
        <v>0.02</v>
      </c>
    </row>
    <row r="369" spans="1:9" ht="22.5">
      <c r="A369" s="502" t="s">
        <v>1553</v>
      </c>
      <c r="B369" s="434" t="s">
        <v>1261</v>
      </c>
      <c r="C369" s="546" t="s">
        <v>99</v>
      </c>
      <c r="D369" s="430" t="s">
        <v>410</v>
      </c>
      <c r="E369" s="474">
        <v>1</v>
      </c>
      <c r="F369" s="475">
        <f>G22</f>
        <v>0.44000000000000006</v>
      </c>
      <c r="G369" s="456">
        <f t="shared" si="21"/>
        <v>0.44</v>
      </c>
    </row>
    <row r="370" spans="1:9" ht="14.1" customHeight="1">
      <c r="A370" s="502" t="s">
        <v>1381</v>
      </c>
      <c r="B370" s="434" t="s">
        <v>1300</v>
      </c>
      <c r="C370" s="546" t="s">
        <v>99</v>
      </c>
      <c r="D370" s="430" t="s">
        <v>410</v>
      </c>
      <c r="E370" s="474">
        <v>1</v>
      </c>
      <c r="F370" s="475">
        <f>G38</f>
        <v>0.98</v>
      </c>
      <c r="G370" s="433">
        <f t="shared" si="21"/>
        <v>0.98</v>
      </c>
    </row>
    <row r="371" spans="1:9" ht="26.25" customHeight="1">
      <c r="A371" s="448">
        <v>95385</v>
      </c>
      <c r="B371" s="434" t="s">
        <v>1515</v>
      </c>
      <c r="C371" s="546" t="s">
        <v>117</v>
      </c>
      <c r="D371" s="430" t="s">
        <v>410</v>
      </c>
      <c r="E371" s="474">
        <v>1</v>
      </c>
      <c r="F371" s="523">
        <f>G582</f>
        <v>0.14000000000000001</v>
      </c>
      <c r="G371" s="433">
        <f t="shared" si="21"/>
        <v>0.14000000000000001</v>
      </c>
    </row>
    <row r="372" spans="1:9" ht="14.1" customHeight="1">
      <c r="C372" s="170"/>
      <c r="D372" s="476"/>
      <c r="E372" s="437"/>
      <c r="F372" s="438" t="s">
        <v>103</v>
      </c>
      <c r="G372" s="456">
        <f>G364+G371</f>
        <v>16.16</v>
      </c>
    </row>
    <row r="373" spans="1:9" ht="14.1" customHeight="1">
      <c r="C373" s="170"/>
      <c r="D373" s="216"/>
      <c r="E373" s="437"/>
      <c r="F373" s="438" t="s">
        <v>105</v>
      </c>
      <c r="G373" s="456">
        <f>SUM(G365:G370)</f>
        <v>4.5600000000000005</v>
      </c>
    </row>
    <row r="374" spans="1:9" ht="14.1" customHeight="1">
      <c r="A374" s="477"/>
      <c r="B374" s="215"/>
      <c r="C374" s="170"/>
      <c r="D374" s="216"/>
      <c r="E374" s="437"/>
      <c r="F374" s="438" t="s">
        <v>106</v>
      </c>
      <c r="G374" s="457">
        <f>SUM(G372:G373)</f>
        <v>20.72</v>
      </c>
      <c r="H374" s="441"/>
    </row>
    <row r="375" spans="1:9">
      <c r="A375" s="521"/>
      <c r="B375" s="522"/>
      <c r="C375" s="445"/>
      <c r="D375" s="442"/>
      <c r="E375" s="443"/>
      <c r="F375" s="443"/>
      <c r="G375" s="443"/>
      <c r="H375" s="442"/>
      <c r="I375" s="442"/>
    </row>
    <row r="377" spans="1:9">
      <c r="A377" s="170" t="s">
        <v>1369</v>
      </c>
      <c r="C377" s="173"/>
      <c r="D377" s="170"/>
      <c r="E377" s="193"/>
      <c r="H377" s="170"/>
    </row>
    <row r="378" spans="1:9">
      <c r="A378" s="170" t="s">
        <v>33</v>
      </c>
      <c r="B378" s="221" t="s">
        <v>2562</v>
      </c>
      <c r="C378" s="173"/>
      <c r="D378" s="170"/>
      <c r="E378" s="193"/>
      <c r="H378" s="170"/>
    </row>
    <row r="379" spans="1:9" ht="22.5" customHeight="1">
      <c r="A379" s="170" t="s">
        <v>80</v>
      </c>
      <c r="B379" s="1429" t="s">
        <v>1938</v>
      </c>
      <c r="C379" s="1429"/>
      <c r="D379" s="812" t="s">
        <v>410</v>
      </c>
      <c r="F379" s="506"/>
      <c r="H379" s="170"/>
    </row>
    <row r="380" spans="1:9" ht="22.5">
      <c r="A380" s="515" t="s">
        <v>30</v>
      </c>
      <c r="B380" s="807" t="s">
        <v>19</v>
      </c>
      <c r="C380" s="430" t="s">
        <v>92</v>
      </c>
      <c r="D380" s="430" t="s">
        <v>88</v>
      </c>
      <c r="E380" s="803" t="s">
        <v>93</v>
      </c>
      <c r="F380" s="432" t="s">
        <v>94</v>
      </c>
      <c r="G380" s="469" t="s">
        <v>95</v>
      </c>
    </row>
    <row r="381" spans="1:9" ht="15" customHeight="1">
      <c r="A381" s="809">
        <v>12873</v>
      </c>
      <c r="B381" s="807" t="s">
        <v>1939</v>
      </c>
      <c r="C381" s="803" t="s">
        <v>117</v>
      </c>
      <c r="D381" s="430" t="s">
        <v>410</v>
      </c>
      <c r="E381" s="474">
        <v>1</v>
      </c>
      <c r="F381" s="524">
        <f>15.56</f>
        <v>15.56</v>
      </c>
      <c r="G381" s="456">
        <f>TRUNC(E381*F381,2)</f>
        <v>15.56</v>
      </c>
    </row>
    <row r="382" spans="1:9" ht="22.5">
      <c r="A382" s="806" t="s">
        <v>1372</v>
      </c>
      <c r="B382" s="807" t="s">
        <v>1373</v>
      </c>
      <c r="C382" s="803" t="s">
        <v>1374</v>
      </c>
      <c r="D382" s="430" t="s">
        <v>410</v>
      </c>
      <c r="E382" s="474">
        <v>1</v>
      </c>
      <c r="F382" s="475">
        <v>2.15</v>
      </c>
      <c r="G382" s="433">
        <f t="shared" ref="G382:G388" si="22">TRUNC(E382*F382,2)</f>
        <v>2.15</v>
      </c>
    </row>
    <row r="383" spans="1:9" ht="22.5">
      <c r="A383" s="806" t="s">
        <v>1375</v>
      </c>
      <c r="B383" s="807" t="s">
        <v>1376</v>
      </c>
      <c r="C383" s="803" t="s">
        <v>1374</v>
      </c>
      <c r="D383" s="430" t="s">
        <v>410</v>
      </c>
      <c r="E383" s="474">
        <v>1</v>
      </c>
      <c r="F383" s="475">
        <v>0.6</v>
      </c>
      <c r="G383" s="456">
        <f t="shared" si="22"/>
        <v>0.6</v>
      </c>
    </row>
    <row r="384" spans="1:9" ht="22.5">
      <c r="A384" s="806" t="s">
        <v>1377</v>
      </c>
      <c r="B384" s="807" t="s">
        <v>1378</v>
      </c>
      <c r="C384" s="803" t="s">
        <v>1374</v>
      </c>
      <c r="D384" s="430" t="s">
        <v>410</v>
      </c>
      <c r="E384" s="474">
        <v>1</v>
      </c>
      <c r="F384" s="475">
        <v>0.37</v>
      </c>
      <c r="G384" s="433">
        <f t="shared" si="22"/>
        <v>0.37</v>
      </c>
    </row>
    <row r="385" spans="1:8" ht="22.5">
      <c r="A385" s="806" t="s">
        <v>1379</v>
      </c>
      <c r="B385" s="807" t="s">
        <v>1380</v>
      </c>
      <c r="C385" s="803" t="s">
        <v>1374</v>
      </c>
      <c r="D385" s="430" t="s">
        <v>410</v>
      </c>
      <c r="E385" s="474">
        <v>1</v>
      </c>
      <c r="F385" s="475">
        <v>0.02</v>
      </c>
      <c r="G385" s="433">
        <f t="shared" si="22"/>
        <v>0.02</v>
      </c>
    </row>
    <row r="386" spans="1:8" ht="22.5">
      <c r="A386" s="806" t="s">
        <v>1553</v>
      </c>
      <c r="B386" s="807" t="s">
        <v>1261</v>
      </c>
      <c r="C386" s="803" t="s">
        <v>99</v>
      </c>
      <c r="D386" s="430" t="s">
        <v>410</v>
      </c>
      <c r="E386" s="474">
        <v>1</v>
      </c>
      <c r="F386" s="475">
        <f>G22</f>
        <v>0.44000000000000006</v>
      </c>
      <c r="G386" s="456">
        <f t="shared" si="22"/>
        <v>0.44</v>
      </c>
    </row>
    <row r="387" spans="1:8">
      <c r="A387" s="806" t="s">
        <v>1381</v>
      </c>
      <c r="B387" s="807" t="s">
        <v>1300</v>
      </c>
      <c r="C387" s="803" t="s">
        <v>99</v>
      </c>
      <c r="D387" s="430" t="s">
        <v>410</v>
      </c>
      <c r="E387" s="474">
        <v>1</v>
      </c>
      <c r="F387" s="475">
        <f>G38</f>
        <v>0.98</v>
      </c>
      <c r="G387" s="433">
        <f t="shared" si="22"/>
        <v>0.98</v>
      </c>
    </row>
    <row r="388" spans="1:8" ht="22.5">
      <c r="A388" s="809">
        <v>95338</v>
      </c>
      <c r="B388" s="807" t="s">
        <v>1940</v>
      </c>
      <c r="C388" s="803" t="s">
        <v>117</v>
      </c>
      <c r="D388" s="430" t="s">
        <v>410</v>
      </c>
      <c r="E388" s="474">
        <v>1</v>
      </c>
      <c r="F388" s="523">
        <f>G512</f>
        <v>0.26</v>
      </c>
      <c r="G388" s="433">
        <f t="shared" si="22"/>
        <v>0.26</v>
      </c>
    </row>
    <row r="389" spans="1:8">
      <c r="C389" s="170"/>
      <c r="D389" s="476"/>
      <c r="E389" s="437"/>
      <c r="F389" s="438" t="s">
        <v>103</v>
      </c>
      <c r="G389" s="456">
        <f>G381+G388</f>
        <v>15.82</v>
      </c>
    </row>
    <row r="390" spans="1:8">
      <c r="C390" s="170"/>
      <c r="D390" s="216"/>
      <c r="E390" s="437"/>
      <c r="F390" s="438" t="s">
        <v>105</v>
      </c>
      <c r="G390" s="456">
        <f>SUM(G382:G387)</f>
        <v>4.5600000000000005</v>
      </c>
    </row>
    <row r="391" spans="1:8">
      <c r="A391" s="477"/>
      <c r="B391" s="215"/>
      <c r="C391" s="170"/>
      <c r="D391" s="216"/>
      <c r="E391" s="437"/>
      <c r="F391" s="438" t="s">
        <v>106</v>
      </c>
      <c r="G391" s="457">
        <f>SUM(G389:G390)</f>
        <v>20.380000000000003</v>
      </c>
      <c r="H391" s="441"/>
    </row>
    <row r="392" spans="1:8">
      <c r="A392" s="521"/>
      <c r="B392" s="522"/>
      <c r="C392" s="445"/>
      <c r="D392" s="442"/>
      <c r="E392" s="443"/>
      <c r="F392" s="443"/>
      <c r="G392" s="443"/>
      <c r="H392" s="442"/>
    </row>
    <row r="394" spans="1:8">
      <c r="A394" s="170" t="s">
        <v>1369</v>
      </c>
      <c r="C394" s="173"/>
      <c r="D394" s="170"/>
      <c r="E394" s="193"/>
      <c r="H394" s="170"/>
    </row>
    <row r="395" spans="1:8" ht="12.75" customHeight="1">
      <c r="A395" s="170" t="s">
        <v>33</v>
      </c>
      <c r="B395" s="221" t="s">
        <v>1961</v>
      </c>
      <c r="C395" s="173"/>
      <c r="D395" s="170"/>
      <c r="E395" s="193"/>
      <c r="H395" s="170"/>
    </row>
    <row r="396" spans="1:8" ht="15.75" customHeight="1">
      <c r="A396" s="170" t="s">
        <v>80</v>
      </c>
      <c r="B396" s="1429" t="s">
        <v>271</v>
      </c>
      <c r="C396" s="1429"/>
      <c r="D396" s="856" t="s">
        <v>410</v>
      </c>
      <c r="F396" s="506"/>
      <c r="H396" s="170"/>
    </row>
    <row r="397" spans="1:8" ht="24.75" customHeight="1">
      <c r="A397" s="515" t="s">
        <v>30</v>
      </c>
      <c r="B397" s="847" t="s">
        <v>19</v>
      </c>
      <c r="C397" s="430" t="s">
        <v>92</v>
      </c>
      <c r="D397" s="430" t="s">
        <v>88</v>
      </c>
      <c r="E397" s="844" t="s">
        <v>93</v>
      </c>
      <c r="F397" s="432" t="s">
        <v>94</v>
      </c>
      <c r="G397" s="469" t="s">
        <v>95</v>
      </c>
    </row>
    <row r="398" spans="1:8" ht="14.25" customHeight="1">
      <c r="A398" s="843">
        <v>4755</v>
      </c>
      <c r="B398" s="847" t="s">
        <v>1962</v>
      </c>
      <c r="C398" s="844" t="s">
        <v>117</v>
      </c>
      <c r="D398" s="430" t="s">
        <v>410</v>
      </c>
      <c r="E398" s="474">
        <v>1</v>
      </c>
      <c r="F398" s="524">
        <f>15.01</f>
        <v>15.01</v>
      </c>
      <c r="G398" s="456">
        <f>TRUNC(E398*F398,2)</f>
        <v>15.01</v>
      </c>
    </row>
    <row r="399" spans="1:8" ht="22.5">
      <c r="A399" s="849" t="s">
        <v>1372</v>
      </c>
      <c r="B399" s="847" t="s">
        <v>1373</v>
      </c>
      <c r="C399" s="844" t="s">
        <v>1374</v>
      </c>
      <c r="D399" s="430" t="s">
        <v>410</v>
      </c>
      <c r="E399" s="474">
        <v>1</v>
      </c>
      <c r="F399" s="475">
        <v>2.15</v>
      </c>
      <c r="G399" s="433">
        <f t="shared" ref="G399:G405" si="23">TRUNC(E399*F399,2)</f>
        <v>2.15</v>
      </c>
    </row>
    <row r="400" spans="1:8" ht="22.5">
      <c r="A400" s="849" t="s">
        <v>1375</v>
      </c>
      <c r="B400" s="847" t="s">
        <v>1376</v>
      </c>
      <c r="C400" s="844" t="s">
        <v>1374</v>
      </c>
      <c r="D400" s="430" t="s">
        <v>410</v>
      </c>
      <c r="E400" s="474">
        <v>1</v>
      </c>
      <c r="F400" s="475">
        <v>0.6</v>
      </c>
      <c r="G400" s="456">
        <f t="shared" si="23"/>
        <v>0.6</v>
      </c>
    </row>
    <row r="401" spans="1:8" ht="22.5">
      <c r="A401" s="849" t="s">
        <v>1377</v>
      </c>
      <c r="B401" s="847" t="s">
        <v>1378</v>
      </c>
      <c r="C401" s="844" t="s">
        <v>1374</v>
      </c>
      <c r="D401" s="430" t="s">
        <v>410</v>
      </c>
      <c r="E401" s="474">
        <v>1</v>
      </c>
      <c r="F401" s="475">
        <v>0.37</v>
      </c>
      <c r="G401" s="433">
        <f t="shared" si="23"/>
        <v>0.37</v>
      </c>
    </row>
    <row r="402" spans="1:8" ht="22.5">
      <c r="A402" s="849" t="s">
        <v>1379</v>
      </c>
      <c r="B402" s="847" t="s">
        <v>1380</v>
      </c>
      <c r="C402" s="844" t="s">
        <v>1374</v>
      </c>
      <c r="D402" s="430" t="s">
        <v>410</v>
      </c>
      <c r="E402" s="474">
        <v>1</v>
      </c>
      <c r="F402" s="475">
        <v>0.02</v>
      </c>
      <c r="G402" s="433">
        <f t="shared" si="23"/>
        <v>0.02</v>
      </c>
    </row>
    <row r="403" spans="1:8" ht="22.5">
      <c r="A403" s="849" t="s">
        <v>1553</v>
      </c>
      <c r="B403" s="847" t="s">
        <v>1261</v>
      </c>
      <c r="C403" s="844" t="s">
        <v>99</v>
      </c>
      <c r="D403" s="430" t="s">
        <v>410</v>
      </c>
      <c r="E403" s="474">
        <v>1</v>
      </c>
      <c r="F403" s="475">
        <f>G22</f>
        <v>0.44000000000000006</v>
      </c>
      <c r="G403" s="456">
        <f t="shared" si="23"/>
        <v>0.44</v>
      </c>
    </row>
    <row r="404" spans="1:8" ht="15" customHeight="1">
      <c r="A404" s="849" t="s">
        <v>1381</v>
      </c>
      <c r="B404" s="847" t="s">
        <v>1300</v>
      </c>
      <c r="C404" s="844" t="s">
        <v>99</v>
      </c>
      <c r="D404" s="430" t="s">
        <v>410</v>
      </c>
      <c r="E404" s="474">
        <v>1</v>
      </c>
      <c r="F404" s="475">
        <f>G38</f>
        <v>0.98</v>
      </c>
      <c r="G404" s="433">
        <f t="shared" si="23"/>
        <v>0.98</v>
      </c>
    </row>
    <row r="405" spans="1:8" ht="33.75">
      <c r="A405" s="843">
        <v>95341</v>
      </c>
      <c r="B405" s="847" t="s">
        <v>1963</v>
      </c>
      <c r="C405" s="844" t="s">
        <v>117</v>
      </c>
      <c r="D405" s="430" t="s">
        <v>410</v>
      </c>
      <c r="E405" s="474">
        <v>1</v>
      </c>
      <c r="F405" s="523">
        <f>G482</f>
        <v>0.17</v>
      </c>
      <c r="G405" s="433">
        <f t="shared" si="23"/>
        <v>0.17</v>
      </c>
    </row>
    <row r="406" spans="1:8" ht="15" customHeight="1">
      <c r="C406" s="170"/>
      <c r="D406" s="476"/>
      <c r="E406" s="437"/>
      <c r="F406" s="438" t="s">
        <v>103</v>
      </c>
      <c r="G406" s="456">
        <f>G398+G405</f>
        <v>15.18</v>
      </c>
    </row>
    <row r="407" spans="1:8" ht="15" customHeight="1">
      <c r="C407" s="170"/>
      <c r="D407" s="216"/>
      <c r="E407" s="437"/>
      <c r="F407" s="438" t="s">
        <v>105</v>
      </c>
      <c r="G407" s="456">
        <f>SUM(G399:G404)</f>
        <v>4.5600000000000005</v>
      </c>
    </row>
    <row r="408" spans="1:8" ht="15" customHeight="1">
      <c r="A408" s="477"/>
      <c r="B408" s="215"/>
      <c r="C408" s="170"/>
      <c r="D408" s="216"/>
      <c r="E408" s="437"/>
      <c r="F408" s="438" t="s">
        <v>106</v>
      </c>
      <c r="G408" s="457">
        <f>SUM(G406:G407)</f>
        <v>19.740000000000002</v>
      </c>
      <c r="H408" s="441"/>
    </row>
    <row r="409" spans="1:8">
      <c r="A409" s="521"/>
      <c r="B409" s="522"/>
      <c r="C409" s="445"/>
      <c r="D409" s="442"/>
      <c r="E409" s="443"/>
      <c r="F409" s="443"/>
      <c r="G409" s="443"/>
      <c r="H409" s="442"/>
    </row>
    <row r="411" spans="1:8">
      <c r="A411" s="170" t="s">
        <v>1369</v>
      </c>
      <c r="C411" s="173"/>
      <c r="D411" s="170"/>
      <c r="E411" s="193"/>
      <c r="H411" s="170"/>
    </row>
    <row r="412" spans="1:8">
      <c r="A412" s="170" t="s">
        <v>33</v>
      </c>
      <c r="B412" s="221" t="s">
        <v>2943</v>
      </c>
      <c r="C412" s="173"/>
      <c r="D412" s="170"/>
      <c r="E412" s="193"/>
      <c r="H412" s="170"/>
    </row>
    <row r="413" spans="1:8">
      <c r="A413" s="170" t="s">
        <v>80</v>
      </c>
      <c r="B413" s="505" t="s">
        <v>2941</v>
      </c>
      <c r="C413" s="1228" t="s">
        <v>410</v>
      </c>
      <c r="D413" s="170"/>
      <c r="F413" s="506"/>
      <c r="H413" s="170"/>
    </row>
    <row r="414" spans="1:8" ht="22.5">
      <c r="A414" s="515" t="s">
        <v>30</v>
      </c>
      <c r="B414" s="1224" t="s">
        <v>19</v>
      </c>
      <c r="C414" s="430" t="s">
        <v>92</v>
      </c>
      <c r="D414" s="430" t="s">
        <v>88</v>
      </c>
      <c r="E414" s="1221" t="s">
        <v>93</v>
      </c>
      <c r="F414" s="432" t="s">
        <v>94</v>
      </c>
      <c r="G414" s="469" t="s">
        <v>95</v>
      </c>
    </row>
    <row r="415" spans="1:8">
      <c r="A415" s="1227">
        <v>10489</v>
      </c>
      <c r="B415" s="1224" t="s">
        <v>2944</v>
      </c>
      <c r="C415" s="1221" t="s">
        <v>117</v>
      </c>
      <c r="D415" s="430" t="s">
        <v>410</v>
      </c>
      <c r="E415" s="474">
        <v>1</v>
      </c>
      <c r="F415" s="524">
        <f>14.05</f>
        <v>14.05</v>
      </c>
      <c r="G415" s="456">
        <f>TRUNC(E415*F415,2)</f>
        <v>14.05</v>
      </c>
    </row>
    <row r="416" spans="1:8" ht="22.5">
      <c r="A416" s="1223" t="s">
        <v>1372</v>
      </c>
      <c r="B416" s="1224" t="s">
        <v>1373</v>
      </c>
      <c r="C416" s="1221" t="s">
        <v>1374</v>
      </c>
      <c r="D416" s="430" t="s">
        <v>410</v>
      </c>
      <c r="E416" s="474">
        <v>1</v>
      </c>
      <c r="F416" s="475">
        <v>2.15</v>
      </c>
      <c r="G416" s="433">
        <f t="shared" ref="G416:G422" si="24">TRUNC(E416*F416,2)</f>
        <v>2.15</v>
      </c>
    </row>
    <row r="417" spans="1:8" ht="22.5">
      <c r="A417" s="1223" t="s">
        <v>1375</v>
      </c>
      <c r="B417" s="1224" t="s">
        <v>1376</v>
      </c>
      <c r="C417" s="1221" t="s">
        <v>1374</v>
      </c>
      <c r="D417" s="430" t="s">
        <v>410</v>
      </c>
      <c r="E417" s="474">
        <v>1</v>
      </c>
      <c r="F417" s="475">
        <v>0.6</v>
      </c>
      <c r="G417" s="456">
        <f t="shared" si="24"/>
        <v>0.6</v>
      </c>
    </row>
    <row r="418" spans="1:8" ht="22.5">
      <c r="A418" s="1223" t="s">
        <v>1377</v>
      </c>
      <c r="B418" s="1224" t="s">
        <v>1378</v>
      </c>
      <c r="C418" s="1221" t="s">
        <v>1374</v>
      </c>
      <c r="D418" s="430" t="s">
        <v>410</v>
      </c>
      <c r="E418" s="474">
        <v>1</v>
      </c>
      <c r="F418" s="475">
        <v>0.37</v>
      </c>
      <c r="G418" s="433">
        <f t="shared" si="24"/>
        <v>0.37</v>
      </c>
    </row>
    <row r="419" spans="1:8" ht="22.5">
      <c r="A419" s="1223" t="s">
        <v>1379</v>
      </c>
      <c r="B419" s="1224" t="s">
        <v>1380</v>
      </c>
      <c r="C419" s="1221" t="s">
        <v>1374</v>
      </c>
      <c r="D419" s="430" t="s">
        <v>410</v>
      </c>
      <c r="E419" s="474">
        <v>1</v>
      </c>
      <c r="F419" s="475">
        <v>0.02</v>
      </c>
      <c r="G419" s="433">
        <f t="shared" si="24"/>
        <v>0.02</v>
      </c>
    </row>
    <row r="420" spans="1:8" ht="22.5">
      <c r="A420" s="1223" t="s">
        <v>1553</v>
      </c>
      <c r="B420" s="1224" t="s">
        <v>1261</v>
      </c>
      <c r="C420" s="1221" t="s">
        <v>99</v>
      </c>
      <c r="D420" s="430" t="s">
        <v>410</v>
      </c>
      <c r="E420" s="474">
        <v>1</v>
      </c>
      <c r="F420" s="475">
        <f>G3</f>
        <v>0</v>
      </c>
      <c r="G420" s="456">
        <f t="shared" si="24"/>
        <v>0</v>
      </c>
    </row>
    <row r="421" spans="1:8">
      <c r="A421" s="1223" t="s">
        <v>1381</v>
      </c>
      <c r="B421" s="1224" t="s">
        <v>1300</v>
      </c>
      <c r="C421" s="1221" t="s">
        <v>99</v>
      </c>
      <c r="D421" s="430" t="s">
        <v>410</v>
      </c>
      <c r="E421" s="474">
        <v>1</v>
      </c>
      <c r="F421" s="475">
        <f>G19</f>
        <v>0.02</v>
      </c>
      <c r="G421" s="433">
        <f t="shared" si="24"/>
        <v>0.02</v>
      </c>
    </row>
    <row r="422" spans="1:8" ht="22.5">
      <c r="A422" s="1227">
        <v>95387</v>
      </c>
      <c r="B422" s="1224" t="s">
        <v>2945</v>
      </c>
      <c r="C422" s="1221" t="s">
        <v>117</v>
      </c>
      <c r="D422" s="430" t="s">
        <v>410</v>
      </c>
      <c r="E422" s="474">
        <v>1</v>
      </c>
      <c r="F422" s="523">
        <f>G452</f>
        <v>0.16</v>
      </c>
      <c r="G422" s="456">
        <f t="shared" si="24"/>
        <v>0.16</v>
      </c>
    </row>
    <row r="423" spans="1:8">
      <c r="C423" s="170"/>
      <c r="D423" s="476"/>
      <c r="E423" s="437"/>
      <c r="F423" s="438" t="s">
        <v>103</v>
      </c>
      <c r="G423" s="456">
        <f>G415+G422</f>
        <v>14.21</v>
      </c>
    </row>
    <row r="424" spans="1:8">
      <c r="C424" s="170"/>
      <c r="D424" s="216"/>
      <c r="E424" s="437"/>
      <c r="F424" s="438" t="s">
        <v>105</v>
      </c>
      <c r="G424" s="456">
        <f>SUM(G416:G421)</f>
        <v>3.16</v>
      </c>
    </row>
    <row r="425" spans="1:8">
      <c r="A425" s="477"/>
      <c r="B425" s="215"/>
      <c r="C425" s="170"/>
      <c r="D425" s="216"/>
      <c r="E425" s="437"/>
      <c r="F425" s="438" t="s">
        <v>106</v>
      </c>
      <c r="G425" s="457">
        <f>SUM(G423:G424)</f>
        <v>17.37</v>
      </c>
      <c r="H425" s="441"/>
    </row>
    <row r="426" spans="1:8">
      <c r="A426" s="521"/>
      <c r="B426" s="522"/>
      <c r="C426" s="445"/>
      <c r="D426" s="442"/>
      <c r="E426" s="443"/>
      <c r="F426" s="443"/>
      <c r="G426" s="443"/>
      <c r="H426" s="442"/>
    </row>
    <row r="428" spans="1:8">
      <c r="A428" s="170" t="s">
        <v>1369</v>
      </c>
      <c r="C428" s="173"/>
      <c r="D428" s="170"/>
      <c r="E428" s="193"/>
      <c r="H428" s="170"/>
    </row>
    <row r="429" spans="1:8">
      <c r="A429" s="170" t="s">
        <v>33</v>
      </c>
      <c r="B429" s="221" t="s">
        <v>1831</v>
      </c>
      <c r="C429" s="173"/>
      <c r="D429" s="170"/>
      <c r="E429" s="193"/>
      <c r="H429" s="170"/>
    </row>
    <row r="430" spans="1:8" ht="17.25" customHeight="1">
      <c r="A430" s="170" t="s">
        <v>80</v>
      </c>
      <c r="B430" s="505" t="s">
        <v>1830</v>
      </c>
      <c r="C430" s="754" t="s">
        <v>410</v>
      </c>
      <c r="D430" s="170"/>
      <c r="F430" s="506"/>
      <c r="H430" s="170"/>
    </row>
    <row r="431" spans="1:8" ht="22.5">
      <c r="A431" s="515" t="s">
        <v>30</v>
      </c>
      <c r="B431" s="752" t="s">
        <v>19</v>
      </c>
      <c r="C431" s="430" t="s">
        <v>92</v>
      </c>
      <c r="D431" s="430" t="s">
        <v>88</v>
      </c>
      <c r="E431" s="739" t="s">
        <v>93</v>
      </c>
      <c r="F431" s="432" t="s">
        <v>94</v>
      </c>
      <c r="G431" s="469" t="s">
        <v>95</v>
      </c>
    </row>
    <row r="432" spans="1:8" ht="15" customHeight="1">
      <c r="A432" s="741">
        <v>6110</v>
      </c>
      <c r="B432" s="752" t="s">
        <v>1832</v>
      </c>
      <c r="C432" s="739" t="s">
        <v>117</v>
      </c>
      <c r="D432" s="430" t="s">
        <v>410</v>
      </c>
      <c r="E432" s="474">
        <v>1</v>
      </c>
      <c r="F432" s="524">
        <f>14.68</f>
        <v>14.68</v>
      </c>
      <c r="G432" s="456">
        <f>TRUNC(E432*F432,2)</f>
        <v>14.68</v>
      </c>
    </row>
    <row r="433" spans="1:8" ht="22.5">
      <c r="A433" s="751" t="s">
        <v>1372</v>
      </c>
      <c r="B433" s="752" t="s">
        <v>1373</v>
      </c>
      <c r="C433" s="739" t="s">
        <v>1374</v>
      </c>
      <c r="D433" s="430" t="s">
        <v>410</v>
      </c>
      <c r="E433" s="474">
        <v>1</v>
      </c>
      <c r="F433" s="475">
        <v>2.15</v>
      </c>
      <c r="G433" s="433">
        <f t="shared" ref="G433:G439" si="25">TRUNC(E433*F433,2)</f>
        <v>2.15</v>
      </c>
    </row>
    <row r="434" spans="1:8" ht="22.5">
      <c r="A434" s="751" t="s">
        <v>1375</v>
      </c>
      <c r="B434" s="752" t="s">
        <v>1376</v>
      </c>
      <c r="C434" s="739" t="s">
        <v>1374</v>
      </c>
      <c r="D434" s="430" t="s">
        <v>410</v>
      </c>
      <c r="E434" s="474">
        <v>1</v>
      </c>
      <c r="F434" s="475">
        <v>0.6</v>
      </c>
      <c r="G434" s="456">
        <f t="shared" si="25"/>
        <v>0.6</v>
      </c>
    </row>
    <row r="435" spans="1:8" ht="22.5">
      <c r="A435" s="751" t="s">
        <v>1377</v>
      </c>
      <c r="B435" s="752" t="s">
        <v>1378</v>
      </c>
      <c r="C435" s="739" t="s">
        <v>1374</v>
      </c>
      <c r="D435" s="430" t="s">
        <v>410</v>
      </c>
      <c r="E435" s="474">
        <v>1</v>
      </c>
      <c r="F435" s="475">
        <v>0.37</v>
      </c>
      <c r="G435" s="433">
        <f t="shared" si="25"/>
        <v>0.37</v>
      </c>
    </row>
    <row r="436" spans="1:8" ht="22.5">
      <c r="A436" s="751" t="s">
        <v>1379</v>
      </c>
      <c r="B436" s="752" t="s">
        <v>1380</v>
      </c>
      <c r="C436" s="739" t="s">
        <v>1374</v>
      </c>
      <c r="D436" s="430" t="s">
        <v>410</v>
      </c>
      <c r="E436" s="474">
        <v>1</v>
      </c>
      <c r="F436" s="475">
        <v>0.02</v>
      </c>
      <c r="G436" s="433">
        <f t="shared" si="25"/>
        <v>0.02</v>
      </c>
    </row>
    <row r="437" spans="1:8" ht="22.5">
      <c r="A437" s="751" t="s">
        <v>1553</v>
      </c>
      <c r="B437" s="752" t="s">
        <v>1261</v>
      </c>
      <c r="C437" s="739" t="s">
        <v>99</v>
      </c>
      <c r="D437" s="430" t="s">
        <v>410</v>
      </c>
      <c r="E437" s="474">
        <v>1</v>
      </c>
      <c r="F437" s="475">
        <f>G22</f>
        <v>0.44000000000000006</v>
      </c>
      <c r="G437" s="456">
        <f t="shared" si="25"/>
        <v>0.44</v>
      </c>
    </row>
    <row r="438" spans="1:8" ht="14.1" customHeight="1">
      <c r="A438" s="751" t="s">
        <v>1381</v>
      </c>
      <c r="B438" s="752" t="s">
        <v>1300</v>
      </c>
      <c r="C438" s="739" t="s">
        <v>99</v>
      </c>
      <c r="D438" s="430" t="s">
        <v>410</v>
      </c>
      <c r="E438" s="474">
        <v>1</v>
      </c>
      <c r="F438" s="475">
        <f>G38</f>
        <v>0.98</v>
      </c>
      <c r="G438" s="433">
        <f t="shared" si="25"/>
        <v>0.98</v>
      </c>
    </row>
    <row r="439" spans="1:8" ht="22.5">
      <c r="A439" s="741">
        <v>95377</v>
      </c>
      <c r="B439" s="752" t="s">
        <v>1833</v>
      </c>
      <c r="C439" s="739" t="s">
        <v>117</v>
      </c>
      <c r="D439" s="430" t="s">
        <v>410</v>
      </c>
      <c r="E439" s="474">
        <v>1</v>
      </c>
      <c r="F439" s="523">
        <f>G592</f>
        <v>0.13</v>
      </c>
      <c r="G439" s="456">
        <f t="shared" si="25"/>
        <v>0.13</v>
      </c>
    </row>
    <row r="440" spans="1:8" ht="15" customHeight="1">
      <c r="C440" s="170"/>
      <c r="D440" s="476"/>
      <c r="E440" s="437"/>
      <c r="F440" s="438" t="s">
        <v>103</v>
      </c>
      <c r="G440" s="456">
        <f>G432+G439</f>
        <v>14.81</v>
      </c>
    </row>
    <row r="441" spans="1:8" ht="15" customHeight="1">
      <c r="C441" s="170"/>
      <c r="D441" s="216"/>
      <c r="E441" s="437"/>
      <c r="F441" s="438" t="s">
        <v>105</v>
      </c>
      <c r="G441" s="456">
        <f>SUM(G433:G438)</f>
        <v>4.5600000000000005</v>
      </c>
    </row>
    <row r="442" spans="1:8" ht="15" customHeight="1">
      <c r="A442" s="477"/>
      <c r="B442" s="215"/>
      <c r="C442" s="170"/>
      <c r="D442" s="216"/>
      <c r="E442" s="437"/>
      <c r="F442" s="438" t="s">
        <v>106</v>
      </c>
      <c r="G442" s="457">
        <f>SUM(G440:G441)</f>
        <v>19.37</v>
      </c>
      <c r="H442" s="441"/>
    </row>
    <row r="443" spans="1:8">
      <c r="A443" s="521"/>
      <c r="B443" s="522"/>
      <c r="C443" s="445"/>
      <c r="D443" s="442"/>
      <c r="E443" s="443"/>
      <c r="F443" s="443"/>
      <c r="G443" s="443"/>
      <c r="H443" s="442"/>
    </row>
    <row r="444" spans="1:8">
      <c r="A444" s="863"/>
      <c r="B444" s="864"/>
      <c r="C444" s="423"/>
      <c r="D444" s="424"/>
      <c r="E444" s="421"/>
      <c r="F444" s="421"/>
      <c r="G444" s="421"/>
      <c r="H444" s="424"/>
    </row>
    <row r="445" spans="1:8">
      <c r="A445" s="170" t="s">
        <v>1258</v>
      </c>
    </row>
    <row r="446" spans="1:8">
      <c r="A446" s="170" t="s">
        <v>1259</v>
      </c>
      <c r="B446" s="221" t="s">
        <v>2946</v>
      </c>
      <c r="C446" s="426"/>
    </row>
    <row r="447" spans="1:8" ht="24" customHeight="1">
      <c r="A447" s="170" t="s">
        <v>80</v>
      </c>
      <c r="B447" s="1429" t="s">
        <v>2945</v>
      </c>
      <c r="C447" s="1429"/>
      <c r="D447" s="1429"/>
      <c r="E447" s="222" t="s">
        <v>410</v>
      </c>
      <c r="F447" s="425"/>
      <c r="G447" s="425"/>
    </row>
    <row r="448" spans="1:8" ht="22.5">
      <c r="A448" s="428" t="s">
        <v>30</v>
      </c>
      <c r="B448" s="429" t="s">
        <v>19</v>
      </c>
      <c r="C448" s="430" t="s">
        <v>92</v>
      </c>
      <c r="D448" s="430" t="s">
        <v>88</v>
      </c>
      <c r="E448" s="1221" t="s">
        <v>93</v>
      </c>
      <c r="F448" s="432" t="s">
        <v>94</v>
      </c>
      <c r="G448" s="433" t="s">
        <v>95</v>
      </c>
    </row>
    <row r="449" spans="1:8">
      <c r="A449" s="1227">
        <v>10489</v>
      </c>
      <c r="B449" s="1224" t="s">
        <v>2947</v>
      </c>
      <c r="C449" s="432" t="s">
        <v>117</v>
      </c>
      <c r="D449" s="430" t="s">
        <v>410</v>
      </c>
      <c r="E449" s="1221">
        <v>1.1900000000000001E-2</v>
      </c>
      <c r="F449" s="435">
        <f>14.05</f>
        <v>14.05</v>
      </c>
      <c r="G449" s="456">
        <f>TRUNC(E449*F449,2)</f>
        <v>0.16</v>
      </c>
    </row>
    <row r="450" spans="1:8">
      <c r="D450" s="436"/>
      <c r="E450" s="437"/>
      <c r="F450" s="438" t="s">
        <v>103</v>
      </c>
      <c r="G450" s="456">
        <f>G449</f>
        <v>0.16</v>
      </c>
    </row>
    <row r="451" spans="1:8">
      <c r="D451" s="436"/>
      <c r="E451" s="437"/>
      <c r="F451" s="438" t="s">
        <v>105</v>
      </c>
      <c r="G451" s="456"/>
    </row>
    <row r="452" spans="1:8">
      <c r="A452" s="439"/>
      <c r="D452" s="436"/>
      <c r="E452" s="437"/>
      <c r="F452" s="438" t="s">
        <v>106</v>
      </c>
      <c r="G452" s="457">
        <f>SUM(G450:G451)</f>
        <v>0.16</v>
      </c>
      <c r="H452" s="441"/>
    </row>
    <row r="453" spans="1:8">
      <c r="A453" s="442"/>
      <c r="B453" s="443"/>
      <c r="C453" s="444"/>
      <c r="D453" s="445"/>
      <c r="E453" s="442"/>
      <c r="F453" s="443"/>
      <c r="G453" s="443"/>
      <c r="H453" s="443"/>
    </row>
    <row r="454" spans="1:8">
      <c r="A454" s="863"/>
      <c r="B454" s="864"/>
      <c r="C454" s="423"/>
      <c r="D454" s="424"/>
      <c r="E454" s="421"/>
      <c r="F454" s="421"/>
      <c r="G454" s="421"/>
      <c r="H454" s="424"/>
    </row>
    <row r="455" spans="1:8">
      <c r="A455" s="170" t="s">
        <v>1258</v>
      </c>
    </row>
    <row r="456" spans="1:8">
      <c r="A456" s="170" t="s">
        <v>1259</v>
      </c>
      <c r="B456" s="221" t="s">
        <v>2535</v>
      </c>
      <c r="C456" s="426"/>
    </row>
    <row r="457" spans="1:8" ht="23.25" customHeight="1">
      <c r="A457" s="170" t="s">
        <v>80</v>
      </c>
      <c r="B457" s="1429" t="s">
        <v>2534</v>
      </c>
      <c r="C457" s="1429"/>
      <c r="D457" s="1429"/>
      <c r="E457" s="222" t="s">
        <v>410</v>
      </c>
      <c r="F457" s="425"/>
      <c r="G457" s="425"/>
    </row>
    <row r="458" spans="1:8" ht="22.5">
      <c r="A458" s="428" t="s">
        <v>30</v>
      </c>
      <c r="B458" s="429" t="s">
        <v>19</v>
      </c>
      <c r="C458" s="430" t="s">
        <v>92</v>
      </c>
      <c r="D458" s="430" t="s">
        <v>88</v>
      </c>
      <c r="E458" s="989" t="s">
        <v>93</v>
      </c>
      <c r="F458" s="432" t="s">
        <v>94</v>
      </c>
      <c r="G458" s="433" t="s">
        <v>95</v>
      </c>
    </row>
    <row r="459" spans="1:8" ht="14.1" customHeight="1">
      <c r="A459" s="992">
        <v>244</v>
      </c>
      <c r="B459" s="987" t="s">
        <v>2536</v>
      </c>
      <c r="C459" s="432" t="s">
        <v>117</v>
      </c>
      <c r="D459" s="430" t="s">
        <v>410</v>
      </c>
      <c r="E459" s="989">
        <v>6.7000000000000002E-3</v>
      </c>
      <c r="F459" s="435">
        <f>5.98</f>
        <v>5.98</v>
      </c>
      <c r="G459" s="456">
        <f>TRUNC(E459*F459,2)</f>
        <v>0.04</v>
      </c>
    </row>
    <row r="460" spans="1:8" ht="14.1" customHeight="1">
      <c r="D460" s="436"/>
      <c r="E460" s="437"/>
      <c r="F460" s="438" t="s">
        <v>103</v>
      </c>
      <c r="G460" s="456">
        <f>G459</f>
        <v>0.04</v>
      </c>
    </row>
    <row r="461" spans="1:8" ht="14.1" customHeight="1">
      <c r="D461" s="436"/>
      <c r="E461" s="437"/>
      <c r="F461" s="438" t="s">
        <v>105</v>
      </c>
      <c r="G461" s="456"/>
    </row>
    <row r="462" spans="1:8" ht="14.1" customHeight="1">
      <c r="A462" s="439"/>
      <c r="D462" s="436"/>
      <c r="E462" s="437"/>
      <c r="F462" s="438" t="s">
        <v>106</v>
      </c>
      <c r="G462" s="457">
        <f>SUM(G460:G461)</f>
        <v>0.04</v>
      </c>
      <c r="H462" s="441"/>
    </row>
    <row r="463" spans="1:8">
      <c r="A463" s="442"/>
      <c r="B463" s="443"/>
      <c r="C463" s="444"/>
      <c r="D463" s="445"/>
      <c r="E463" s="442"/>
      <c r="F463" s="443"/>
      <c r="G463" s="443"/>
      <c r="H463" s="443"/>
    </row>
    <row r="464" spans="1:8">
      <c r="A464" s="863"/>
      <c r="B464" s="864"/>
      <c r="C464" s="423"/>
      <c r="D464" s="424"/>
      <c r="E464" s="421"/>
      <c r="F464" s="421"/>
      <c r="G464" s="421"/>
      <c r="H464" s="424"/>
    </row>
    <row r="465" spans="1:8">
      <c r="A465" s="170" t="s">
        <v>1258</v>
      </c>
    </row>
    <row r="466" spans="1:8">
      <c r="A466" s="170" t="s">
        <v>1259</v>
      </c>
      <c r="B466" s="221" t="s">
        <v>2540</v>
      </c>
      <c r="C466" s="426"/>
    </row>
    <row r="467" spans="1:8" ht="22.5" customHeight="1">
      <c r="A467" s="170" t="s">
        <v>80</v>
      </c>
      <c r="B467" s="1429" t="s">
        <v>2539</v>
      </c>
      <c r="C467" s="1429"/>
      <c r="D467" s="1429"/>
      <c r="E467" s="222" t="s">
        <v>410</v>
      </c>
      <c r="F467" s="425"/>
      <c r="G467" s="425"/>
    </row>
    <row r="468" spans="1:8" ht="22.5">
      <c r="A468" s="428" t="s">
        <v>30</v>
      </c>
      <c r="B468" s="429" t="s">
        <v>19</v>
      </c>
      <c r="C468" s="430" t="s">
        <v>92</v>
      </c>
      <c r="D468" s="430" t="s">
        <v>88</v>
      </c>
      <c r="E468" s="989" t="s">
        <v>93</v>
      </c>
      <c r="F468" s="432" t="s">
        <v>94</v>
      </c>
      <c r="G468" s="433" t="s">
        <v>95</v>
      </c>
    </row>
    <row r="469" spans="1:8" ht="15" customHeight="1">
      <c r="A469" s="992">
        <v>7595</v>
      </c>
      <c r="B469" s="987" t="s">
        <v>2541</v>
      </c>
      <c r="C469" s="432" t="s">
        <v>117</v>
      </c>
      <c r="D469" s="430" t="s">
        <v>410</v>
      </c>
      <c r="E469" s="989">
        <v>6.7000000000000002E-3</v>
      </c>
      <c r="F469" s="435">
        <f>7.54</f>
        <v>7.54</v>
      </c>
      <c r="G469" s="456">
        <f>TRUNC(E469*F469,2)</f>
        <v>0.05</v>
      </c>
    </row>
    <row r="470" spans="1:8" ht="15" customHeight="1">
      <c r="D470" s="436"/>
      <c r="E470" s="437"/>
      <c r="F470" s="438" t="s">
        <v>103</v>
      </c>
      <c r="G470" s="456">
        <f>G469</f>
        <v>0.05</v>
      </c>
    </row>
    <row r="471" spans="1:8" ht="15" customHeight="1">
      <c r="D471" s="436"/>
      <c r="E471" s="437"/>
      <c r="F471" s="438" t="s">
        <v>105</v>
      </c>
      <c r="G471" s="456"/>
    </row>
    <row r="472" spans="1:8" ht="15" customHeight="1">
      <c r="A472" s="439"/>
      <c r="D472" s="436"/>
      <c r="E472" s="437"/>
      <c r="F472" s="438" t="s">
        <v>106</v>
      </c>
      <c r="G472" s="457">
        <f>SUM(G470:G471)</f>
        <v>0.05</v>
      </c>
      <c r="H472" s="441"/>
    </row>
    <row r="473" spans="1:8">
      <c r="A473" s="442"/>
      <c r="B473" s="443"/>
      <c r="C473" s="444"/>
      <c r="D473" s="445"/>
      <c r="E473" s="442"/>
      <c r="F473" s="443"/>
      <c r="G473" s="443"/>
      <c r="H473" s="443"/>
    </row>
    <row r="474" spans="1:8">
      <c r="A474" s="863"/>
      <c r="B474" s="864"/>
      <c r="C474" s="423"/>
      <c r="D474" s="424"/>
      <c r="E474" s="421"/>
      <c r="F474" s="421"/>
      <c r="G474" s="421"/>
      <c r="H474" s="424"/>
    </row>
    <row r="475" spans="1:8">
      <c r="A475" s="170" t="s">
        <v>1258</v>
      </c>
    </row>
    <row r="476" spans="1:8">
      <c r="A476" s="170" t="s">
        <v>1259</v>
      </c>
      <c r="B476" s="221" t="s">
        <v>1964</v>
      </c>
      <c r="C476" s="426"/>
    </row>
    <row r="477" spans="1:8" ht="26.25" customHeight="1">
      <c r="A477" s="170" t="s">
        <v>80</v>
      </c>
      <c r="B477" s="1429" t="s">
        <v>1963</v>
      </c>
      <c r="C477" s="1429"/>
      <c r="D477" s="1429"/>
      <c r="E477" s="222" t="s">
        <v>410</v>
      </c>
      <c r="F477" s="425"/>
      <c r="G477" s="425"/>
    </row>
    <row r="478" spans="1:8" ht="22.5">
      <c r="A478" s="428" t="s">
        <v>30</v>
      </c>
      <c r="B478" s="429" t="s">
        <v>19</v>
      </c>
      <c r="C478" s="430" t="s">
        <v>92</v>
      </c>
      <c r="D478" s="430" t="s">
        <v>88</v>
      </c>
      <c r="E478" s="844" t="s">
        <v>93</v>
      </c>
      <c r="F478" s="432" t="s">
        <v>94</v>
      </c>
      <c r="G478" s="433" t="s">
        <v>95</v>
      </c>
    </row>
    <row r="479" spans="1:8" ht="13.5" customHeight="1">
      <c r="A479" s="843">
        <v>4755</v>
      </c>
      <c r="B479" s="847" t="s">
        <v>1962</v>
      </c>
      <c r="C479" s="432" t="s">
        <v>117</v>
      </c>
      <c r="D479" s="430" t="s">
        <v>410</v>
      </c>
      <c r="E479" s="844">
        <v>1.1900000000000001E-2</v>
      </c>
      <c r="F479" s="435">
        <f>15.01</f>
        <v>15.01</v>
      </c>
      <c r="G479" s="456">
        <f>TRUNC(E479*F479,2)</f>
        <v>0.17</v>
      </c>
    </row>
    <row r="480" spans="1:8">
      <c r="D480" s="436"/>
      <c r="E480" s="437"/>
      <c r="F480" s="438" t="s">
        <v>103</v>
      </c>
      <c r="G480" s="456">
        <f>G479</f>
        <v>0.17</v>
      </c>
    </row>
    <row r="481" spans="1:9">
      <c r="D481" s="436"/>
      <c r="E481" s="437"/>
      <c r="F481" s="438" t="s">
        <v>105</v>
      </c>
      <c r="G481" s="456"/>
    </row>
    <row r="482" spans="1:9">
      <c r="A482" s="439"/>
      <c r="D482" s="436"/>
      <c r="E482" s="437"/>
      <c r="F482" s="438" t="s">
        <v>106</v>
      </c>
      <c r="G482" s="457">
        <f>SUM(G480:G481)</f>
        <v>0.17</v>
      </c>
      <c r="H482" s="441"/>
    </row>
    <row r="483" spans="1:9">
      <c r="A483" s="442"/>
      <c r="B483" s="443"/>
      <c r="C483" s="444"/>
      <c r="D483" s="445"/>
      <c r="E483" s="442"/>
      <c r="F483" s="443"/>
      <c r="G483" s="443"/>
      <c r="H483" s="443"/>
    </row>
    <row r="484" spans="1:9">
      <c r="A484" s="863"/>
      <c r="B484" s="864"/>
      <c r="C484" s="423"/>
      <c r="D484" s="424"/>
      <c r="E484" s="421"/>
      <c r="F484" s="421"/>
      <c r="G484" s="421"/>
      <c r="H484" s="424"/>
    </row>
    <row r="485" spans="1:9" ht="15" customHeight="1">
      <c r="A485" s="170" t="s">
        <v>1258</v>
      </c>
    </row>
    <row r="486" spans="1:9" ht="15" customHeight="1">
      <c r="A486" s="170" t="s">
        <v>1259</v>
      </c>
      <c r="B486" s="221" t="s">
        <v>1319</v>
      </c>
      <c r="C486" s="426"/>
    </row>
    <row r="487" spans="1:9" ht="27" customHeight="1">
      <c r="A487" s="170" t="s">
        <v>80</v>
      </c>
      <c r="B487" s="427" t="s">
        <v>1320</v>
      </c>
      <c r="C487" s="222" t="s">
        <v>410</v>
      </c>
      <c r="E487" s="425" t="s">
        <v>2</v>
      </c>
      <c r="F487" s="425"/>
      <c r="G487" s="425"/>
    </row>
    <row r="488" spans="1:9" ht="22.5">
      <c r="A488" s="428" t="s">
        <v>30</v>
      </c>
      <c r="B488" s="429" t="s">
        <v>19</v>
      </c>
      <c r="C488" s="430" t="s">
        <v>92</v>
      </c>
      <c r="D488" s="430" t="s">
        <v>88</v>
      </c>
      <c r="E488" s="431" t="s">
        <v>93</v>
      </c>
      <c r="F488" s="432" t="s">
        <v>94</v>
      </c>
      <c r="G488" s="433" t="s">
        <v>95</v>
      </c>
    </row>
    <row r="489" spans="1:9" ht="15" customHeight="1">
      <c r="A489" s="428" t="s">
        <v>1321</v>
      </c>
      <c r="B489" s="434" t="s">
        <v>1322</v>
      </c>
      <c r="C489" s="432" t="s">
        <v>117</v>
      </c>
      <c r="D489" s="430" t="s">
        <v>410</v>
      </c>
      <c r="E489" s="431" t="s">
        <v>1302</v>
      </c>
      <c r="F489" s="435">
        <f>10.6</f>
        <v>10.6</v>
      </c>
      <c r="G489" s="433">
        <f>TRUNC(E489*F489,2)</f>
        <v>0.14000000000000001</v>
      </c>
    </row>
    <row r="490" spans="1:9" ht="15" customHeight="1">
      <c r="D490" s="436"/>
      <c r="E490" s="437"/>
      <c r="F490" s="438" t="s">
        <v>103</v>
      </c>
      <c r="G490" s="433">
        <f>G489</f>
        <v>0.14000000000000001</v>
      </c>
    </row>
    <row r="491" spans="1:9" ht="15" customHeight="1">
      <c r="D491" s="436"/>
      <c r="E491" s="437"/>
      <c r="F491" s="438" t="s">
        <v>105</v>
      </c>
      <c r="G491" s="433"/>
    </row>
    <row r="492" spans="1:9" ht="15" customHeight="1">
      <c r="A492" s="439"/>
      <c r="D492" s="436"/>
      <c r="E492" s="437"/>
      <c r="F492" s="438" t="s">
        <v>106</v>
      </c>
      <c r="G492" s="440">
        <f>SUM(G490:G491)</f>
        <v>0.14000000000000001</v>
      </c>
      <c r="H492" s="441"/>
    </row>
    <row r="493" spans="1:9">
      <c r="A493" s="442"/>
      <c r="B493" s="443"/>
      <c r="C493" s="444"/>
      <c r="D493" s="445"/>
      <c r="E493" s="442"/>
      <c r="F493" s="443"/>
      <c r="G493" s="443"/>
      <c r="H493" s="443"/>
      <c r="I493" s="442"/>
    </row>
    <row r="494" spans="1:9" s="424" customFormat="1">
      <c r="B494" s="421"/>
      <c r="C494" s="422"/>
      <c r="D494" s="423"/>
      <c r="F494" s="421"/>
      <c r="G494" s="421"/>
      <c r="H494" s="421"/>
    </row>
    <row r="495" spans="1:9" s="424" customFormat="1">
      <c r="A495" s="170" t="s">
        <v>1258</v>
      </c>
      <c r="B495" s="193"/>
      <c r="C495" s="425"/>
      <c r="D495" s="173"/>
      <c r="E495" s="170"/>
      <c r="F495" s="193"/>
      <c r="G495" s="193"/>
      <c r="H495" s="193"/>
    </row>
    <row r="496" spans="1:9" s="424" customFormat="1">
      <c r="A496" s="170" t="s">
        <v>1259</v>
      </c>
      <c r="B496" s="221" t="s">
        <v>2792</v>
      </c>
      <c r="C496" s="426"/>
      <c r="D496" s="173"/>
      <c r="E496" s="170"/>
      <c r="F496" s="193"/>
      <c r="G496" s="193"/>
      <c r="H496" s="193"/>
    </row>
    <row r="497" spans="1:8" s="424" customFormat="1" ht="11.25" customHeight="1">
      <c r="A497" s="170" t="s">
        <v>80</v>
      </c>
      <c r="B497" s="1429" t="s">
        <v>1963</v>
      </c>
      <c r="C497" s="1429"/>
      <c r="D497" s="1429"/>
      <c r="E497" s="222" t="s">
        <v>410</v>
      </c>
      <c r="F497" s="425"/>
      <c r="G497" s="425"/>
      <c r="H497" s="193"/>
    </row>
    <row r="498" spans="1:8" s="424" customFormat="1" ht="22.5">
      <c r="A498" s="428" t="s">
        <v>30</v>
      </c>
      <c r="B498" s="429" t="s">
        <v>19</v>
      </c>
      <c r="C498" s="430" t="s">
        <v>92</v>
      </c>
      <c r="D498" s="430" t="s">
        <v>88</v>
      </c>
      <c r="E498" s="1094" t="s">
        <v>93</v>
      </c>
      <c r="F498" s="432" t="s">
        <v>94</v>
      </c>
      <c r="G498" s="433" t="s">
        <v>95</v>
      </c>
      <c r="H498" s="193"/>
    </row>
    <row r="499" spans="1:8" s="424" customFormat="1">
      <c r="A499" s="1100" t="s">
        <v>2793</v>
      </c>
      <c r="B499" s="1101" t="s">
        <v>2790</v>
      </c>
      <c r="C499" s="432" t="s">
        <v>117</v>
      </c>
      <c r="D499" s="430" t="s">
        <v>410</v>
      </c>
      <c r="E499" s="1094">
        <v>1.1900000000000001E-2</v>
      </c>
      <c r="F499" s="435">
        <f>10.9</f>
        <v>10.9</v>
      </c>
      <c r="G499" s="456">
        <f>TRUNC(E499*F499,2)</f>
        <v>0.12</v>
      </c>
      <c r="H499" s="193"/>
    </row>
    <row r="500" spans="1:8" s="424" customFormat="1">
      <c r="A500" s="170"/>
      <c r="B500" s="193"/>
      <c r="C500" s="425"/>
      <c r="D500" s="436"/>
      <c r="E500" s="437"/>
      <c r="F500" s="438" t="s">
        <v>103</v>
      </c>
      <c r="G500" s="456">
        <f>G499</f>
        <v>0.12</v>
      </c>
      <c r="H500" s="193"/>
    </row>
    <row r="501" spans="1:8" s="424" customFormat="1">
      <c r="A501" s="170"/>
      <c r="B501" s="193"/>
      <c r="C501" s="425"/>
      <c r="D501" s="436"/>
      <c r="E501" s="437"/>
      <c r="F501" s="438" t="s">
        <v>105</v>
      </c>
      <c r="G501" s="456"/>
      <c r="H501" s="193"/>
    </row>
    <row r="502" spans="1:8" s="424" customFormat="1">
      <c r="A502" s="439"/>
      <c r="B502" s="193"/>
      <c r="C502" s="425"/>
      <c r="D502" s="436"/>
      <c r="E502" s="437"/>
      <c r="F502" s="438" t="s">
        <v>106</v>
      </c>
      <c r="G502" s="457">
        <f>SUM(G500:G501)</f>
        <v>0.12</v>
      </c>
      <c r="H502" s="441"/>
    </row>
    <row r="503" spans="1:8" s="424" customFormat="1">
      <c r="A503" s="442"/>
      <c r="B503" s="443"/>
      <c r="C503" s="444"/>
      <c r="D503" s="445"/>
      <c r="E503" s="442"/>
      <c r="F503" s="443"/>
      <c r="G503" s="443"/>
      <c r="H503" s="443"/>
    </row>
    <row r="504" spans="1:8" s="424" customFormat="1">
      <c r="B504" s="421"/>
      <c r="C504" s="422"/>
      <c r="D504" s="423"/>
      <c r="F504" s="421"/>
      <c r="G504" s="421"/>
      <c r="H504" s="421"/>
    </row>
    <row r="505" spans="1:8" s="424" customFormat="1">
      <c r="A505" s="170" t="s">
        <v>1258</v>
      </c>
      <c r="B505" s="193"/>
      <c r="C505" s="425"/>
      <c r="D505" s="173"/>
      <c r="E505" s="170"/>
      <c r="F505" s="193"/>
      <c r="G505" s="193"/>
      <c r="H505" s="193"/>
    </row>
    <row r="506" spans="1:8" s="424" customFormat="1">
      <c r="A506" s="170" t="s">
        <v>1259</v>
      </c>
      <c r="B506" s="446" t="s">
        <v>1941</v>
      </c>
      <c r="C506" s="447"/>
      <c r="D506" s="173"/>
      <c r="E506" s="170"/>
      <c r="F506" s="193"/>
      <c r="G506" s="193"/>
      <c r="H506" s="193"/>
    </row>
    <row r="507" spans="1:8" s="424" customFormat="1" ht="33.75">
      <c r="A507" s="170" t="s">
        <v>80</v>
      </c>
      <c r="B507" s="812" t="s">
        <v>1940</v>
      </c>
      <c r="C507" s="222" t="s">
        <v>410</v>
      </c>
      <c r="D507" s="173"/>
      <c r="E507" s="425" t="s">
        <v>2</v>
      </c>
      <c r="F507" s="425"/>
      <c r="G507" s="425"/>
      <c r="H507" s="193"/>
    </row>
    <row r="508" spans="1:8" s="424" customFormat="1" ht="22.5">
      <c r="A508" s="428" t="s">
        <v>30</v>
      </c>
      <c r="B508" s="429" t="s">
        <v>19</v>
      </c>
      <c r="C508" s="430" t="s">
        <v>92</v>
      </c>
      <c r="D508" s="430" t="s">
        <v>88</v>
      </c>
      <c r="E508" s="803" t="s">
        <v>93</v>
      </c>
      <c r="F508" s="432" t="s">
        <v>94</v>
      </c>
      <c r="G508" s="433" t="s">
        <v>95</v>
      </c>
      <c r="H508" s="193"/>
    </row>
    <row r="509" spans="1:8" s="424" customFormat="1" ht="15" customHeight="1">
      <c r="A509" s="809">
        <v>12873</v>
      </c>
      <c r="B509" s="449" t="s">
        <v>1939</v>
      </c>
      <c r="C509" s="450" t="s">
        <v>117</v>
      </c>
      <c r="D509" s="430" t="s">
        <v>410</v>
      </c>
      <c r="E509" s="451">
        <v>1.7100000000000001E-2</v>
      </c>
      <c r="F509" s="452">
        <f>15.56</f>
        <v>15.56</v>
      </c>
      <c r="G509" s="433">
        <f>TRUNC(E509*F509,2)</f>
        <v>0.26</v>
      </c>
      <c r="H509" s="193"/>
    </row>
    <row r="510" spans="1:8" s="424" customFormat="1" ht="15" customHeight="1">
      <c r="A510" s="170"/>
      <c r="B510" s="193"/>
      <c r="C510" s="425"/>
      <c r="D510" s="436"/>
      <c r="E510" s="437"/>
      <c r="F510" s="438" t="s">
        <v>103</v>
      </c>
      <c r="G510" s="433">
        <f>G509</f>
        <v>0.26</v>
      </c>
      <c r="H510" s="193"/>
    </row>
    <row r="511" spans="1:8" s="424" customFormat="1" ht="15" customHeight="1">
      <c r="A511" s="170"/>
      <c r="B511" s="193"/>
      <c r="C511" s="425"/>
      <c r="D511" s="436"/>
      <c r="E511" s="437"/>
      <c r="F511" s="438" t="s">
        <v>105</v>
      </c>
      <c r="G511" s="433"/>
      <c r="H511" s="193"/>
    </row>
    <row r="512" spans="1:8" s="424" customFormat="1" ht="15" customHeight="1">
      <c r="A512" s="439"/>
      <c r="B512" s="193"/>
      <c r="C512" s="425"/>
      <c r="D512" s="436"/>
      <c r="E512" s="437"/>
      <c r="F512" s="438" t="s">
        <v>106</v>
      </c>
      <c r="G512" s="440">
        <f>SUM(G510:G511)</f>
        <v>0.26</v>
      </c>
      <c r="H512" s="441"/>
    </row>
    <row r="513" spans="1:9" s="424" customFormat="1">
      <c r="A513" s="442"/>
      <c r="B513" s="443"/>
      <c r="C513" s="444"/>
      <c r="D513" s="445"/>
      <c r="E513" s="442"/>
      <c r="F513" s="443"/>
      <c r="G513" s="443"/>
      <c r="H513" s="443"/>
    </row>
    <row r="514" spans="1:9" s="424" customFormat="1">
      <c r="B514" s="421"/>
      <c r="C514" s="422"/>
      <c r="D514" s="423"/>
      <c r="F514" s="421"/>
      <c r="G514" s="421"/>
      <c r="H514" s="421"/>
    </row>
    <row r="515" spans="1:9" ht="15" customHeight="1">
      <c r="A515" s="170" t="s">
        <v>1258</v>
      </c>
    </row>
    <row r="516" spans="1:9" ht="15" customHeight="1">
      <c r="A516" s="170" t="s">
        <v>1259</v>
      </c>
      <c r="B516" s="446" t="s">
        <v>1323</v>
      </c>
      <c r="C516" s="447"/>
    </row>
    <row r="517" spans="1:9" ht="22.5">
      <c r="A517" s="170" t="s">
        <v>80</v>
      </c>
      <c r="B517" s="427" t="s">
        <v>1324</v>
      </c>
      <c r="C517" s="222" t="s">
        <v>410</v>
      </c>
      <c r="E517" s="425" t="s">
        <v>2</v>
      </c>
      <c r="F517" s="425"/>
      <c r="G517" s="425"/>
    </row>
    <row r="518" spans="1:9" ht="22.5">
      <c r="A518" s="428" t="s">
        <v>30</v>
      </c>
      <c r="B518" s="429" t="s">
        <v>19</v>
      </c>
      <c r="C518" s="430" t="s">
        <v>92</v>
      </c>
      <c r="D518" s="430" t="s">
        <v>88</v>
      </c>
      <c r="E518" s="431" t="s">
        <v>93</v>
      </c>
      <c r="F518" s="432" t="s">
        <v>94</v>
      </c>
      <c r="G518" s="433" t="s">
        <v>95</v>
      </c>
    </row>
    <row r="519" spans="1:9" ht="15" customHeight="1">
      <c r="A519" s="448">
        <v>6111</v>
      </c>
      <c r="B519" s="449" t="s">
        <v>1325</v>
      </c>
      <c r="C519" s="450" t="s">
        <v>117</v>
      </c>
      <c r="D519" s="430" t="s">
        <v>410</v>
      </c>
      <c r="E519" s="451">
        <v>1.7100000000000001E-2</v>
      </c>
      <c r="F519" s="452">
        <f>10.92</f>
        <v>10.92</v>
      </c>
      <c r="G519" s="433">
        <f>TRUNC(E519*F519,2)</f>
        <v>0.18</v>
      </c>
    </row>
    <row r="520" spans="1:9" ht="15" customHeight="1">
      <c r="D520" s="436"/>
      <c r="E520" s="437"/>
      <c r="F520" s="438" t="s">
        <v>103</v>
      </c>
      <c r="G520" s="433">
        <f>G519</f>
        <v>0.18</v>
      </c>
    </row>
    <row r="521" spans="1:9" ht="15" customHeight="1">
      <c r="D521" s="436"/>
      <c r="E521" s="437"/>
      <c r="F521" s="438" t="s">
        <v>105</v>
      </c>
      <c r="G521" s="433"/>
    </row>
    <row r="522" spans="1:9" ht="15" customHeight="1">
      <c r="A522" s="439"/>
      <c r="D522" s="436"/>
      <c r="E522" s="437"/>
      <c r="F522" s="438" t="s">
        <v>106</v>
      </c>
      <c r="G522" s="440">
        <f>SUM(G520:G521)</f>
        <v>0.18</v>
      </c>
      <c r="H522" s="441"/>
    </row>
    <row r="523" spans="1:9">
      <c r="A523" s="442"/>
      <c r="B523" s="443"/>
      <c r="C523" s="444"/>
      <c r="D523" s="445"/>
      <c r="E523" s="442"/>
      <c r="F523" s="443"/>
      <c r="G523" s="443"/>
      <c r="H523" s="443"/>
      <c r="I523" s="442"/>
    </row>
    <row r="525" spans="1:9">
      <c r="A525" s="170" t="s">
        <v>1258</v>
      </c>
    </row>
    <row r="526" spans="1:9">
      <c r="A526" s="170" t="s">
        <v>1259</v>
      </c>
      <c r="B526" s="446" t="s">
        <v>1326</v>
      </c>
      <c r="C526" s="447"/>
    </row>
    <row r="527" spans="1:9" ht="30" customHeight="1">
      <c r="A527" s="170" t="s">
        <v>80</v>
      </c>
      <c r="B527" s="1429" t="s">
        <v>1561</v>
      </c>
      <c r="C527" s="1429"/>
      <c r="D527" s="222" t="s">
        <v>410</v>
      </c>
      <c r="E527" s="425" t="s">
        <v>2</v>
      </c>
      <c r="F527" s="425"/>
      <c r="G527" s="425"/>
    </row>
    <row r="528" spans="1:9" ht="22.5">
      <c r="A528" s="428" t="s">
        <v>30</v>
      </c>
      <c r="B528" s="429" t="s">
        <v>19</v>
      </c>
      <c r="C528" s="430" t="s">
        <v>92</v>
      </c>
      <c r="D528" s="430" t="s">
        <v>88</v>
      </c>
      <c r="E528" s="431" t="s">
        <v>93</v>
      </c>
      <c r="F528" s="432" t="s">
        <v>94</v>
      </c>
      <c r="G528" s="433" t="s">
        <v>95</v>
      </c>
    </row>
    <row r="529" spans="1:9" ht="15" customHeight="1">
      <c r="A529" s="448">
        <v>4094</v>
      </c>
      <c r="B529" s="449" t="s">
        <v>1327</v>
      </c>
      <c r="C529" s="450" t="s">
        <v>117</v>
      </c>
      <c r="D529" s="430" t="s">
        <v>410</v>
      </c>
      <c r="E529" s="451">
        <v>4.1000000000000003E-3</v>
      </c>
      <c r="F529" s="452">
        <f>16.13</f>
        <v>16.13</v>
      </c>
      <c r="G529" s="433">
        <f>TRUNC(E529*F529,2)</f>
        <v>0.06</v>
      </c>
    </row>
    <row r="530" spans="1:9" ht="15" customHeight="1">
      <c r="D530" s="436"/>
      <c r="E530" s="437"/>
      <c r="F530" s="438" t="s">
        <v>103</v>
      </c>
      <c r="G530" s="433">
        <f>G529</f>
        <v>0.06</v>
      </c>
    </row>
    <row r="531" spans="1:9" ht="15" customHeight="1">
      <c r="D531" s="436"/>
      <c r="E531" s="437"/>
      <c r="F531" s="438" t="s">
        <v>105</v>
      </c>
      <c r="G531" s="433"/>
    </row>
    <row r="532" spans="1:9" ht="15" customHeight="1">
      <c r="A532" s="439"/>
      <c r="D532" s="436"/>
      <c r="E532" s="437"/>
      <c r="F532" s="438" t="s">
        <v>106</v>
      </c>
      <c r="G532" s="440">
        <f>SUM(G530:G531)</f>
        <v>0.06</v>
      </c>
      <c r="H532" s="441"/>
    </row>
    <row r="533" spans="1:9">
      <c r="A533" s="442"/>
      <c r="B533" s="443"/>
      <c r="C533" s="444"/>
      <c r="D533" s="445"/>
      <c r="E533" s="442"/>
      <c r="F533" s="443"/>
      <c r="G533" s="443"/>
      <c r="H533" s="443"/>
      <c r="I533" s="442"/>
    </row>
    <row r="535" spans="1:9" ht="15" customHeight="1">
      <c r="A535" s="170" t="s">
        <v>1258</v>
      </c>
    </row>
    <row r="536" spans="1:9" ht="15" customHeight="1">
      <c r="A536" s="170" t="s">
        <v>1259</v>
      </c>
      <c r="B536" s="446" t="s">
        <v>1328</v>
      </c>
      <c r="C536" s="447"/>
    </row>
    <row r="537" spans="1:9" ht="33.75">
      <c r="A537" s="170" t="s">
        <v>80</v>
      </c>
      <c r="B537" s="453" t="s">
        <v>1329</v>
      </c>
      <c r="C537" s="222" t="s">
        <v>410</v>
      </c>
      <c r="E537" s="425" t="s">
        <v>2</v>
      </c>
      <c r="F537" s="425"/>
      <c r="G537" s="425"/>
    </row>
    <row r="538" spans="1:9" ht="22.5">
      <c r="A538" s="428" t="s">
        <v>30</v>
      </c>
      <c r="B538" s="429" t="s">
        <v>19</v>
      </c>
      <c r="C538" s="430" t="s">
        <v>92</v>
      </c>
      <c r="D538" s="430" t="s">
        <v>88</v>
      </c>
      <c r="E538" s="431" t="s">
        <v>93</v>
      </c>
      <c r="F538" s="432" t="s">
        <v>94</v>
      </c>
      <c r="G538" s="433" t="s">
        <v>95</v>
      </c>
    </row>
    <row r="539" spans="1:9" ht="15" customHeight="1">
      <c r="A539" s="448">
        <v>20020</v>
      </c>
      <c r="B539" s="449" t="s">
        <v>1330</v>
      </c>
      <c r="C539" s="450" t="s">
        <v>117</v>
      </c>
      <c r="D539" s="430" t="s">
        <v>410</v>
      </c>
      <c r="E539" s="451">
        <v>4.1000000000000003E-3</v>
      </c>
      <c r="F539" s="452">
        <f>11.38</f>
        <v>11.38</v>
      </c>
      <c r="G539" s="433">
        <f>TRUNC(E539*F539,2)</f>
        <v>0.04</v>
      </c>
    </row>
    <row r="540" spans="1:9" ht="15" customHeight="1">
      <c r="D540" s="436"/>
      <c r="E540" s="437"/>
      <c r="F540" s="438" t="s">
        <v>103</v>
      </c>
      <c r="G540" s="433">
        <f>G539</f>
        <v>0.04</v>
      </c>
    </row>
    <row r="541" spans="1:9" ht="15" customHeight="1">
      <c r="D541" s="436"/>
      <c r="E541" s="437"/>
      <c r="F541" s="438" t="s">
        <v>105</v>
      </c>
      <c r="G541" s="433"/>
    </row>
    <row r="542" spans="1:9" ht="15" customHeight="1">
      <c r="A542" s="439"/>
      <c r="D542" s="436"/>
      <c r="E542" s="437"/>
      <c r="F542" s="438" t="s">
        <v>106</v>
      </c>
      <c r="G542" s="440">
        <f>SUM(G540:G541)</f>
        <v>0.04</v>
      </c>
      <c r="H542" s="441"/>
    </row>
    <row r="543" spans="1:9">
      <c r="A543" s="442"/>
      <c r="B543" s="443"/>
      <c r="C543" s="444"/>
      <c r="D543" s="445"/>
      <c r="E543" s="442"/>
      <c r="F543" s="443"/>
      <c r="G543" s="443"/>
      <c r="H543" s="443"/>
      <c r="I543" s="442"/>
    </row>
    <row r="545" spans="1:9" ht="15" customHeight="1">
      <c r="A545" s="170" t="s">
        <v>1258</v>
      </c>
    </row>
    <row r="546" spans="1:9" ht="15" customHeight="1">
      <c r="A546" s="170" t="s">
        <v>1259</v>
      </c>
      <c r="B546" s="446" t="s">
        <v>1331</v>
      </c>
      <c r="C546" s="447"/>
    </row>
    <row r="547" spans="1:9" ht="30" customHeight="1">
      <c r="A547" s="170" t="s">
        <v>80</v>
      </c>
      <c r="B547" s="427" t="s">
        <v>1332</v>
      </c>
      <c r="C547" s="222" t="s">
        <v>410</v>
      </c>
      <c r="E547" s="425" t="s">
        <v>2</v>
      </c>
      <c r="F547" s="425"/>
      <c r="G547" s="425"/>
    </row>
    <row r="548" spans="1:9" ht="22.5">
      <c r="A548" s="428" t="s">
        <v>30</v>
      </c>
      <c r="B548" s="429" t="s">
        <v>19</v>
      </c>
      <c r="C548" s="430" t="s">
        <v>92</v>
      </c>
      <c r="D548" s="430" t="s">
        <v>88</v>
      </c>
      <c r="E548" s="431" t="s">
        <v>93</v>
      </c>
      <c r="F548" s="432" t="s">
        <v>94</v>
      </c>
      <c r="G548" s="433" t="s">
        <v>95</v>
      </c>
    </row>
    <row r="549" spans="1:9" ht="15" customHeight="1">
      <c r="A549" s="448">
        <v>1213</v>
      </c>
      <c r="B549" s="449" t="s">
        <v>1333</v>
      </c>
      <c r="C549" s="450" t="s">
        <v>117</v>
      </c>
      <c r="D549" s="430" t="s">
        <v>410</v>
      </c>
      <c r="E549" s="451">
        <v>9.2999999999999992E-3</v>
      </c>
      <c r="F549" s="452">
        <f>14.68</f>
        <v>14.68</v>
      </c>
      <c r="G549" s="433">
        <f>TRUNC(E549*F549,2)</f>
        <v>0.13</v>
      </c>
    </row>
    <row r="550" spans="1:9" ht="15" customHeight="1">
      <c r="D550" s="436"/>
      <c r="E550" s="437"/>
      <c r="F550" s="438" t="s">
        <v>103</v>
      </c>
      <c r="G550" s="433">
        <f>G549</f>
        <v>0.13</v>
      </c>
    </row>
    <row r="551" spans="1:9" ht="15" customHeight="1">
      <c r="D551" s="436"/>
      <c r="E551" s="437"/>
      <c r="F551" s="438" t="s">
        <v>105</v>
      </c>
      <c r="G551" s="433"/>
    </row>
    <row r="552" spans="1:9" ht="15" customHeight="1">
      <c r="A552" s="439"/>
      <c r="D552" s="436"/>
      <c r="E552" s="437"/>
      <c r="F552" s="438" t="s">
        <v>106</v>
      </c>
      <c r="G552" s="440">
        <f>SUM(G550:G551)</f>
        <v>0.13</v>
      </c>
      <c r="H552" s="441"/>
    </row>
    <row r="553" spans="1:9">
      <c r="A553" s="442"/>
      <c r="B553" s="443"/>
      <c r="C553" s="444"/>
      <c r="D553" s="445"/>
      <c r="E553" s="442"/>
      <c r="F553" s="443"/>
      <c r="G553" s="443"/>
      <c r="H553" s="443"/>
      <c r="I553" s="442"/>
    </row>
    <row r="555" spans="1:9">
      <c r="A555" s="170" t="s">
        <v>1258</v>
      </c>
    </row>
    <row r="556" spans="1:9">
      <c r="A556" s="170" t="s">
        <v>1259</v>
      </c>
      <c r="B556" s="446" t="s">
        <v>1593</v>
      </c>
      <c r="C556" s="447"/>
    </row>
    <row r="557" spans="1:9" ht="33.75">
      <c r="A557" s="170" t="s">
        <v>80</v>
      </c>
      <c r="B557" s="467" t="s">
        <v>1592</v>
      </c>
      <c r="C557" s="222" t="s">
        <v>410</v>
      </c>
      <c r="E557" s="425" t="s">
        <v>2</v>
      </c>
      <c r="F557" s="425"/>
      <c r="G557" s="425"/>
    </row>
    <row r="558" spans="1:9" ht="22.5">
      <c r="A558" s="428" t="s">
        <v>30</v>
      </c>
      <c r="B558" s="429" t="s">
        <v>19</v>
      </c>
      <c r="C558" s="454"/>
      <c r="D558" s="430" t="s">
        <v>88</v>
      </c>
      <c r="E558" s="512" t="s">
        <v>93</v>
      </c>
      <c r="F558" s="432" t="s">
        <v>94</v>
      </c>
      <c r="G558" s="433" t="s">
        <v>95</v>
      </c>
    </row>
    <row r="559" spans="1:9" ht="14.1" customHeight="1">
      <c r="A559" s="448">
        <v>4760</v>
      </c>
      <c r="B559" s="449" t="s">
        <v>1591</v>
      </c>
      <c r="C559" s="450" t="s">
        <v>117</v>
      </c>
      <c r="D559" s="430" t="s">
        <v>410</v>
      </c>
      <c r="E559" s="451">
        <v>1.1900000000000001E-2</v>
      </c>
      <c r="F559" s="452">
        <f>14.68</f>
        <v>14.68</v>
      </c>
      <c r="G559" s="433">
        <f>TRUNC(E559*F559,2)</f>
        <v>0.17</v>
      </c>
    </row>
    <row r="560" spans="1:9" ht="14.1" customHeight="1">
      <c r="D560" s="436"/>
      <c r="E560" s="437"/>
      <c r="F560" s="438" t="s">
        <v>103</v>
      </c>
      <c r="G560" s="433">
        <f>G559</f>
        <v>0.17</v>
      </c>
    </row>
    <row r="561" spans="1:9" ht="14.1" customHeight="1">
      <c r="D561" s="436"/>
      <c r="E561" s="437"/>
      <c r="F561" s="438" t="s">
        <v>105</v>
      </c>
      <c r="G561" s="433"/>
    </row>
    <row r="562" spans="1:9" ht="14.1" customHeight="1">
      <c r="A562" s="439"/>
      <c r="D562" s="436"/>
      <c r="E562" s="437"/>
      <c r="F562" s="438" t="s">
        <v>106</v>
      </c>
      <c r="G562" s="440">
        <f>SUM(G560:G561)</f>
        <v>0.17</v>
      </c>
      <c r="H562" s="441"/>
    </row>
    <row r="563" spans="1:9">
      <c r="A563" s="442"/>
      <c r="B563" s="443"/>
      <c r="C563" s="444"/>
      <c r="D563" s="445"/>
      <c r="E563" s="442"/>
      <c r="F563" s="443"/>
      <c r="G563" s="443"/>
      <c r="H563" s="443"/>
      <c r="I563" s="442"/>
    </row>
    <row r="565" spans="1:9" ht="15" customHeight="1">
      <c r="A565" s="170" t="s">
        <v>1258</v>
      </c>
    </row>
    <row r="566" spans="1:9" ht="15" customHeight="1">
      <c r="A566" s="170" t="s">
        <v>1259</v>
      </c>
      <c r="B566" s="446" t="s">
        <v>1334</v>
      </c>
      <c r="C566" s="447"/>
    </row>
    <row r="567" spans="1:9" ht="22.5">
      <c r="A567" s="170" t="s">
        <v>80</v>
      </c>
      <c r="B567" s="427" t="s">
        <v>1335</v>
      </c>
      <c r="C567" s="222" t="s">
        <v>410</v>
      </c>
      <c r="E567" s="425" t="s">
        <v>2</v>
      </c>
      <c r="F567" s="425"/>
      <c r="G567" s="425"/>
    </row>
    <row r="568" spans="1:9" ht="22.5">
      <c r="A568" s="428" t="s">
        <v>30</v>
      </c>
      <c r="B568" s="429" t="s">
        <v>19</v>
      </c>
      <c r="C568" s="454"/>
      <c r="D568" s="430" t="s">
        <v>88</v>
      </c>
      <c r="E568" s="431" t="s">
        <v>93</v>
      </c>
      <c r="F568" s="432" t="s">
        <v>94</v>
      </c>
      <c r="G568" s="433" t="s">
        <v>95</v>
      </c>
    </row>
    <row r="569" spans="1:9" ht="15" customHeight="1">
      <c r="A569" s="448">
        <v>4750</v>
      </c>
      <c r="B569" s="449" t="s">
        <v>143</v>
      </c>
      <c r="C569" s="450" t="s">
        <v>117</v>
      </c>
      <c r="D569" s="430" t="s">
        <v>410</v>
      </c>
      <c r="E569" s="451">
        <v>1.7100000000000001E-2</v>
      </c>
      <c r="F569" s="452">
        <f>14.68</f>
        <v>14.68</v>
      </c>
      <c r="G569" s="433">
        <f>TRUNC(E569*F569,2)</f>
        <v>0.25</v>
      </c>
    </row>
    <row r="570" spans="1:9" ht="15" customHeight="1">
      <c r="D570" s="436"/>
      <c r="E570" s="437"/>
      <c r="F570" s="438" t="s">
        <v>103</v>
      </c>
      <c r="G570" s="433">
        <f>G569</f>
        <v>0.25</v>
      </c>
    </row>
    <row r="571" spans="1:9" ht="15" customHeight="1">
      <c r="D571" s="436"/>
      <c r="E571" s="437"/>
      <c r="F571" s="438" t="s">
        <v>105</v>
      </c>
      <c r="G571" s="433"/>
    </row>
    <row r="572" spans="1:9" ht="15" customHeight="1">
      <c r="A572" s="439"/>
      <c r="D572" s="436"/>
      <c r="E572" s="437"/>
      <c r="F572" s="438" t="s">
        <v>106</v>
      </c>
      <c r="G572" s="440">
        <f>SUM(G570:G571)</f>
        <v>0.25</v>
      </c>
      <c r="H572" s="441"/>
    </row>
    <row r="573" spans="1:9">
      <c r="A573" s="442"/>
      <c r="B573" s="443"/>
      <c r="C573" s="444"/>
      <c r="D573" s="445"/>
      <c r="E573" s="442"/>
      <c r="F573" s="443"/>
      <c r="G573" s="443"/>
      <c r="H573" s="443"/>
      <c r="I573" s="442"/>
    </row>
    <row r="575" spans="1:9">
      <c r="A575" s="170" t="s">
        <v>1258</v>
      </c>
    </row>
    <row r="576" spans="1:9">
      <c r="A576" s="170" t="s">
        <v>1259</v>
      </c>
      <c r="B576" s="446" t="s">
        <v>1514</v>
      </c>
      <c r="C576" s="447"/>
    </row>
    <row r="577" spans="1:9" ht="22.5">
      <c r="A577" s="170" t="s">
        <v>80</v>
      </c>
      <c r="B577" s="545" t="s">
        <v>1515</v>
      </c>
      <c r="C577" s="222" t="s">
        <v>410</v>
      </c>
      <c r="E577" s="425" t="s">
        <v>2</v>
      </c>
      <c r="F577" s="425"/>
      <c r="G577" s="425"/>
    </row>
    <row r="578" spans="1:9" ht="22.5">
      <c r="A578" s="428" t="s">
        <v>30</v>
      </c>
      <c r="B578" s="429" t="s">
        <v>19</v>
      </c>
      <c r="C578" s="454"/>
      <c r="D578" s="430" t="s">
        <v>88</v>
      </c>
      <c r="E578" s="546" t="s">
        <v>93</v>
      </c>
      <c r="F578" s="432" t="s">
        <v>94</v>
      </c>
      <c r="G578" s="433" t="s">
        <v>95</v>
      </c>
    </row>
    <row r="579" spans="1:9" ht="14.1" customHeight="1">
      <c r="A579" s="448">
        <v>12869</v>
      </c>
      <c r="B579" s="449" t="s">
        <v>1516</v>
      </c>
      <c r="C579" s="450" t="s">
        <v>117</v>
      </c>
      <c r="D579" s="430" t="s">
        <v>410</v>
      </c>
      <c r="E579" s="451">
        <v>9.2999999999999992E-3</v>
      </c>
      <c r="F579" s="452">
        <f>16.02</f>
        <v>16.02</v>
      </c>
      <c r="G579" s="433">
        <f>TRUNC(E579*F579,2)</f>
        <v>0.14000000000000001</v>
      </c>
    </row>
    <row r="580" spans="1:9" ht="14.1" customHeight="1">
      <c r="D580" s="436"/>
      <c r="E580" s="437"/>
      <c r="F580" s="438" t="s">
        <v>103</v>
      </c>
      <c r="G580" s="433">
        <f>G579</f>
        <v>0.14000000000000001</v>
      </c>
    </row>
    <row r="581" spans="1:9" ht="14.1" customHeight="1">
      <c r="D581" s="436"/>
      <c r="E581" s="437"/>
      <c r="F581" s="438" t="s">
        <v>105</v>
      </c>
      <c r="G581" s="433"/>
    </row>
    <row r="582" spans="1:9" ht="14.1" customHeight="1">
      <c r="A582" s="439"/>
      <c r="D582" s="436"/>
      <c r="E582" s="437"/>
      <c r="F582" s="438" t="s">
        <v>106</v>
      </c>
      <c r="G582" s="440">
        <f>SUM(G580:G581)</f>
        <v>0.14000000000000001</v>
      </c>
      <c r="H582" s="441"/>
    </row>
    <row r="583" spans="1:9">
      <c r="A583" s="442"/>
      <c r="B583" s="443"/>
      <c r="C583" s="444"/>
      <c r="D583" s="445"/>
      <c r="E583" s="442"/>
      <c r="F583" s="443"/>
      <c r="G583" s="443"/>
      <c r="H583" s="443"/>
      <c r="I583" s="442"/>
    </row>
    <row r="585" spans="1:9">
      <c r="A585" s="170" t="s">
        <v>1258</v>
      </c>
    </row>
    <row r="586" spans="1:9">
      <c r="A586" s="170" t="s">
        <v>1259</v>
      </c>
      <c r="B586" s="446" t="s">
        <v>1834</v>
      </c>
      <c r="C586" s="447"/>
    </row>
    <row r="587" spans="1:9" ht="22.5">
      <c r="A587" s="170" t="s">
        <v>80</v>
      </c>
      <c r="B587" s="754" t="s">
        <v>1833</v>
      </c>
      <c r="C587" s="222" t="s">
        <v>410</v>
      </c>
      <c r="E587" s="425" t="s">
        <v>2</v>
      </c>
      <c r="F587" s="425"/>
      <c r="G587" s="425"/>
    </row>
    <row r="588" spans="1:9" ht="22.5">
      <c r="A588" s="428" t="s">
        <v>30</v>
      </c>
      <c r="B588" s="429" t="s">
        <v>19</v>
      </c>
      <c r="C588" s="454"/>
      <c r="D588" s="430" t="s">
        <v>88</v>
      </c>
      <c r="E588" s="739" t="s">
        <v>93</v>
      </c>
      <c r="F588" s="432" t="s">
        <v>94</v>
      </c>
      <c r="G588" s="433" t="s">
        <v>95</v>
      </c>
    </row>
    <row r="589" spans="1:9" ht="15" customHeight="1">
      <c r="A589" s="741">
        <v>6110</v>
      </c>
      <c r="B589" s="449" t="s">
        <v>1835</v>
      </c>
      <c r="C589" s="450" t="s">
        <v>117</v>
      </c>
      <c r="D589" s="430" t="s">
        <v>410</v>
      </c>
      <c r="E589" s="451">
        <v>9.2999999999999992E-3</v>
      </c>
      <c r="F589" s="452">
        <f>14.68</f>
        <v>14.68</v>
      </c>
      <c r="G589" s="433">
        <f>TRUNC(E589*F589,2)</f>
        <v>0.13</v>
      </c>
    </row>
    <row r="590" spans="1:9" ht="15" customHeight="1">
      <c r="D590" s="436"/>
      <c r="E590" s="437"/>
      <c r="F590" s="438" t="s">
        <v>103</v>
      </c>
      <c r="G590" s="433">
        <f>G589</f>
        <v>0.13</v>
      </c>
    </row>
    <row r="591" spans="1:9" ht="15" customHeight="1">
      <c r="D591" s="436"/>
      <c r="E591" s="437"/>
      <c r="F591" s="438" t="s">
        <v>105</v>
      </c>
      <c r="G591" s="433"/>
    </row>
    <row r="592" spans="1:9" ht="15" customHeight="1">
      <c r="A592" s="439"/>
      <c r="D592" s="436"/>
      <c r="E592" s="437"/>
      <c r="F592" s="438" t="s">
        <v>106</v>
      </c>
      <c r="G592" s="440">
        <f>SUM(G590:G591)</f>
        <v>0.13</v>
      </c>
      <c r="H592" s="441"/>
    </row>
    <row r="593" spans="1:9">
      <c r="A593" s="442"/>
      <c r="B593" s="443"/>
      <c r="C593" s="444"/>
      <c r="D593" s="445"/>
      <c r="E593" s="442"/>
      <c r="F593" s="443"/>
      <c r="G593" s="443"/>
      <c r="H593" s="443"/>
    </row>
    <row r="595" spans="1:9">
      <c r="A595" s="170" t="s">
        <v>1258</v>
      </c>
    </row>
    <row r="596" spans="1:9">
      <c r="A596" s="170" t="s">
        <v>1259</v>
      </c>
      <c r="B596" s="220" t="s">
        <v>1336</v>
      </c>
      <c r="C596" s="426"/>
    </row>
    <row r="597" spans="1:9" ht="38.25" customHeight="1">
      <c r="A597" s="170" t="s">
        <v>80</v>
      </c>
      <c r="B597" s="1429" t="s">
        <v>1337</v>
      </c>
      <c r="C597" s="1429"/>
      <c r="D597" s="1429"/>
      <c r="E597" s="222" t="s">
        <v>1338</v>
      </c>
      <c r="F597" s="425"/>
      <c r="G597" s="425"/>
    </row>
    <row r="598" spans="1:9" ht="22.5">
      <c r="A598" s="428" t="s">
        <v>30</v>
      </c>
      <c r="B598" s="429" t="s">
        <v>19</v>
      </c>
      <c r="C598" s="430" t="s">
        <v>92</v>
      </c>
      <c r="D598" s="430" t="s">
        <v>88</v>
      </c>
      <c r="E598" s="431" t="s">
        <v>93</v>
      </c>
      <c r="F598" s="432" t="s">
        <v>94</v>
      </c>
      <c r="G598" s="433" t="s">
        <v>95</v>
      </c>
    </row>
    <row r="599" spans="1:9" ht="15" customHeight="1">
      <c r="A599" s="1470">
        <v>88281</v>
      </c>
      <c r="B599" s="1416" t="s">
        <v>1339</v>
      </c>
      <c r="C599" s="433" t="s">
        <v>117</v>
      </c>
      <c r="D599" s="1574" t="s">
        <v>410</v>
      </c>
      <c r="E599" s="1578">
        <v>1</v>
      </c>
      <c r="F599" s="435">
        <f>G134</f>
        <v>11.42</v>
      </c>
      <c r="G599" s="433">
        <f t="shared" ref="G599:G603" si="26">TRUNC(E599*F599,2)</f>
        <v>11.42</v>
      </c>
    </row>
    <row r="600" spans="1:9" ht="15" customHeight="1">
      <c r="A600" s="1536"/>
      <c r="B600" s="1417"/>
      <c r="C600" s="433" t="s">
        <v>99</v>
      </c>
      <c r="D600" s="1575"/>
      <c r="E600" s="1579"/>
      <c r="F600" s="435">
        <f>G135</f>
        <v>3.14</v>
      </c>
      <c r="G600" s="433">
        <f>TRUNC(E599*F600,2)</f>
        <v>3.14</v>
      </c>
    </row>
    <row r="601" spans="1:9" ht="48.75" customHeight="1">
      <c r="A601" s="428" t="s">
        <v>1340</v>
      </c>
      <c r="B601" s="434" t="s">
        <v>1341</v>
      </c>
      <c r="C601" s="431" t="s">
        <v>1342</v>
      </c>
      <c r="D601" s="430" t="s">
        <v>410</v>
      </c>
      <c r="E601" s="455">
        <v>1</v>
      </c>
      <c r="F601" s="431">
        <f>G618</f>
        <v>11.15</v>
      </c>
      <c r="G601" s="456">
        <f t="shared" si="26"/>
        <v>11.15</v>
      </c>
    </row>
    <row r="602" spans="1:9" ht="53.25" customHeight="1">
      <c r="A602" s="428" t="s">
        <v>1343</v>
      </c>
      <c r="B602" s="434" t="s">
        <v>1344</v>
      </c>
      <c r="C602" s="431" t="s">
        <v>1342</v>
      </c>
      <c r="D602" s="430" t="s">
        <v>410</v>
      </c>
      <c r="E602" s="455">
        <v>1</v>
      </c>
      <c r="F602" s="435">
        <f>G629</f>
        <v>3.9</v>
      </c>
      <c r="G602" s="456">
        <f t="shared" si="26"/>
        <v>3.9</v>
      </c>
    </row>
    <row r="603" spans="1:9" ht="51.75" customHeight="1">
      <c r="A603" s="428" t="s">
        <v>1345</v>
      </c>
      <c r="B603" s="434" t="s">
        <v>1346</v>
      </c>
      <c r="C603" s="431" t="s">
        <v>1342</v>
      </c>
      <c r="D603" s="430" t="s">
        <v>410</v>
      </c>
      <c r="E603" s="455">
        <v>1</v>
      </c>
      <c r="F603" s="435">
        <f>G640</f>
        <v>0.79</v>
      </c>
      <c r="G603" s="456">
        <f t="shared" si="26"/>
        <v>0.79</v>
      </c>
    </row>
    <row r="604" spans="1:9" ht="14.1" customHeight="1">
      <c r="D604" s="436"/>
      <c r="E604" s="437"/>
      <c r="F604" s="438" t="s">
        <v>103</v>
      </c>
      <c r="G604" s="433">
        <f>G599</f>
        <v>11.42</v>
      </c>
    </row>
    <row r="605" spans="1:9" ht="14.1" customHeight="1">
      <c r="D605" s="436"/>
      <c r="E605" s="437"/>
      <c r="F605" s="438" t="s">
        <v>105</v>
      </c>
      <c r="G605" s="433">
        <f>SUM(G600:G603)</f>
        <v>18.98</v>
      </c>
    </row>
    <row r="606" spans="1:9" ht="14.1" customHeight="1">
      <c r="A606" s="439"/>
      <c r="D606" s="436"/>
      <c r="E606" s="437"/>
      <c r="F606" s="438" t="s">
        <v>106</v>
      </c>
      <c r="G606" s="457">
        <f>SUM(G604:G605)</f>
        <v>30.4</v>
      </c>
      <c r="H606" s="441"/>
    </row>
    <row r="607" spans="1:9">
      <c r="A607" s="442"/>
      <c r="B607" s="443"/>
      <c r="C607" s="444"/>
      <c r="D607" s="445"/>
      <c r="E607" s="442"/>
      <c r="F607" s="443"/>
      <c r="G607" s="443"/>
      <c r="H607" s="443"/>
      <c r="I607" s="442"/>
    </row>
    <row r="610" spans="1:9">
      <c r="A610" s="170" t="s">
        <v>1258</v>
      </c>
    </row>
    <row r="611" spans="1:9">
      <c r="A611" s="170" t="s">
        <v>1259</v>
      </c>
      <c r="B611" s="220" t="s">
        <v>1347</v>
      </c>
      <c r="C611" s="426"/>
    </row>
    <row r="612" spans="1:9" ht="39" customHeight="1">
      <c r="A612" s="170" t="s">
        <v>80</v>
      </c>
      <c r="B612" s="1429" t="s">
        <v>1348</v>
      </c>
      <c r="C612" s="1429"/>
      <c r="D612" s="1429"/>
      <c r="E612" s="222" t="s">
        <v>1338</v>
      </c>
      <c r="F612" s="425"/>
      <c r="G612" s="425"/>
    </row>
    <row r="613" spans="1:9" ht="22.5">
      <c r="A613" s="428" t="s">
        <v>30</v>
      </c>
      <c r="B613" s="429" t="s">
        <v>19</v>
      </c>
      <c r="C613" s="430" t="s">
        <v>92</v>
      </c>
      <c r="D613" s="430" t="s">
        <v>88</v>
      </c>
      <c r="E613" s="431" t="s">
        <v>93</v>
      </c>
      <c r="F613" s="432" t="s">
        <v>94</v>
      </c>
      <c r="G613" s="433" t="s">
        <v>95</v>
      </c>
    </row>
    <row r="614" spans="1:9" ht="28.5" customHeight="1">
      <c r="A614" s="428" t="s">
        <v>1349</v>
      </c>
      <c r="B614" s="434" t="s">
        <v>1350</v>
      </c>
      <c r="C614" s="431" t="s">
        <v>1342</v>
      </c>
      <c r="D614" s="430" t="s">
        <v>88</v>
      </c>
      <c r="E614" s="458">
        <v>4.0000000000000003E-5</v>
      </c>
      <c r="F614" s="459">
        <v>27342.65</v>
      </c>
      <c r="G614" s="456">
        <f t="shared" ref="G614:G615" si="27">TRUNC(E614*F614,2)</f>
        <v>1.0900000000000001</v>
      </c>
    </row>
    <row r="615" spans="1:9" ht="47.25" customHeight="1">
      <c r="A615" s="428" t="s">
        <v>1351</v>
      </c>
      <c r="B615" s="434" t="s">
        <v>1352</v>
      </c>
      <c r="C615" s="431" t="s">
        <v>1342</v>
      </c>
      <c r="D615" s="430" t="s">
        <v>88</v>
      </c>
      <c r="E615" s="458">
        <v>4.0000000000000003E-5</v>
      </c>
      <c r="F615" s="459" t="s">
        <v>1353</v>
      </c>
      <c r="G615" s="456">
        <f t="shared" si="27"/>
        <v>10.06</v>
      </c>
    </row>
    <row r="616" spans="1:9" ht="14.1" customHeight="1">
      <c r="D616" s="436"/>
      <c r="E616" s="437"/>
      <c r="F616" s="438" t="s">
        <v>103</v>
      </c>
      <c r="G616" s="433"/>
    </row>
    <row r="617" spans="1:9" ht="14.1" customHeight="1">
      <c r="D617" s="436"/>
      <c r="E617" s="437"/>
      <c r="F617" s="438" t="s">
        <v>105</v>
      </c>
      <c r="G617" s="456">
        <f>SUM(G614:G615)</f>
        <v>11.15</v>
      </c>
    </row>
    <row r="618" spans="1:9" ht="14.1" customHeight="1">
      <c r="D618" s="436"/>
      <c r="E618" s="437"/>
      <c r="F618" s="438" t="s">
        <v>106</v>
      </c>
      <c r="G618" s="440">
        <f>SUM(G616:G617)</f>
        <v>11.15</v>
      </c>
    </row>
    <row r="619" spans="1:9">
      <c r="A619" s="443"/>
      <c r="B619" s="443"/>
      <c r="C619" s="443"/>
      <c r="D619" s="443"/>
      <c r="E619" s="443"/>
      <c r="F619" s="443"/>
      <c r="G619" s="443"/>
      <c r="H619" s="443"/>
      <c r="I619" s="443"/>
    </row>
    <row r="621" spans="1:9">
      <c r="A621" s="170" t="s">
        <v>1258</v>
      </c>
    </row>
    <row r="622" spans="1:9">
      <c r="A622" s="170" t="s">
        <v>1259</v>
      </c>
      <c r="B622" s="220" t="s">
        <v>1354</v>
      </c>
      <c r="C622" s="426"/>
    </row>
    <row r="623" spans="1:9" ht="41.25" customHeight="1">
      <c r="A623" s="170" t="s">
        <v>80</v>
      </c>
      <c r="B623" s="1429" t="s">
        <v>1344</v>
      </c>
      <c r="C623" s="1429"/>
      <c r="D623" s="1429"/>
      <c r="E623" s="222" t="s">
        <v>1338</v>
      </c>
      <c r="F623" s="425"/>
      <c r="G623" s="425"/>
    </row>
    <row r="624" spans="1:9" ht="22.5">
      <c r="A624" s="428" t="s">
        <v>30</v>
      </c>
      <c r="B624" s="429" t="s">
        <v>19</v>
      </c>
      <c r="C624" s="430" t="s">
        <v>92</v>
      </c>
      <c r="D624" s="430" t="s">
        <v>88</v>
      </c>
      <c r="E624" s="431" t="s">
        <v>93</v>
      </c>
      <c r="F624" s="432" t="s">
        <v>94</v>
      </c>
      <c r="G624" s="433" t="s">
        <v>95</v>
      </c>
    </row>
    <row r="625" spans="1:9" ht="22.5">
      <c r="A625" s="428" t="s">
        <v>1349</v>
      </c>
      <c r="B625" s="434" t="s">
        <v>1350</v>
      </c>
      <c r="C625" s="431" t="s">
        <v>1342</v>
      </c>
      <c r="D625" s="430" t="s">
        <v>88</v>
      </c>
      <c r="E625" s="460">
        <v>1.4E-5</v>
      </c>
      <c r="F625" s="459">
        <v>27342.65</v>
      </c>
      <c r="G625" s="456">
        <f t="shared" ref="G625:G626" si="28">TRUNC(E625*F625,2)</f>
        <v>0.38</v>
      </c>
    </row>
    <row r="626" spans="1:9" ht="45">
      <c r="A626" s="428" t="s">
        <v>1351</v>
      </c>
      <c r="B626" s="434" t="s">
        <v>1352</v>
      </c>
      <c r="C626" s="431" t="s">
        <v>1342</v>
      </c>
      <c r="D626" s="430" t="s">
        <v>88</v>
      </c>
      <c r="E626" s="460">
        <v>1.4E-5</v>
      </c>
      <c r="F626" s="459" t="s">
        <v>1353</v>
      </c>
      <c r="G626" s="456">
        <f t="shared" si="28"/>
        <v>3.52</v>
      </c>
    </row>
    <row r="627" spans="1:9" ht="14.1" customHeight="1">
      <c r="D627" s="436"/>
      <c r="E627" s="437"/>
      <c r="F627" s="438" t="s">
        <v>103</v>
      </c>
      <c r="G627" s="433"/>
    </row>
    <row r="628" spans="1:9" ht="14.1" customHeight="1">
      <c r="D628" s="436"/>
      <c r="E628" s="437"/>
      <c r="F628" s="438" t="s">
        <v>105</v>
      </c>
      <c r="G628" s="456">
        <f>SUM(G625:G626)</f>
        <v>3.9</v>
      </c>
    </row>
    <row r="629" spans="1:9" ht="14.1" customHeight="1">
      <c r="D629" s="436"/>
      <c r="E629" s="437"/>
      <c r="F629" s="438" t="s">
        <v>106</v>
      </c>
      <c r="G629" s="457">
        <f>SUM(G627:G628)</f>
        <v>3.9</v>
      </c>
    </row>
    <row r="630" spans="1:9">
      <c r="A630" s="443"/>
      <c r="B630" s="443"/>
      <c r="C630" s="443"/>
      <c r="D630" s="443"/>
      <c r="E630" s="443"/>
      <c r="F630" s="443"/>
      <c r="G630" s="443"/>
      <c r="H630" s="443"/>
      <c r="I630" s="443"/>
    </row>
    <row r="632" spans="1:9">
      <c r="A632" s="170" t="s">
        <v>1258</v>
      </c>
    </row>
    <row r="633" spans="1:9">
      <c r="A633" s="170" t="s">
        <v>1259</v>
      </c>
      <c r="B633" s="220" t="s">
        <v>1355</v>
      </c>
      <c r="C633" s="426"/>
    </row>
    <row r="634" spans="1:9" ht="39.75" customHeight="1">
      <c r="A634" s="170" t="s">
        <v>80</v>
      </c>
      <c r="B634" s="1429" t="s">
        <v>1356</v>
      </c>
      <c r="C634" s="1429"/>
      <c r="D634" s="1429"/>
      <c r="E634" s="222" t="s">
        <v>1338</v>
      </c>
      <c r="F634" s="425"/>
      <c r="G634" s="425"/>
    </row>
    <row r="635" spans="1:9" ht="22.5">
      <c r="A635" s="428" t="s">
        <v>30</v>
      </c>
      <c r="B635" s="429" t="s">
        <v>19</v>
      </c>
      <c r="C635" s="430" t="s">
        <v>92</v>
      </c>
      <c r="D635" s="430" t="s">
        <v>88</v>
      </c>
      <c r="E635" s="431" t="s">
        <v>93</v>
      </c>
      <c r="F635" s="432" t="s">
        <v>94</v>
      </c>
      <c r="G635" s="433" t="s">
        <v>95</v>
      </c>
    </row>
    <row r="636" spans="1:9" ht="22.5">
      <c r="A636" s="428" t="s">
        <v>1349</v>
      </c>
      <c r="B636" s="434" t="s">
        <v>1350</v>
      </c>
      <c r="C636" s="431" t="s">
        <v>1342</v>
      </c>
      <c r="D636" s="430" t="s">
        <v>88</v>
      </c>
      <c r="E636" s="461">
        <v>2.9000000000000002E-6</v>
      </c>
      <c r="F636" s="459">
        <v>27342.65</v>
      </c>
      <c r="G636" s="456">
        <f t="shared" ref="G636:G637" si="29">TRUNC(E636*F636,2)</f>
        <v>7.0000000000000007E-2</v>
      </c>
    </row>
    <row r="637" spans="1:9" ht="45">
      <c r="A637" s="428" t="s">
        <v>1351</v>
      </c>
      <c r="B637" s="434" t="s">
        <v>1352</v>
      </c>
      <c r="C637" s="431" t="s">
        <v>1342</v>
      </c>
      <c r="D637" s="430" t="s">
        <v>88</v>
      </c>
      <c r="E637" s="461">
        <v>2.9000000000000002E-6</v>
      </c>
      <c r="F637" s="459" t="s">
        <v>1353</v>
      </c>
      <c r="G637" s="456">
        <f t="shared" si="29"/>
        <v>0.72</v>
      </c>
    </row>
    <row r="638" spans="1:9">
      <c r="D638" s="436"/>
      <c r="E638" s="437"/>
      <c r="F638" s="438" t="s">
        <v>103</v>
      </c>
      <c r="G638" s="433"/>
    </row>
    <row r="639" spans="1:9">
      <c r="D639" s="436"/>
      <c r="E639" s="437"/>
      <c r="F639" s="438" t="s">
        <v>105</v>
      </c>
      <c r="G639" s="456">
        <f>SUM(G636:G637)</f>
        <v>0.79</v>
      </c>
    </row>
    <row r="640" spans="1:9">
      <c r="D640" s="436"/>
      <c r="E640" s="437"/>
      <c r="F640" s="438" t="s">
        <v>106</v>
      </c>
      <c r="G640" s="457">
        <f>SUM(G638:G639)</f>
        <v>0.79</v>
      </c>
    </row>
    <row r="641" spans="1:9">
      <c r="A641" s="443"/>
      <c r="B641" s="443"/>
      <c r="C641" s="443"/>
      <c r="D641" s="443"/>
      <c r="E641" s="443"/>
      <c r="F641" s="443"/>
      <c r="G641" s="443"/>
      <c r="H641" s="443"/>
      <c r="I641" s="443"/>
    </row>
    <row r="643" spans="1:9">
      <c r="A643" s="170" t="s">
        <v>1258</v>
      </c>
    </row>
    <row r="644" spans="1:9">
      <c r="A644" s="170" t="s">
        <v>1259</v>
      </c>
      <c r="B644" s="220" t="s">
        <v>1357</v>
      </c>
      <c r="C644" s="426"/>
    </row>
    <row r="645" spans="1:9" ht="27.75" customHeight="1">
      <c r="A645" s="170" t="s">
        <v>80</v>
      </c>
      <c r="B645" s="1429" t="s">
        <v>1358</v>
      </c>
      <c r="C645" s="1429"/>
      <c r="D645" s="1429"/>
      <c r="E645" s="462" t="s">
        <v>1359</v>
      </c>
      <c r="F645" s="425"/>
      <c r="G645" s="425"/>
    </row>
    <row r="646" spans="1:9" ht="22.5">
      <c r="A646" s="428" t="s">
        <v>30</v>
      </c>
      <c r="B646" s="429" t="s">
        <v>19</v>
      </c>
      <c r="C646" s="430" t="s">
        <v>92</v>
      </c>
      <c r="D646" s="430" t="s">
        <v>88</v>
      </c>
      <c r="E646" s="431" t="s">
        <v>93</v>
      </c>
      <c r="F646" s="432" t="s">
        <v>94</v>
      </c>
      <c r="G646" s="433" t="s">
        <v>95</v>
      </c>
    </row>
    <row r="647" spans="1:9" ht="14.1" customHeight="1">
      <c r="A647" s="1470">
        <v>88297</v>
      </c>
      <c r="B647" s="1416" t="s">
        <v>1360</v>
      </c>
      <c r="C647" s="433" t="s">
        <v>117</v>
      </c>
      <c r="D647" s="1574" t="s">
        <v>410</v>
      </c>
      <c r="E647" s="1578">
        <v>1</v>
      </c>
      <c r="F647" s="435">
        <f>G669</f>
        <v>11.29</v>
      </c>
      <c r="G647" s="456">
        <f t="shared" ref="G647" si="30">TRUNC(E647*F647,2)</f>
        <v>11.29</v>
      </c>
    </row>
    <row r="648" spans="1:9" ht="14.1" customHeight="1">
      <c r="A648" s="1536"/>
      <c r="B648" s="1417"/>
      <c r="C648" s="433" t="s">
        <v>99</v>
      </c>
      <c r="D648" s="1575"/>
      <c r="E648" s="1579"/>
      <c r="F648" s="435">
        <f>G670</f>
        <v>4.12</v>
      </c>
      <c r="G648" s="456">
        <f>TRUNC(E647*F648,2)</f>
        <v>4.12</v>
      </c>
    </row>
    <row r="649" spans="1:9" ht="38.25" customHeight="1">
      <c r="A649" s="428" t="s">
        <v>1361</v>
      </c>
      <c r="B649" s="434" t="s">
        <v>1362</v>
      </c>
      <c r="C649" s="431" t="s">
        <v>1342</v>
      </c>
      <c r="D649" s="430" t="s">
        <v>410</v>
      </c>
      <c r="E649" s="455">
        <v>1</v>
      </c>
      <c r="F649" s="431">
        <f>G745</f>
        <v>0.64</v>
      </c>
      <c r="G649" s="456">
        <f t="shared" ref="G649:G652" si="31">TRUNC(E649*F649,2)</f>
        <v>0.64</v>
      </c>
    </row>
    <row r="650" spans="1:9" ht="36" customHeight="1">
      <c r="A650" s="428" t="s">
        <v>1363</v>
      </c>
      <c r="B650" s="434" t="s">
        <v>1364</v>
      </c>
      <c r="C650" s="431" t="s">
        <v>1342</v>
      </c>
      <c r="D650" s="430" t="s">
        <v>410</v>
      </c>
      <c r="E650" s="455">
        <v>1</v>
      </c>
      <c r="F650" s="431">
        <f>G755</f>
        <v>0.16</v>
      </c>
      <c r="G650" s="456">
        <f t="shared" si="31"/>
        <v>0.16</v>
      </c>
    </row>
    <row r="651" spans="1:9" ht="36.75" customHeight="1">
      <c r="A651" s="428" t="s">
        <v>1365</v>
      </c>
      <c r="B651" s="434" t="s">
        <v>1366</v>
      </c>
      <c r="C651" s="431" t="s">
        <v>1342</v>
      </c>
      <c r="D651" s="430" t="s">
        <v>410</v>
      </c>
      <c r="E651" s="455">
        <v>1</v>
      </c>
      <c r="F651" s="435">
        <f>G765</f>
        <v>0.8</v>
      </c>
      <c r="G651" s="456">
        <f t="shared" si="31"/>
        <v>0.8</v>
      </c>
    </row>
    <row r="652" spans="1:9" ht="39" customHeight="1">
      <c r="A652" s="428" t="s">
        <v>1367</v>
      </c>
      <c r="B652" s="434" t="s">
        <v>1368</v>
      </c>
      <c r="C652" s="431" t="s">
        <v>1342</v>
      </c>
      <c r="D652" s="430" t="s">
        <v>410</v>
      </c>
      <c r="E652" s="455">
        <v>1</v>
      </c>
      <c r="F652" s="459">
        <f>G775</f>
        <v>2.5099999999999998</v>
      </c>
      <c r="G652" s="456">
        <f t="shared" si="31"/>
        <v>2.5099999999999998</v>
      </c>
    </row>
    <row r="653" spans="1:9" ht="14.1" customHeight="1">
      <c r="D653" s="463"/>
      <c r="E653" s="464"/>
      <c r="F653" s="465" t="s">
        <v>103</v>
      </c>
      <c r="G653" s="466">
        <f>G647</f>
        <v>11.29</v>
      </c>
    </row>
    <row r="654" spans="1:9" ht="14.1" customHeight="1">
      <c r="A654" s="439"/>
      <c r="D654" s="436"/>
      <c r="E654" s="437"/>
      <c r="F654" s="438" t="s">
        <v>105</v>
      </c>
      <c r="G654" s="456">
        <f>SUM(G648:G652)</f>
        <v>8.23</v>
      </c>
      <c r="H654" s="421"/>
    </row>
    <row r="655" spans="1:9" ht="14.1" customHeight="1">
      <c r="A655" s="439"/>
      <c r="D655" s="216"/>
      <c r="E655" s="171"/>
      <c r="F655" s="438" t="s">
        <v>106</v>
      </c>
      <c r="G655" s="457">
        <f>SUM(G653:G654)</f>
        <v>19.52</v>
      </c>
      <c r="H655" s="441"/>
    </row>
    <row r="656" spans="1:9">
      <c r="A656" s="442"/>
      <c r="B656" s="443"/>
      <c r="C656" s="444"/>
      <c r="D656" s="445"/>
      <c r="E656" s="442"/>
      <c r="F656" s="443"/>
      <c r="G656" s="443"/>
      <c r="H656" s="443"/>
      <c r="I656" s="442"/>
    </row>
    <row r="658" spans="1:8">
      <c r="A658" s="170" t="s">
        <v>1369</v>
      </c>
      <c r="C658" s="173"/>
      <c r="D658" s="170"/>
      <c r="E658" s="193"/>
      <c r="H658" s="170"/>
    </row>
    <row r="659" spans="1:8" ht="14.1" customHeight="1">
      <c r="A659" s="170" t="s">
        <v>33</v>
      </c>
      <c r="B659" s="221" t="s">
        <v>1370</v>
      </c>
      <c r="C659" s="173"/>
      <c r="D659" s="170"/>
      <c r="E659" s="193"/>
      <c r="H659" s="170"/>
    </row>
    <row r="660" spans="1:8" ht="26.25" customHeight="1">
      <c r="A660" s="170" t="s">
        <v>80</v>
      </c>
      <c r="B660" s="1573" t="s">
        <v>1360</v>
      </c>
      <c r="C660" s="1573"/>
      <c r="D660" s="222" t="s">
        <v>410</v>
      </c>
      <c r="H660" s="170"/>
    </row>
    <row r="661" spans="1:8" ht="22.5">
      <c r="A661" s="468" t="s">
        <v>30</v>
      </c>
      <c r="B661" s="434" t="s">
        <v>19</v>
      </c>
      <c r="C661" s="430" t="s">
        <v>92</v>
      </c>
      <c r="D661" s="430" t="s">
        <v>88</v>
      </c>
      <c r="E661" s="431" t="s">
        <v>93</v>
      </c>
      <c r="F661" s="432" t="s">
        <v>94</v>
      </c>
      <c r="G661" s="469" t="s">
        <v>95</v>
      </c>
      <c r="H661" s="170"/>
    </row>
    <row r="662" spans="1:8" ht="22.5">
      <c r="A662" s="448">
        <v>4230</v>
      </c>
      <c r="B662" s="449" t="s">
        <v>1371</v>
      </c>
      <c r="C662" s="430" t="s">
        <v>117</v>
      </c>
      <c r="D662" s="470" t="s">
        <v>410</v>
      </c>
      <c r="E662" s="471">
        <v>1</v>
      </c>
      <c r="F662" s="472">
        <f>11.19</f>
        <v>11.19</v>
      </c>
      <c r="G662" s="473">
        <f>TRUNC(E662*F662,2)</f>
        <v>11.19</v>
      </c>
      <c r="H662" s="170"/>
    </row>
    <row r="663" spans="1:8" ht="22.5">
      <c r="A663" s="502" t="s">
        <v>1372</v>
      </c>
      <c r="B663" s="434" t="s">
        <v>1373</v>
      </c>
      <c r="C663" s="430" t="s">
        <v>1374</v>
      </c>
      <c r="D663" s="430" t="s">
        <v>410</v>
      </c>
      <c r="E663" s="474">
        <v>1</v>
      </c>
      <c r="F663" s="475">
        <v>2.15</v>
      </c>
      <c r="G663" s="433">
        <f t="shared" ref="G663:G668" si="32">TRUNC(E663*F663,2)</f>
        <v>2.15</v>
      </c>
      <c r="H663" s="170"/>
    </row>
    <row r="664" spans="1:8" ht="22.5">
      <c r="A664" s="502" t="s">
        <v>1375</v>
      </c>
      <c r="B664" s="434" t="s">
        <v>1376</v>
      </c>
      <c r="C664" s="430" t="s">
        <v>1374</v>
      </c>
      <c r="D664" s="430" t="s">
        <v>410</v>
      </c>
      <c r="E664" s="474">
        <v>1</v>
      </c>
      <c r="F664" s="475">
        <v>0.6</v>
      </c>
      <c r="G664" s="456">
        <f t="shared" si="32"/>
        <v>0.6</v>
      </c>
      <c r="H664" s="170"/>
    </row>
    <row r="665" spans="1:8" ht="22.5">
      <c r="A665" s="502" t="s">
        <v>1377</v>
      </c>
      <c r="B665" s="434" t="s">
        <v>1378</v>
      </c>
      <c r="C665" s="430" t="s">
        <v>1374</v>
      </c>
      <c r="D665" s="430" t="s">
        <v>410</v>
      </c>
      <c r="E665" s="474">
        <v>1</v>
      </c>
      <c r="F665" s="475">
        <v>0.37</v>
      </c>
      <c r="G665" s="433">
        <f t="shared" si="32"/>
        <v>0.37</v>
      </c>
      <c r="H665" s="170"/>
    </row>
    <row r="666" spans="1:8" ht="22.5">
      <c r="A666" s="502" t="s">
        <v>1379</v>
      </c>
      <c r="B666" s="434" t="s">
        <v>1380</v>
      </c>
      <c r="C666" s="430" t="s">
        <v>1374</v>
      </c>
      <c r="D666" s="430" t="s">
        <v>410</v>
      </c>
      <c r="E666" s="474">
        <v>1</v>
      </c>
      <c r="F666" s="475">
        <v>0.02</v>
      </c>
      <c r="G666" s="433">
        <f t="shared" si="32"/>
        <v>0.02</v>
      </c>
      <c r="H666" s="170"/>
    </row>
    <row r="667" spans="1:8" ht="14.1" customHeight="1">
      <c r="A667" s="502" t="s">
        <v>1381</v>
      </c>
      <c r="B667" s="434" t="s">
        <v>1300</v>
      </c>
      <c r="C667" s="430" t="s">
        <v>99</v>
      </c>
      <c r="D667" s="430" t="s">
        <v>410</v>
      </c>
      <c r="E667" s="474">
        <v>1</v>
      </c>
      <c r="F667" s="475">
        <f>'COMP AUX'!G38</f>
        <v>0.98</v>
      </c>
      <c r="G667" s="456">
        <f t="shared" si="32"/>
        <v>0.98</v>
      </c>
      <c r="H667" s="170"/>
    </row>
    <row r="668" spans="1:8" ht="33.75">
      <c r="A668" s="448">
        <v>95360</v>
      </c>
      <c r="B668" s="449" t="s">
        <v>1382</v>
      </c>
      <c r="C668" s="430" t="s">
        <v>117</v>
      </c>
      <c r="D668" s="430" t="s">
        <v>410</v>
      </c>
      <c r="E668" s="474">
        <v>1</v>
      </c>
      <c r="F668" s="475">
        <f>G735</f>
        <v>0.1</v>
      </c>
      <c r="G668" s="456">
        <f t="shared" si="32"/>
        <v>0.1</v>
      </c>
      <c r="H668" s="170"/>
    </row>
    <row r="669" spans="1:8" ht="14.1" customHeight="1">
      <c r="C669" s="173"/>
      <c r="D669" s="476"/>
      <c r="E669" s="437"/>
      <c r="F669" s="438" t="s">
        <v>103</v>
      </c>
      <c r="G669" s="456">
        <f>G662+G668</f>
        <v>11.29</v>
      </c>
      <c r="H669" s="170"/>
    </row>
    <row r="670" spans="1:8" ht="14.1" customHeight="1">
      <c r="C670" s="173"/>
      <c r="D670" s="216"/>
      <c r="E670" s="437"/>
      <c r="F670" s="438" t="s">
        <v>105</v>
      </c>
      <c r="G670" s="456">
        <f>SUM(G663:G667)</f>
        <v>4.12</v>
      </c>
      <c r="H670" s="170"/>
    </row>
    <row r="671" spans="1:8" ht="14.1" customHeight="1">
      <c r="A671" s="477"/>
      <c r="B671" s="215"/>
      <c r="C671" s="173"/>
      <c r="D671" s="463"/>
      <c r="E671" s="437"/>
      <c r="F671" s="438" t="s">
        <v>106</v>
      </c>
      <c r="G671" s="440">
        <f>SUM(G669:G670)</f>
        <v>15.41</v>
      </c>
      <c r="H671" s="170"/>
    </row>
    <row r="672" spans="1:8">
      <c r="A672" s="442"/>
      <c r="B672" s="443"/>
      <c r="C672" s="445"/>
      <c r="D672" s="442"/>
      <c r="E672" s="443"/>
      <c r="F672" s="443"/>
      <c r="G672" s="443"/>
      <c r="H672" s="442"/>
    </row>
    <row r="674" spans="1:8">
      <c r="A674" s="170" t="s">
        <v>1369</v>
      </c>
      <c r="C674" s="173"/>
      <c r="D674" s="170"/>
      <c r="E674" s="193"/>
      <c r="H674" s="170"/>
    </row>
    <row r="675" spans="1:8" ht="13.5" customHeight="1">
      <c r="A675" s="170" t="s">
        <v>33</v>
      </c>
      <c r="B675" s="221" t="s">
        <v>2388</v>
      </c>
      <c r="C675" s="173"/>
      <c r="D675" s="170"/>
      <c r="E675" s="193"/>
      <c r="H675" s="170"/>
    </row>
    <row r="676" spans="1:8" ht="26.25" customHeight="1">
      <c r="A676" s="170" t="s">
        <v>80</v>
      </c>
      <c r="B676" s="1429" t="s">
        <v>2386</v>
      </c>
      <c r="C676" s="1429"/>
      <c r="D676" s="462" t="s">
        <v>410</v>
      </c>
      <c r="H676" s="170"/>
    </row>
    <row r="677" spans="1:8" ht="22.5">
      <c r="A677" s="468" t="s">
        <v>30</v>
      </c>
      <c r="B677" s="961" t="s">
        <v>19</v>
      </c>
      <c r="C677" s="430" t="s">
        <v>92</v>
      </c>
      <c r="D677" s="430" t="s">
        <v>88</v>
      </c>
      <c r="E677" s="958" t="s">
        <v>93</v>
      </c>
      <c r="F677" s="432" t="s">
        <v>94</v>
      </c>
      <c r="G677" s="469" t="s">
        <v>95</v>
      </c>
      <c r="H677" s="170"/>
    </row>
    <row r="678" spans="1:8" ht="22.5">
      <c r="A678" s="957">
        <v>2701</v>
      </c>
      <c r="B678" s="449" t="s">
        <v>2389</v>
      </c>
      <c r="C678" s="430" t="s">
        <v>117</v>
      </c>
      <c r="D678" s="470" t="s">
        <v>410</v>
      </c>
      <c r="E678" s="471">
        <v>1</v>
      </c>
      <c r="F678" s="472">
        <f>11.27</f>
        <v>11.27</v>
      </c>
      <c r="G678" s="473">
        <f>TRUNC(E678*F678,2)</f>
        <v>11.27</v>
      </c>
      <c r="H678" s="170"/>
    </row>
    <row r="679" spans="1:8" ht="22.5">
      <c r="A679" s="960" t="s">
        <v>1372</v>
      </c>
      <c r="B679" s="961" t="s">
        <v>1373</v>
      </c>
      <c r="C679" s="430" t="s">
        <v>1374</v>
      </c>
      <c r="D679" s="430" t="s">
        <v>410</v>
      </c>
      <c r="E679" s="474">
        <v>1</v>
      </c>
      <c r="F679" s="475">
        <v>2.15</v>
      </c>
      <c r="G679" s="433">
        <f t="shared" ref="G679:G685" si="33">TRUNC(E679*F679,2)</f>
        <v>2.15</v>
      </c>
      <c r="H679" s="170"/>
    </row>
    <row r="680" spans="1:8" ht="22.5">
      <c r="A680" s="960" t="s">
        <v>1375</v>
      </c>
      <c r="B680" s="961" t="s">
        <v>1376</v>
      </c>
      <c r="C680" s="430" t="s">
        <v>1374</v>
      </c>
      <c r="D680" s="430" t="s">
        <v>410</v>
      </c>
      <c r="E680" s="474">
        <v>1</v>
      </c>
      <c r="F680" s="475">
        <v>0.6</v>
      </c>
      <c r="G680" s="456">
        <f t="shared" si="33"/>
        <v>0.6</v>
      </c>
      <c r="H680" s="170"/>
    </row>
    <row r="681" spans="1:8" ht="22.5">
      <c r="A681" s="960" t="s">
        <v>1377</v>
      </c>
      <c r="B681" s="961" t="s">
        <v>1378</v>
      </c>
      <c r="C681" s="430" t="s">
        <v>1374</v>
      </c>
      <c r="D681" s="430" t="s">
        <v>410</v>
      </c>
      <c r="E681" s="474">
        <v>1</v>
      </c>
      <c r="F681" s="475">
        <v>0.37</v>
      </c>
      <c r="G681" s="433">
        <f t="shared" si="33"/>
        <v>0.37</v>
      </c>
      <c r="H681" s="170"/>
    </row>
    <row r="682" spans="1:8" ht="22.5">
      <c r="A682" s="960" t="s">
        <v>1379</v>
      </c>
      <c r="B682" s="961" t="s">
        <v>1380</v>
      </c>
      <c r="C682" s="430" t="s">
        <v>1374</v>
      </c>
      <c r="D682" s="430" t="s">
        <v>410</v>
      </c>
      <c r="E682" s="474">
        <v>1</v>
      </c>
      <c r="F682" s="475">
        <v>0.02</v>
      </c>
      <c r="G682" s="433">
        <f t="shared" si="33"/>
        <v>0.02</v>
      </c>
      <c r="H682" s="170"/>
    </row>
    <row r="683" spans="1:8" ht="22.5">
      <c r="A683" s="960" t="s">
        <v>1553</v>
      </c>
      <c r="B683" s="961" t="s">
        <v>1261</v>
      </c>
      <c r="C683" s="430" t="s">
        <v>99</v>
      </c>
      <c r="D683" s="430" t="s">
        <v>410</v>
      </c>
      <c r="E683" s="474">
        <v>1</v>
      </c>
      <c r="F683" s="475">
        <f>G22</f>
        <v>0.44000000000000006</v>
      </c>
      <c r="G683" s="433">
        <f t="shared" si="33"/>
        <v>0.44</v>
      </c>
      <c r="H683" s="170"/>
    </row>
    <row r="684" spans="1:8" ht="14.1" customHeight="1">
      <c r="A684" s="960" t="s">
        <v>1381</v>
      </c>
      <c r="B684" s="961" t="s">
        <v>1300</v>
      </c>
      <c r="C684" s="430" t="s">
        <v>99</v>
      </c>
      <c r="D684" s="430" t="s">
        <v>410</v>
      </c>
      <c r="E684" s="474">
        <v>1</v>
      </c>
      <c r="F684" s="475">
        <f>'COMP AUX'!G38</f>
        <v>0.98</v>
      </c>
      <c r="G684" s="456">
        <f t="shared" si="33"/>
        <v>0.98</v>
      </c>
      <c r="H684" s="170"/>
    </row>
    <row r="685" spans="1:8" ht="33.75">
      <c r="A685" s="957">
        <v>95343</v>
      </c>
      <c r="B685" s="449" t="s">
        <v>2390</v>
      </c>
      <c r="C685" s="430" t="s">
        <v>117</v>
      </c>
      <c r="D685" s="430" t="s">
        <v>410</v>
      </c>
      <c r="E685" s="474">
        <v>1</v>
      </c>
      <c r="F685" s="475">
        <f>G725</f>
        <v>0.13</v>
      </c>
      <c r="G685" s="456">
        <f t="shared" si="33"/>
        <v>0.13</v>
      </c>
      <c r="H685" s="170"/>
    </row>
    <row r="686" spans="1:8" ht="14.1" customHeight="1">
      <c r="C686" s="173"/>
      <c r="D686" s="476"/>
      <c r="E686" s="437"/>
      <c r="F686" s="438" t="s">
        <v>103</v>
      </c>
      <c r="G686" s="456">
        <f>G678+G685</f>
        <v>11.4</v>
      </c>
      <c r="H686" s="170"/>
    </row>
    <row r="687" spans="1:8" ht="14.1" customHeight="1">
      <c r="C687" s="173"/>
      <c r="D687" s="216"/>
      <c r="E687" s="437"/>
      <c r="F687" s="438" t="s">
        <v>105</v>
      </c>
      <c r="G687" s="456">
        <f>SUM(G679:G684)</f>
        <v>4.5600000000000005</v>
      </c>
      <c r="H687" s="170"/>
    </row>
    <row r="688" spans="1:8" ht="14.1" customHeight="1">
      <c r="A688" s="477"/>
      <c r="B688" s="215"/>
      <c r="C688" s="173"/>
      <c r="D688" s="463"/>
      <c r="E688" s="437"/>
      <c r="F688" s="438" t="s">
        <v>106</v>
      </c>
      <c r="G688" s="440">
        <f>SUM(G686:G687)</f>
        <v>15.96</v>
      </c>
      <c r="H688" s="170"/>
    </row>
    <row r="689" spans="1:8">
      <c r="A689" s="442"/>
      <c r="B689" s="443"/>
      <c r="C689" s="445"/>
      <c r="D689" s="442"/>
      <c r="E689" s="443"/>
      <c r="F689" s="443"/>
      <c r="G689" s="443"/>
      <c r="H689" s="442"/>
    </row>
    <row r="691" spans="1:8">
      <c r="A691" s="170" t="s">
        <v>1369</v>
      </c>
      <c r="C691" s="173"/>
      <c r="D691" s="170"/>
      <c r="E691" s="193"/>
      <c r="H691" s="170"/>
    </row>
    <row r="692" spans="1:8">
      <c r="A692" s="170" t="s">
        <v>33</v>
      </c>
      <c r="B692" s="221" t="s">
        <v>2660</v>
      </c>
      <c r="C692" s="173"/>
      <c r="D692" s="170"/>
      <c r="E692" s="193"/>
      <c r="H692" s="170"/>
    </row>
    <row r="693" spans="1:8" ht="22.5" customHeight="1">
      <c r="A693" s="170" t="s">
        <v>80</v>
      </c>
      <c r="B693" s="1429" t="s">
        <v>887</v>
      </c>
      <c r="C693" s="1429"/>
      <c r="D693" s="462" t="s">
        <v>410</v>
      </c>
      <c r="H693" s="170"/>
    </row>
    <row r="694" spans="1:8" ht="22.5">
      <c r="A694" s="468" t="s">
        <v>30</v>
      </c>
      <c r="B694" s="1024" t="s">
        <v>19</v>
      </c>
      <c r="C694" s="430" t="s">
        <v>92</v>
      </c>
      <c r="D694" s="430" t="s">
        <v>88</v>
      </c>
      <c r="E694" s="1026" t="s">
        <v>93</v>
      </c>
      <c r="F694" s="432" t="s">
        <v>94</v>
      </c>
      <c r="G694" s="469" t="s">
        <v>95</v>
      </c>
      <c r="H694" s="170"/>
    </row>
    <row r="695" spans="1:8" ht="14.1" customHeight="1">
      <c r="A695" s="1034" t="s">
        <v>2661</v>
      </c>
      <c r="B695" s="449" t="s">
        <v>2662</v>
      </c>
      <c r="C695" s="430" t="s">
        <v>117</v>
      </c>
      <c r="D695" s="470" t="s">
        <v>410</v>
      </c>
      <c r="E695" s="471">
        <v>1</v>
      </c>
      <c r="F695" s="472">
        <v>10.4</v>
      </c>
      <c r="G695" s="473">
        <f>TRUNC(E695*F695,2)</f>
        <v>10.4</v>
      </c>
      <c r="H695" s="170"/>
    </row>
    <row r="696" spans="1:8" ht="22.5">
      <c r="A696" s="1023" t="s">
        <v>1372</v>
      </c>
      <c r="B696" s="1024" t="s">
        <v>1373</v>
      </c>
      <c r="C696" s="430" t="s">
        <v>1374</v>
      </c>
      <c r="D696" s="430" t="s">
        <v>410</v>
      </c>
      <c r="E696" s="474">
        <v>1</v>
      </c>
      <c r="F696" s="475">
        <v>2.15</v>
      </c>
      <c r="G696" s="433">
        <f t="shared" ref="G696:G702" si="34">TRUNC(E696*F696,2)</f>
        <v>2.15</v>
      </c>
      <c r="H696" s="170"/>
    </row>
    <row r="697" spans="1:8" ht="22.5">
      <c r="A697" s="1023" t="s">
        <v>1375</v>
      </c>
      <c r="B697" s="1024" t="s">
        <v>1376</v>
      </c>
      <c r="C697" s="430" t="s">
        <v>1374</v>
      </c>
      <c r="D697" s="430" t="s">
        <v>410</v>
      </c>
      <c r="E697" s="474">
        <v>1</v>
      </c>
      <c r="F697" s="475">
        <v>0.6</v>
      </c>
      <c r="G697" s="456">
        <f t="shared" si="34"/>
        <v>0.6</v>
      </c>
      <c r="H697" s="170"/>
    </row>
    <row r="698" spans="1:8" ht="22.5">
      <c r="A698" s="1023" t="s">
        <v>1377</v>
      </c>
      <c r="B698" s="1024" t="s">
        <v>1378</v>
      </c>
      <c r="C698" s="430" t="s">
        <v>1374</v>
      </c>
      <c r="D698" s="430" t="s">
        <v>410</v>
      </c>
      <c r="E698" s="474">
        <v>1</v>
      </c>
      <c r="F698" s="475">
        <v>0.37</v>
      </c>
      <c r="G698" s="433">
        <f t="shared" si="34"/>
        <v>0.37</v>
      </c>
      <c r="H698" s="170"/>
    </row>
    <row r="699" spans="1:8" ht="22.5">
      <c r="A699" s="1023" t="s">
        <v>1379</v>
      </c>
      <c r="B699" s="1024" t="s">
        <v>1380</v>
      </c>
      <c r="C699" s="430" t="s">
        <v>1374</v>
      </c>
      <c r="D699" s="430" t="s">
        <v>410</v>
      </c>
      <c r="E699" s="474">
        <v>1</v>
      </c>
      <c r="F699" s="475">
        <v>0.02</v>
      </c>
      <c r="G699" s="433">
        <f t="shared" si="34"/>
        <v>0.02</v>
      </c>
      <c r="H699" s="170"/>
    </row>
    <row r="700" spans="1:8" ht="22.5">
      <c r="A700" s="1023" t="s">
        <v>1553</v>
      </c>
      <c r="B700" s="1024" t="s">
        <v>1261</v>
      </c>
      <c r="C700" s="430" t="s">
        <v>99</v>
      </c>
      <c r="D700" s="430" t="s">
        <v>410</v>
      </c>
      <c r="E700" s="474">
        <v>1</v>
      </c>
      <c r="F700" s="475">
        <f>G22</f>
        <v>0.44000000000000006</v>
      </c>
      <c r="G700" s="433">
        <f t="shared" si="34"/>
        <v>0.44</v>
      </c>
      <c r="H700" s="170"/>
    </row>
    <row r="701" spans="1:8" ht="14.1" customHeight="1">
      <c r="A701" s="1023" t="s">
        <v>1381</v>
      </c>
      <c r="B701" s="1024" t="s">
        <v>1300</v>
      </c>
      <c r="C701" s="430" t="s">
        <v>99</v>
      </c>
      <c r="D701" s="430" t="s">
        <v>410</v>
      </c>
      <c r="E701" s="474">
        <v>1</v>
      </c>
      <c r="F701" s="475">
        <f>'COMP AUX'!G38</f>
        <v>0.98</v>
      </c>
      <c r="G701" s="456">
        <f t="shared" si="34"/>
        <v>0.98</v>
      </c>
      <c r="H701" s="170"/>
    </row>
    <row r="702" spans="1:8" ht="33.75">
      <c r="A702" s="1034">
        <v>95344</v>
      </c>
      <c r="B702" s="449" t="s">
        <v>2663</v>
      </c>
      <c r="C702" s="430" t="s">
        <v>117</v>
      </c>
      <c r="D702" s="430" t="s">
        <v>410</v>
      </c>
      <c r="E702" s="474">
        <v>1</v>
      </c>
      <c r="F702" s="475">
        <f>G715</f>
        <v>0.09</v>
      </c>
      <c r="G702" s="456">
        <f t="shared" si="34"/>
        <v>0.09</v>
      </c>
      <c r="H702" s="170"/>
    </row>
    <row r="703" spans="1:8" ht="14.1" customHeight="1">
      <c r="C703" s="173"/>
      <c r="D703" s="476"/>
      <c r="E703" s="437"/>
      <c r="F703" s="438" t="s">
        <v>103</v>
      </c>
      <c r="G703" s="456">
        <f>G695+G702</f>
        <v>10.49</v>
      </c>
      <c r="H703" s="170"/>
    </row>
    <row r="704" spans="1:8" ht="14.1" customHeight="1">
      <c r="C704" s="173"/>
      <c r="D704" s="216"/>
      <c r="E704" s="437"/>
      <c r="F704" s="438" t="s">
        <v>105</v>
      </c>
      <c r="G704" s="456">
        <f>SUM(G696:G701)</f>
        <v>4.5600000000000005</v>
      </c>
      <c r="H704" s="170"/>
    </row>
    <row r="705" spans="1:8" ht="14.1" customHeight="1">
      <c r="A705" s="477"/>
      <c r="B705" s="215"/>
      <c r="C705" s="173"/>
      <c r="D705" s="463"/>
      <c r="E705" s="437"/>
      <c r="F705" s="438" t="s">
        <v>106</v>
      </c>
      <c r="G705" s="457">
        <f>SUM(G703:G704)</f>
        <v>15.05</v>
      </c>
      <c r="H705" s="170"/>
    </row>
    <row r="706" spans="1:8">
      <c r="A706" s="442"/>
      <c r="B706" s="443"/>
      <c r="C706" s="445"/>
      <c r="D706" s="442"/>
      <c r="E706" s="443"/>
      <c r="F706" s="443"/>
      <c r="G706" s="443"/>
      <c r="H706" s="442"/>
    </row>
    <row r="708" spans="1:8">
      <c r="A708" s="170" t="s">
        <v>1258</v>
      </c>
    </row>
    <row r="709" spans="1:8">
      <c r="A709" s="170" t="s">
        <v>1259</v>
      </c>
      <c r="B709" s="446" t="s">
        <v>2664</v>
      </c>
      <c r="C709" s="447"/>
    </row>
    <row r="710" spans="1:8" ht="24.75" customHeight="1">
      <c r="A710" s="170" t="s">
        <v>80</v>
      </c>
      <c r="B710" s="1429" t="s">
        <v>2663</v>
      </c>
      <c r="C710" s="1429"/>
      <c r="D710" s="222" t="s">
        <v>410</v>
      </c>
      <c r="E710" s="425" t="s">
        <v>2</v>
      </c>
      <c r="F710" s="425"/>
      <c r="G710" s="425"/>
    </row>
    <row r="711" spans="1:8" ht="22.5">
      <c r="A711" s="428" t="s">
        <v>30</v>
      </c>
      <c r="B711" s="429" t="s">
        <v>19</v>
      </c>
      <c r="C711" s="430" t="s">
        <v>92</v>
      </c>
      <c r="D711" s="430" t="s">
        <v>88</v>
      </c>
      <c r="E711" s="1026" t="s">
        <v>93</v>
      </c>
      <c r="F711" s="432" t="s">
        <v>94</v>
      </c>
      <c r="G711" s="433" t="s">
        <v>95</v>
      </c>
    </row>
    <row r="712" spans="1:8">
      <c r="A712" s="1034" t="s">
        <v>2661</v>
      </c>
      <c r="B712" s="449" t="s">
        <v>2662</v>
      </c>
      <c r="C712" s="450" t="s">
        <v>117</v>
      </c>
      <c r="D712" s="430" t="s">
        <v>410</v>
      </c>
      <c r="E712" s="451">
        <v>9.2999999999999992E-3</v>
      </c>
      <c r="F712" s="472">
        <v>10.4</v>
      </c>
      <c r="G712" s="433">
        <f>TRUNC(E712*F712,2)</f>
        <v>0.09</v>
      </c>
    </row>
    <row r="713" spans="1:8">
      <c r="D713" s="436"/>
      <c r="E713" s="437"/>
      <c r="F713" s="438" t="s">
        <v>103</v>
      </c>
      <c r="G713" s="433">
        <f>G712</f>
        <v>0.09</v>
      </c>
    </row>
    <row r="714" spans="1:8">
      <c r="D714" s="436"/>
      <c r="E714" s="437"/>
      <c r="F714" s="438" t="s">
        <v>105</v>
      </c>
      <c r="G714" s="433"/>
    </row>
    <row r="715" spans="1:8">
      <c r="A715" s="439"/>
      <c r="D715" s="436"/>
      <c r="E715" s="437"/>
      <c r="F715" s="438" t="s">
        <v>106</v>
      </c>
      <c r="G715" s="440">
        <f>SUM(G713:G714)</f>
        <v>0.09</v>
      </c>
      <c r="H715" s="441"/>
    </row>
    <row r="716" spans="1:8">
      <c r="A716" s="442"/>
      <c r="B716" s="443"/>
      <c r="C716" s="444"/>
      <c r="D716" s="445"/>
      <c r="E716" s="442"/>
      <c r="F716" s="443"/>
      <c r="G716" s="443"/>
      <c r="H716" s="443"/>
    </row>
    <row r="718" spans="1:8">
      <c r="A718" s="170" t="s">
        <v>1258</v>
      </c>
    </row>
    <row r="719" spans="1:8">
      <c r="A719" s="170" t="s">
        <v>1259</v>
      </c>
      <c r="B719" s="446" t="s">
        <v>2391</v>
      </c>
      <c r="C719" s="447"/>
    </row>
    <row r="720" spans="1:8" ht="30" customHeight="1">
      <c r="A720" s="170" t="s">
        <v>80</v>
      </c>
      <c r="B720" s="1429" t="s">
        <v>2390</v>
      </c>
      <c r="C720" s="1429"/>
      <c r="D720" s="222" t="s">
        <v>410</v>
      </c>
      <c r="E720" s="425" t="s">
        <v>2</v>
      </c>
      <c r="F720" s="425"/>
      <c r="G720" s="425"/>
    </row>
    <row r="721" spans="1:9" ht="22.5">
      <c r="A721" s="428" t="s">
        <v>30</v>
      </c>
      <c r="B721" s="429" t="s">
        <v>19</v>
      </c>
      <c r="C721" s="430" t="s">
        <v>92</v>
      </c>
      <c r="D721" s="430" t="s">
        <v>88</v>
      </c>
      <c r="E721" s="958" t="s">
        <v>93</v>
      </c>
      <c r="F721" s="432" t="s">
        <v>94</v>
      </c>
      <c r="G721" s="433" t="s">
        <v>95</v>
      </c>
    </row>
    <row r="722" spans="1:9" ht="14.1" customHeight="1">
      <c r="A722" s="957">
        <v>2701</v>
      </c>
      <c r="B722" s="449" t="s">
        <v>2389</v>
      </c>
      <c r="C722" s="450" t="s">
        <v>117</v>
      </c>
      <c r="D722" s="430" t="s">
        <v>410</v>
      </c>
      <c r="E722" s="451">
        <v>1.1900000000000001E-2</v>
      </c>
      <c r="F722" s="472">
        <f>11.27</f>
        <v>11.27</v>
      </c>
      <c r="G722" s="433">
        <f>TRUNC(E722*F722,2)</f>
        <v>0.13</v>
      </c>
    </row>
    <row r="723" spans="1:9" ht="14.1" customHeight="1">
      <c r="D723" s="436"/>
      <c r="E723" s="437"/>
      <c r="F723" s="438" t="s">
        <v>103</v>
      </c>
      <c r="G723" s="433">
        <f>G722</f>
        <v>0.13</v>
      </c>
    </row>
    <row r="724" spans="1:9" ht="14.1" customHeight="1">
      <c r="D724" s="436"/>
      <c r="E724" s="437"/>
      <c r="F724" s="438" t="s">
        <v>105</v>
      </c>
      <c r="G724" s="433"/>
    </row>
    <row r="725" spans="1:9" ht="14.1" customHeight="1">
      <c r="A725" s="439"/>
      <c r="D725" s="436"/>
      <c r="E725" s="437"/>
      <c r="F725" s="438" t="s">
        <v>106</v>
      </c>
      <c r="G725" s="440">
        <f>SUM(G723:G724)</f>
        <v>0.13</v>
      </c>
      <c r="H725" s="441"/>
    </row>
    <row r="726" spans="1:9">
      <c r="A726" s="442"/>
      <c r="B726" s="443"/>
      <c r="C726" s="444"/>
      <c r="D726" s="445"/>
      <c r="E726" s="442"/>
      <c r="F726" s="443"/>
      <c r="G726" s="443"/>
      <c r="H726" s="443"/>
    </row>
    <row r="728" spans="1:9">
      <c r="A728" s="170" t="s">
        <v>1258</v>
      </c>
    </row>
    <row r="729" spans="1:9">
      <c r="A729" s="170" t="s">
        <v>1259</v>
      </c>
      <c r="B729" s="446" t="s">
        <v>1383</v>
      </c>
      <c r="C729" s="447"/>
    </row>
    <row r="730" spans="1:9" ht="28.5" customHeight="1">
      <c r="A730" s="170" t="s">
        <v>80</v>
      </c>
      <c r="B730" s="1429" t="s">
        <v>1382</v>
      </c>
      <c r="C730" s="1429"/>
      <c r="D730" s="222" t="s">
        <v>410</v>
      </c>
      <c r="E730" s="425" t="s">
        <v>2</v>
      </c>
      <c r="F730" s="425"/>
      <c r="G730" s="425"/>
    </row>
    <row r="731" spans="1:9" ht="22.5">
      <c r="A731" s="428" t="s">
        <v>30</v>
      </c>
      <c r="B731" s="429" t="s">
        <v>19</v>
      </c>
      <c r="C731" s="430" t="s">
        <v>92</v>
      </c>
      <c r="D731" s="430" t="s">
        <v>88</v>
      </c>
      <c r="E731" s="431" t="s">
        <v>93</v>
      </c>
      <c r="F731" s="432" t="s">
        <v>94</v>
      </c>
      <c r="G731" s="433" t="s">
        <v>95</v>
      </c>
    </row>
    <row r="732" spans="1:9" ht="22.5">
      <c r="A732" s="448">
        <v>4230</v>
      </c>
      <c r="B732" s="449" t="s">
        <v>1371</v>
      </c>
      <c r="C732" s="450" t="s">
        <v>117</v>
      </c>
      <c r="D732" s="430" t="s">
        <v>410</v>
      </c>
      <c r="E732" s="451">
        <v>9.2999999999999992E-3</v>
      </c>
      <c r="F732" s="472">
        <f>11.19</f>
        <v>11.19</v>
      </c>
      <c r="G732" s="433">
        <f>TRUNC(E732*F732,2)</f>
        <v>0.1</v>
      </c>
    </row>
    <row r="733" spans="1:9" ht="14.1" customHeight="1">
      <c r="D733" s="436"/>
      <c r="E733" s="437"/>
      <c r="F733" s="438" t="s">
        <v>103</v>
      </c>
      <c r="G733" s="433">
        <f>G732</f>
        <v>0.1</v>
      </c>
    </row>
    <row r="734" spans="1:9" ht="14.1" customHeight="1">
      <c r="D734" s="436"/>
      <c r="E734" s="437"/>
      <c r="F734" s="438" t="s">
        <v>105</v>
      </c>
      <c r="G734" s="433"/>
    </row>
    <row r="735" spans="1:9" ht="14.1" customHeight="1">
      <c r="A735" s="439"/>
      <c r="D735" s="436"/>
      <c r="E735" s="437"/>
      <c r="F735" s="438" t="s">
        <v>106</v>
      </c>
      <c r="G735" s="440">
        <f>SUM(G733:G734)</f>
        <v>0.1</v>
      </c>
      <c r="H735" s="441"/>
    </row>
    <row r="736" spans="1:9">
      <c r="A736" s="442"/>
      <c r="B736" s="443"/>
      <c r="C736" s="444"/>
      <c r="D736" s="445"/>
      <c r="E736" s="442"/>
      <c r="F736" s="443"/>
      <c r="G736" s="443"/>
      <c r="H736" s="443"/>
      <c r="I736" s="442"/>
    </row>
    <row r="738" spans="1:9">
      <c r="A738" s="170" t="s">
        <v>1258</v>
      </c>
    </row>
    <row r="739" spans="1:9">
      <c r="A739" s="170" t="s">
        <v>1259</v>
      </c>
      <c r="B739" s="446" t="s">
        <v>1384</v>
      </c>
      <c r="C739" s="447"/>
    </row>
    <row r="740" spans="1:9" ht="30.75" customHeight="1">
      <c r="A740" s="170" t="s">
        <v>80</v>
      </c>
      <c r="B740" s="1429" t="s">
        <v>1362</v>
      </c>
      <c r="C740" s="1429"/>
      <c r="D740" s="222" t="s">
        <v>410</v>
      </c>
      <c r="E740" s="425" t="s">
        <v>2</v>
      </c>
      <c r="F740" s="425"/>
      <c r="G740" s="425"/>
    </row>
    <row r="741" spans="1:9" ht="22.5">
      <c r="A741" s="428" t="s">
        <v>30</v>
      </c>
      <c r="B741" s="429" t="s">
        <v>19</v>
      </c>
      <c r="C741" s="430" t="s">
        <v>92</v>
      </c>
      <c r="D741" s="430" t="s">
        <v>88</v>
      </c>
      <c r="E741" s="431" t="s">
        <v>93</v>
      </c>
      <c r="F741" s="432" t="s">
        <v>94</v>
      </c>
      <c r="G741" s="433" t="s">
        <v>95</v>
      </c>
    </row>
    <row r="742" spans="1:9" ht="27" customHeight="1">
      <c r="A742" s="448" t="s">
        <v>1385</v>
      </c>
      <c r="B742" s="449" t="s">
        <v>1386</v>
      </c>
      <c r="C742" s="450" t="s">
        <v>1342</v>
      </c>
      <c r="D742" s="430" t="s">
        <v>410</v>
      </c>
      <c r="E742" s="451">
        <v>5.3300000000000001E-5</v>
      </c>
      <c r="F742" s="478">
        <v>12083.1</v>
      </c>
      <c r="G742" s="433">
        <f>TRUNC(E742*F742,2)</f>
        <v>0.64</v>
      </c>
    </row>
    <row r="743" spans="1:9" ht="14.1" customHeight="1">
      <c r="D743" s="436"/>
      <c r="E743" s="437"/>
      <c r="F743" s="438" t="s">
        <v>103</v>
      </c>
      <c r="G743" s="433"/>
    </row>
    <row r="744" spans="1:9" ht="14.1" customHeight="1">
      <c r="D744" s="436"/>
      <c r="E744" s="437"/>
      <c r="F744" s="438" t="s">
        <v>105</v>
      </c>
      <c r="G744" s="433">
        <f>G742</f>
        <v>0.64</v>
      </c>
    </row>
    <row r="745" spans="1:9" ht="14.1" customHeight="1">
      <c r="A745" s="439"/>
      <c r="D745" s="436"/>
      <c r="E745" s="437"/>
      <c r="F745" s="438" t="s">
        <v>106</v>
      </c>
      <c r="G745" s="440">
        <f>SUM(G743:G744)</f>
        <v>0.64</v>
      </c>
      <c r="H745" s="441"/>
    </row>
    <row r="746" spans="1:9">
      <c r="A746" s="442"/>
      <c r="B746" s="443"/>
      <c r="C746" s="444"/>
      <c r="D746" s="445"/>
      <c r="E746" s="442"/>
      <c r="F746" s="443"/>
      <c r="G746" s="443"/>
      <c r="H746" s="443"/>
      <c r="I746" s="442"/>
    </row>
    <row r="748" spans="1:9">
      <c r="A748" s="170" t="s">
        <v>1258</v>
      </c>
    </row>
    <row r="749" spans="1:9">
      <c r="A749" s="170" t="s">
        <v>1259</v>
      </c>
      <c r="B749" s="446" t="s">
        <v>1387</v>
      </c>
      <c r="C749" s="447"/>
    </row>
    <row r="750" spans="1:9" ht="27" customHeight="1">
      <c r="A750" s="170" t="s">
        <v>80</v>
      </c>
      <c r="B750" s="1429" t="s">
        <v>1388</v>
      </c>
      <c r="C750" s="1429"/>
      <c r="D750" s="723" t="s">
        <v>410</v>
      </c>
      <c r="E750" s="425" t="s">
        <v>2</v>
      </c>
      <c r="F750" s="425"/>
      <c r="G750" s="425"/>
    </row>
    <row r="751" spans="1:9" ht="22.5">
      <c r="A751" s="428" t="s">
        <v>30</v>
      </c>
      <c r="B751" s="429" t="s">
        <v>19</v>
      </c>
      <c r="C751" s="430" t="s">
        <v>92</v>
      </c>
      <c r="D751" s="430" t="s">
        <v>88</v>
      </c>
      <c r="E751" s="431" t="s">
        <v>93</v>
      </c>
      <c r="F751" s="432" t="s">
        <v>94</v>
      </c>
      <c r="G751" s="433" t="s">
        <v>95</v>
      </c>
    </row>
    <row r="752" spans="1:9" ht="22.5">
      <c r="A752" s="448" t="s">
        <v>1385</v>
      </c>
      <c r="B752" s="449" t="s">
        <v>1386</v>
      </c>
      <c r="C752" s="450" t="s">
        <v>1342</v>
      </c>
      <c r="D752" s="430" t="s">
        <v>410</v>
      </c>
      <c r="E752" s="451">
        <v>1.4E-5</v>
      </c>
      <c r="F752" s="478">
        <v>12083.1</v>
      </c>
      <c r="G752" s="433">
        <f>TRUNC(E752*F752,2)</f>
        <v>0.16</v>
      </c>
    </row>
    <row r="753" spans="1:9" ht="14.1" customHeight="1">
      <c r="D753" s="436"/>
      <c r="E753" s="437"/>
      <c r="F753" s="438" t="s">
        <v>103</v>
      </c>
      <c r="G753" s="433"/>
    </row>
    <row r="754" spans="1:9" ht="14.1" customHeight="1">
      <c r="D754" s="436"/>
      <c r="E754" s="437"/>
      <c r="F754" s="438" t="s">
        <v>105</v>
      </c>
      <c r="G754" s="433">
        <f>G752</f>
        <v>0.16</v>
      </c>
    </row>
    <row r="755" spans="1:9" ht="14.1" customHeight="1">
      <c r="A755" s="439"/>
      <c r="D755" s="436"/>
      <c r="E755" s="437"/>
      <c r="F755" s="438" t="s">
        <v>106</v>
      </c>
      <c r="G755" s="440">
        <f>SUM(G753:G754)</f>
        <v>0.16</v>
      </c>
      <c r="H755" s="441"/>
    </row>
    <row r="756" spans="1:9">
      <c r="A756" s="442"/>
      <c r="B756" s="443"/>
      <c r="C756" s="444"/>
      <c r="D756" s="445"/>
      <c r="E756" s="442"/>
      <c r="F756" s="443"/>
      <c r="G756" s="443"/>
      <c r="H756" s="443"/>
      <c r="I756" s="442"/>
    </row>
    <row r="758" spans="1:9">
      <c r="A758" s="170" t="s">
        <v>1258</v>
      </c>
    </row>
    <row r="759" spans="1:9">
      <c r="A759" s="170" t="s">
        <v>1259</v>
      </c>
      <c r="B759" s="446" t="s">
        <v>1389</v>
      </c>
      <c r="C759" s="447"/>
    </row>
    <row r="760" spans="1:9" ht="29.25" customHeight="1">
      <c r="A760" s="170" t="s">
        <v>80</v>
      </c>
      <c r="B760" s="1429" t="s">
        <v>1390</v>
      </c>
      <c r="C760" s="1429"/>
      <c r="D760" s="723" t="s">
        <v>410</v>
      </c>
      <c r="E760" s="425" t="s">
        <v>2</v>
      </c>
      <c r="F760" s="425"/>
      <c r="G760" s="425"/>
    </row>
    <row r="761" spans="1:9" ht="22.5">
      <c r="A761" s="428" t="s">
        <v>30</v>
      </c>
      <c r="B761" s="429" t="s">
        <v>19</v>
      </c>
      <c r="C761" s="430" t="s">
        <v>92</v>
      </c>
      <c r="D761" s="430" t="s">
        <v>88</v>
      </c>
      <c r="E761" s="431" t="s">
        <v>93</v>
      </c>
      <c r="F761" s="432" t="s">
        <v>94</v>
      </c>
      <c r="G761" s="433" t="s">
        <v>95</v>
      </c>
    </row>
    <row r="762" spans="1:9" ht="22.5">
      <c r="A762" s="448" t="s">
        <v>1385</v>
      </c>
      <c r="B762" s="449" t="s">
        <v>1386</v>
      </c>
      <c r="C762" s="450" t="s">
        <v>1342</v>
      </c>
      <c r="D762" s="430" t="s">
        <v>410</v>
      </c>
      <c r="E762" s="451">
        <v>6.6699999999999995E-5</v>
      </c>
      <c r="F762" s="478">
        <v>12083.1</v>
      </c>
      <c r="G762" s="456">
        <f>TRUNC(E762*F762,2)</f>
        <v>0.8</v>
      </c>
    </row>
    <row r="763" spans="1:9" ht="14.1" customHeight="1">
      <c r="D763" s="436"/>
      <c r="E763" s="437"/>
      <c r="F763" s="438" t="s">
        <v>103</v>
      </c>
      <c r="G763" s="456"/>
    </row>
    <row r="764" spans="1:9" ht="14.1" customHeight="1">
      <c r="D764" s="436"/>
      <c r="E764" s="437"/>
      <c r="F764" s="438" t="s">
        <v>105</v>
      </c>
      <c r="G764" s="456">
        <f>G762</f>
        <v>0.8</v>
      </c>
    </row>
    <row r="765" spans="1:9" ht="14.1" customHeight="1">
      <c r="A765" s="439"/>
      <c r="D765" s="436"/>
      <c r="E765" s="437"/>
      <c r="F765" s="438" t="s">
        <v>106</v>
      </c>
      <c r="G765" s="457">
        <f>SUM(G763:G764)</f>
        <v>0.8</v>
      </c>
      <c r="H765" s="441"/>
    </row>
    <row r="766" spans="1:9">
      <c r="A766" s="442"/>
      <c r="B766" s="443"/>
      <c r="C766" s="444"/>
      <c r="D766" s="445"/>
      <c r="E766" s="442"/>
      <c r="F766" s="443"/>
      <c r="G766" s="443"/>
      <c r="H766" s="443"/>
      <c r="I766" s="442"/>
    </row>
    <row r="768" spans="1:9">
      <c r="A768" s="170" t="s">
        <v>1258</v>
      </c>
    </row>
    <row r="769" spans="1:9">
      <c r="A769" s="170" t="s">
        <v>1259</v>
      </c>
      <c r="B769" s="446" t="s">
        <v>1391</v>
      </c>
      <c r="C769" s="447"/>
    </row>
    <row r="770" spans="1:9" ht="27.75" customHeight="1">
      <c r="A770" s="170" t="s">
        <v>80</v>
      </c>
      <c r="B770" s="1429" t="s">
        <v>1392</v>
      </c>
      <c r="C770" s="1429"/>
      <c r="D770" s="723" t="s">
        <v>410</v>
      </c>
      <c r="E770" s="425" t="s">
        <v>2</v>
      </c>
      <c r="F770" s="425"/>
      <c r="G770" s="425"/>
    </row>
    <row r="771" spans="1:9" ht="22.5">
      <c r="A771" s="428" t="s">
        <v>30</v>
      </c>
      <c r="B771" s="429" t="s">
        <v>19</v>
      </c>
      <c r="C771" s="430" t="s">
        <v>92</v>
      </c>
      <c r="D771" s="430" t="s">
        <v>88</v>
      </c>
      <c r="E771" s="431" t="s">
        <v>93</v>
      </c>
      <c r="F771" s="432" t="s">
        <v>94</v>
      </c>
      <c r="G771" s="433" t="s">
        <v>95</v>
      </c>
    </row>
    <row r="772" spans="1:9" ht="14.1" customHeight="1">
      <c r="A772" s="448">
        <v>4222</v>
      </c>
      <c r="B772" s="449" t="s">
        <v>1393</v>
      </c>
      <c r="C772" s="450" t="s">
        <v>1342</v>
      </c>
      <c r="D772" s="430" t="s">
        <v>1276</v>
      </c>
      <c r="E772" s="451">
        <v>0.59</v>
      </c>
      <c r="F772" s="478">
        <v>4.2699999999999996</v>
      </c>
      <c r="G772" s="474">
        <f>TRUNC(E772*F772,2)</f>
        <v>2.5099999999999998</v>
      </c>
    </row>
    <row r="773" spans="1:9" ht="14.1" customHeight="1">
      <c r="D773" s="436"/>
      <c r="E773" s="437"/>
      <c r="F773" s="438" t="s">
        <v>103</v>
      </c>
      <c r="G773" s="474"/>
    </row>
    <row r="774" spans="1:9" ht="14.1" customHeight="1">
      <c r="D774" s="436"/>
      <c r="E774" s="437"/>
      <c r="F774" s="438" t="s">
        <v>105</v>
      </c>
      <c r="G774" s="474">
        <f>G772</f>
        <v>2.5099999999999998</v>
      </c>
    </row>
    <row r="775" spans="1:9" ht="14.1" customHeight="1">
      <c r="A775" s="439"/>
      <c r="D775" s="436"/>
      <c r="E775" s="437"/>
      <c r="F775" s="438" t="s">
        <v>106</v>
      </c>
      <c r="G775" s="479">
        <f>SUM(G773:G774)</f>
        <v>2.5099999999999998</v>
      </c>
      <c r="H775" s="441"/>
    </row>
    <row r="776" spans="1:9">
      <c r="A776" s="442"/>
      <c r="B776" s="443"/>
      <c r="C776" s="444"/>
      <c r="D776" s="445"/>
      <c r="E776" s="442"/>
      <c r="F776" s="443"/>
      <c r="G776" s="443"/>
      <c r="H776" s="443"/>
      <c r="I776" s="442"/>
    </row>
    <row r="778" spans="1:9">
      <c r="A778" s="170" t="s">
        <v>1258</v>
      </c>
    </row>
    <row r="779" spans="1:9">
      <c r="A779" s="170" t="s">
        <v>1259</v>
      </c>
      <c r="B779" s="220" t="s">
        <v>1394</v>
      </c>
      <c r="C779" s="426"/>
    </row>
    <row r="780" spans="1:9" ht="27" customHeight="1">
      <c r="A780" s="170" t="s">
        <v>80</v>
      </c>
      <c r="B780" s="1429" t="s">
        <v>1395</v>
      </c>
      <c r="C780" s="1429"/>
      <c r="D780" s="1429"/>
      <c r="E780" s="724" t="s">
        <v>1359</v>
      </c>
      <c r="F780" s="425"/>
      <c r="G780" s="425"/>
    </row>
    <row r="781" spans="1:9" ht="22.5">
      <c r="A781" s="428" t="s">
        <v>30</v>
      </c>
      <c r="B781" s="429" t="s">
        <v>19</v>
      </c>
      <c r="C781" s="430" t="s">
        <v>92</v>
      </c>
      <c r="D781" s="430" t="s">
        <v>88</v>
      </c>
      <c r="E781" s="431" t="s">
        <v>93</v>
      </c>
      <c r="F781" s="432" t="s">
        <v>94</v>
      </c>
      <c r="G781" s="433" t="s">
        <v>95</v>
      </c>
    </row>
    <row r="782" spans="1:9" ht="14.1" customHeight="1">
      <c r="A782" s="1470">
        <v>88297</v>
      </c>
      <c r="B782" s="1416" t="s">
        <v>1360</v>
      </c>
      <c r="C782" s="433" t="s">
        <v>117</v>
      </c>
      <c r="D782" s="1574" t="s">
        <v>410</v>
      </c>
      <c r="E782" s="1578">
        <v>1</v>
      </c>
      <c r="F782" s="435">
        <f>G669</f>
        <v>11.29</v>
      </c>
      <c r="G782" s="456">
        <f t="shared" ref="G782" si="35">TRUNC(E782*F782,2)</f>
        <v>11.29</v>
      </c>
    </row>
    <row r="783" spans="1:9" ht="14.1" customHeight="1">
      <c r="A783" s="1536"/>
      <c r="B783" s="1417"/>
      <c r="C783" s="433" t="s">
        <v>99</v>
      </c>
      <c r="D783" s="1575"/>
      <c r="E783" s="1579"/>
      <c r="F783" s="435">
        <f>G670</f>
        <v>4.12</v>
      </c>
      <c r="G783" s="456">
        <f>TRUNC(E782*F783,2)</f>
        <v>4.12</v>
      </c>
    </row>
    <row r="784" spans="1:9" ht="33.75">
      <c r="A784" s="428" t="s">
        <v>1361</v>
      </c>
      <c r="B784" s="434" t="s">
        <v>1362</v>
      </c>
      <c r="C784" s="431" t="s">
        <v>1342</v>
      </c>
      <c r="D784" s="430" t="s">
        <v>410</v>
      </c>
      <c r="E784" s="455">
        <v>1</v>
      </c>
      <c r="F784" s="431">
        <f>G745</f>
        <v>0.64</v>
      </c>
      <c r="G784" s="456">
        <f t="shared" ref="G784:G785" si="36">TRUNC(E784*F784,2)</f>
        <v>0.64</v>
      </c>
    </row>
    <row r="785" spans="1:9" ht="33.75">
      <c r="A785" s="428" t="s">
        <v>1363</v>
      </c>
      <c r="B785" s="434" t="s">
        <v>1364</v>
      </c>
      <c r="C785" s="431" t="s">
        <v>1342</v>
      </c>
      <c r="D785" s="430" t="s">
        <v>410</v>
      </c>
      <c r="E785" s="455">
        <v>1</v>
      </c>
      <c r="F785" s="431">
        <f>G755</f>
        <v>0.16</v>
      </c>
      <c r="G785" s="456">
        <f t="shared" si="36"/>
        <v>0.16</v>
      </c>
    </row>
    <row r="786" spans="1:9" ht="14.1" customHeight="1">
      <c r="D786" s="463"/>
      <c r="E786" s="464"/>
      <c r="F786" s="465" t="s">
        <v>103</v>
      </c>
      <c r="G786" s="466">
        <f>G782</f>
        <v>11.29</v>
      </c>
    </row>
    <row r="787" spans="1:9" ht="14.1" customHeight="1">
      <c r="A787" s="439"/>
      <c r="D787" s="436"/>
      <c r="E787" s="437"/>
      <c r="F787" s="438" t="s">
        <v>105</v>
      </c>
      <c r="G787" s="456">
        <f>SUM(G783:G785)</f>
        <v>4.92</v>
      </c>
      <c r="H787" s="421"/>
    </row>
    <row r="788" spans="1:9" ht="14.1" customHeight="1">
      <c r="A788" s="439"/>
      <c r="D788" s="216"/>
      <c r="E788" s="171"/>
      <c r="F788" s="438" t="s">
        <v>106</v>
      </c>
      <c r="G788" s="457">
        <f>SUM(G786:G787)</f>
        <v>16.21</v>
      </c>
      <c r="H788" s="441"/>
    </row>
    <row r="789" spans="1:9">
      <c r="A789" s="442"/>
      <c r="B789" s="443"/>
      <c r="C789" s="444"/>
      <c r="D789" s="445"/>
      <c r="E789" s="442"/>
      <c r="F789" s="443"/>
      <c r="G789" s="443"/>
      <c r="H789" s="443"/>
      <c r="I789" s="442"/>
    </row>
    <row r="791" spans="1:9">
      <c r="A791" s="170" t="s">
        <v>1258</v>
      </c>
    </row>
    <row r="792" spans="1:9">
      <c r="A792" s="170" t="s">
        <v>1259</v>
      </c>
      <c r="B792" s="220" t="s">
        <v>1583</v>
      </c>
      <c r="C792" s="426"/>
    </row>
    <row r="793" spans="1:9" ht="23.25" customHeight="1">
      <c r="A793" s="170" t="s">
        <v>80</v>
      </c>
      <c r="B793" s="1429" t="s">
        <v>1584</v>
      </c>
      <c r="C793" s="1429"/>
      <c r="D793" s="1429"/>
      <c r="E793" s="723" t="s">
        <v>1398</v>
      </c>
      <c r="F793" s="425"/>
      <c r="G793" s="425"/>
    </row>
    <row r="794" spans="1:9" ht="22.5">
      <c r="A794" s="428" t="s">
        <v>30</v>
      </c>
      <c r="B794" s="434" t="s">
        <v>19</v>
      </c>
      <c r="C794" s="430" t="s">
        <v>92</v>
      </c>
      <c r="D794" s="430" t="s">
        <v>88</v>
      </c>
      <c r="E794" s="512" t="s">
        <v>93</v>
      </c>
      <c r="F794" s="432" t="s">
        <v>94</v>
      </c>
      <c r="G794" s="433" t="s">
        <v>95</v>
      </c>
    </row>
    <row r="795" spans="1:9" ht="22.5">
      <c r="A795" s="480" t="s">
        <v>1399</v>
      </c>
      <c r="B795" s="481" t="s">
        <v>1400</v>
      </c>
      <c r="C795" s="433" t="s">
        <v>99</v>
      </c>
      <c r="D795" s="482" t="s">
        <v>1398</v>
      </c>
      <c r="E795" s="483">
        <v>0.85899999999999999</v>
      </c>
      <c r="F795" s="435">
        <v>56.25</v>
      </c>
      <c r="G795" s="456">
        <f t="shared" ref="G795:G798" si="37">TRUNC(E795*F795,2)</f>
        <v>48.31</v>
      </c>
    </row>
    <row r="796" spans="1:9" ht="14.1" customHeight="1">
      <c r="A796" s="480" t="s">
        <v>1072</v>
      </c>
      <c r="B796" s="481" t="s">
        <v>1073</v>
      </c>
      <c r="C796" s="433" t="s">
        <v>99</v>
      </c>
      <c r="D796" s="482" t="s">
        <v>1401</v>
      </c>
      <c r="E796" s="486">
        <v>212.21</v>
      </c>
      <c r="F796" s="435">
        <v>0.49</v>
      </c>
      <c r="G796" s="456">
        <f t="shared" si="37"/>
        <v>103.98</v>
      </c>
    </row>
    <row r="797" spans="1:9" ht="22.5">
      <c r="A797" s="480" t="s">
        <v>1402</v>
      </c>
      <c r="B797" s="481" t="s">
        <v>1403</v>
      </c>
      <c r="C797" s="433" t="s">
        <v>99</v>
      </c>
      <c r="D797" s="482" t="s">
        <v>1398</v>
      </c>
      <c r="E797" s="486">
        <v>0.57899999999999996</v>
      </c>
      <c r="F797" s="435">
        <v>63.77</v>
      </c>
      <c r="G797" s="456">
        <f t="shared" si="37"/>
        <v>36.92</v>
      </c>
    </row>
    <row r="798" spans="1:9" ht="14.1" customHeight="1">
      <c r="A798" s="1470" t="s">
        <v>1404</v>
      </c>
      <c r="B798" s="1416" t="s">
        <v>123</v>
      </c>
      <c r="C798" s="433" t="s">
        <v>117</v>
      </c>
      <c r="D798" s="1574" t="s">
        <v>410</v>
      </c>
      <c r="E798" s="1576">
        <v>2.4500000000000002</v>
      </c>
      <c r="F798" s="435">
        <f>G104</f>
        <v>11.1</v>
      </c>
      <c r="G798" s="456">
        <f t="shared" si="37"/>
        <v>27.19</v>
      </c>
    </row>
    <row r="799" spans="1:9" ht="14.1" customHeight="1">
      <c r="A799" s="1536"/>
      <c r="B799" s="1417"/>
      <c r="C799" s="433" t="s">
        <v>99</v>
      </c>
      <c r="D799" s="1575"/>
      <c r="E799" s="1577"/>
      <c r="F799" s="435">
        <f>G105</f>
        <v>4.5600000000000005</v>
      </c>
      <c r="G799" s="456">
        <f>TRUNC(E798*F799,2)</f>
        <v>11.17</v>
      </c>
    </row>
    <row r="800" spans="1:9" ht="14.1" customHeight="1">
      <c r="A800" s="1470" t="s">
        <v>1405</v>
      </c>
      <c r="B800" s="1416" t="s">
        <v>1406</v>
      </c>
      <c r="C800" s="433" t="s">
        <v>117</v>
      </c>
      <c r="D800" s="1574" t="s">
        <v>410</v>
      </c>
      <c r="E800" s="1576">
        <v>1.55</v>
      </c>
      <c r="F800" s="435">
        <f>G861</f>
        <v>10.58</v>
      </c>
      <c r="G800" s="456">
        <f>TRUNC(E800*F800,2)</f>
        <v>16.39</v>
      </c>
    </row>
    <row r="801" spans="1:9" ht="14.1" customHeight="1">
      <c r="A801" s="1536"/>
      <c r="B801" s="1417"/>
      <c r="C801" s="433" t="s">
        <v>99</v>
      </c>
      <c r="D801" s="1575"/>
      <c r="E801" s="1577"/>
      <c r="F801" s="435">
        <f>G862</f>
        <v>4.12</v>
      </c>
      <c r="G801" s="456">
        <f>TRUNC(E800*F801,2)</f>
        <v>6.38</v>
      </c>
    </row>
    <row r="802" spans="1:9" ht="45">
      <c r="A802" s="480">
        <v>88830</v>
      </c>
      <c r="B802" s="481" t="s">
        <v>1585</v>
      </c>
      <c r="C802" s="433" t="s">
        <v>1342</v>
      </c>
      <c r="D802" s="482" t="s">
        <v>1359</v>
      </c>
      <c r="E802" s="486">
        <v>0.8</v>
      </c>
      <c r="F802" s="435">
        <f>G1121</f>
        <v>1.04</v>
      </c>
      <c r="G802" s="456">
        <f t="shared" ref="G802:G803" si="38">TRUNC(E802*F802,2)</f>
        <v>0.83</v>
      </c>
    </row>
    <row r="803" spans="1:9" ht="45">
      <c r="A803" s="480">
        <v>88831</v>
      </c>
      <c r="B803" s="481" t="s">
        <v>1586</v>
      </c>
      <c r="C803" s="433" t="s">
        <v>1342</v>
      </c>
      <c r="D803" s="482" t="s">
        <v>1338</v>
      </c>
      <c r="E803" s="486">
        <v>0.75</v>
      </c>
      <c r="F803" s="435">
        <f>G1172</f>
        <v>0.04</v>
      </c>
      <c r="G803" s="456">
        <f t="shared" si="38"/>
        <v>0.03</v>
      </c>
    </row>
    <row r="804" spans="1:9" ht="14.1" customHeight="1">
      <c r="D804" s="463"/>
      <c r="E804" s="464"/>
      <c r="F804" s="465" t="s">
        <v>103</v>
      </c>
      <c r="G804" s="466">
        <f>G798+G800</f>
        <v>43.58</v>
      </c>
    </row>
    <row r="805" spans="1:9" ht="14.1" customHeight="1">
      <c r="A805" s="439"/>
      <c r="D805" s="436"/>
      <c r="E805" s="437"/>
      <c r="F805" s="438" t="s">
        <v>105</v>
      </c>
      <c r="G805" s="456">
        <f>G795+G796+G797+G799+G801+G802+G803</f>
        <v>207.62000000000003</v>
      </c>
      <c r="H805" s="421"/>
    </row>
    <row r="806" spans="1:9" ht="14.1" customHeight="1">
      <c r="A806" s="439"/>
      <c r="D806" s="216"/>
      <c r="E806" s="171"/>
      <c r="F806" s="438" t="s">
        <v>106</v>
      </c>
      <c r="G806" s="457">
        <f>SUM(G804:G805)</f>
        <v>251.20000000000005</v>
      </c>
      <c r="H806" s="441"/>
    </row>
    <row r="807" spans="1:9">
      <c r="A807" s="442"/>
      <c r="B807" s="443"/>
      <c r="C807" s="444"/>
      <c r="D807" s="445"/>
      <c r="E807" s="442"/>
      <c r="F807" s="443"/>
      <c r="G807" s="443"/>
      <c r="H807" s="443"/>
      <c r="I807" s="442"/>
    </row>
    <row r="809" spans="1:9">
      <c r="A809" s="170" t="s">
        <v>1258</v>
      </c>
    </row>
    <row r="810" spans="1:9">
      <c r="A810" s="170" t="s">
        <v>1259</v>
      </c>
      <c r="B810" s="220" t="s">
        <v>1936</v>
      </c>
      <c r="C810" s="426"/>
    </row>
    <row r="811" spans="1:9" ht="27.75" customHeight="1">
      <c r="A811" s="170" t="s">
        <v>80</v>
      </c>
      <c r="B811" s="1429" t="s">
        <v>1937</v>
      </c>
      <c r="C811" s="1429"/>
      <c r="D811" s="1429"/>
      <c r="E811" s="723" t="s">
        <v>1398</v>
      </c>
      <c r="F811" s="425"/>
      <c r="G811" s="425"/>
    </row>
    <row r="812" spans="1:9" ht="22.5">
      <c r="A812" s="428" t="s">
        <v>30</v>
      </c>
      <c r="B812" s="807" t="s">
        <v>19</v>
      </c>
      <c r="C812" s="430" t="s">
        <v>92</v>
      </c>
      <c r="D812" s="430" t="s">
        <v>88</v>
      </c>
      <c r="E812" s="803" t="s">
        <v>93</v>
      </c>
      <c r="F812" s="432" t="s">
        <v>94</v>
      </c>
      <c r="G812" s="433" t="s">
        <v>95</v>
      </c>
    </row>
    <row r="813" spans="1:9" ht="22.5">
      <c r="A813" s="808" t="s">
        <v>1399</v>
      </c>
      <c r="B813" s="802" t="s">
        <v>1400</v>
      </c>
      <c r="C813" s="433" t="s">
        <v>99</v>
      </c>
      <c r="D813" s="811" t="s">
        <v>1398</v>
      </c>
      <c r="E813" s="810">
        <v>0.78500000000000003</v>
      </c>
      <c r="F813" s="435">
        <v>56.25</v>
      </c>
      <c r="G813" s="456">
        <f t="shared" ref="G813:G816" si="39">TRUNC(E813*F813,2)</f>
        <v>44.15</v>
      </c>
    </row>
    <row r="814" spans="1:9" ht="15" customHeight="1">
      <c r="A814" s="808" t="s">
        <v>1072</v>
      </c>
      <c r="B814" s="802" t="s">
        <v>1073</v>
      </c>
      <c r="C814" s="433" t="s">
        <v>99</v>
      </c>
      <c r="D814" s="811" t="s">
        <v>1401</v>
      </c>
      <c r="E814" s="813">
        <v>322.98</v>
      </c>
      <c r="F814" s="435">
        <v>0.49</v>
      </c>
      <c r="G814" s="456">
        <f t="shared" si="39"/>
        <v>158.26</v>
      </c>
    </row>
    <row r="815" spans="1:9" ht="22.5">
      <c r="A815" s="808" t="s">
        <v>1402</v>
      </c>
      <c r="B815" s="802" t="s">
        <v>1403</v>
      </c>
      <c r="C815" s="433" t="s">
        <v>99</v>
      </c>
      <c r="D815" s="811" t="s">
        <v>1398</v>
      </c>
      <c r="E815" s="813">
        <v>0.58699999999999997</v>
      </c>
      <c r="F815" s="435">
        <v>63.77</v>
      </c>
      <c r="G815" s="456">
        <f t="shared" si="39"/>
        <v>37.43</v>
      </c>
    </row>
    <row r="816" spans="1:9" ht="15" customHeight="1">
      <c r="A816" s="1470" t="s">
        <v>1404</v>
      </c>
      <c r="B816" s="1416" t="s">
        <v>123</v>
      </c>
      <c r="C816" s="433" t="s">
        <v>117</v>
      </c>
      <c r="D816" s="1574" t="s">
        <v>410</v>
      </c>
      <c r="E816" s="1576">
        <v>2.5299999999999998</v>
      </c>
      <c r="F816" s="435">
        <f>G104</f>
        <v>11.1</v>
      </c>
      <c r="G816" s="456">
        <f t="shared" si="39"/>
        <v>28.08</v>
      </c>
    </row>
    <row r="817" spans="1:8" ht="15" customHeight="1">
      <c r="A817" s="1536"/>
      <c r="B817" s="1417"/>
      <c r="C817" s="433" t="s">
        <v>99</v>
      </c>
      <c r="D817" s="1575"/>
      <c r="E817" s="1577"/>
      <c r="F817" s="435">
        <f>G105</f>
        <v>4.5600000000000005</v>
      </c>
      <c r="G817" s="456">
        <f>TRUNC(E816*F817,2)</f>
        <v>11.53</v>
      </c>
    </row>
    <row r="818" spans="1:8" ht="15" customHeight="1">
      <c r="A818" s="1470" t="s">
        <v>1405</v>
      </c>
      <c r="B818" s="1416" t="s">
        <v>1406</v>
      </c>
      <c r="C818" s="433" t="s">
        <v>117</v>
      </c>
      <c r="D818" s="1574" t="s">
        <v>410</v>
      </c>
      <c r="E818" s="1576">
        <v>1.6</v>
      </c>
      <c r="F818" s="435">
        <f>G861</f>
        <v>10.58</v>
      </c>
      <c r="G818" s="456">
        <f>TRUNC(E818*F818,2)</f>
        <v>16.920000000000002</v>
      </c>
    </row>
    <row r="819" spans="1:8" ht="15" customHeight="1">
      <c r="A819" s="1536"/>
      <c r="B819" s="1417"/>
      <c r="C819" s="433" t="s">
        <v>99</v>
      </c>
      <c r="D819" s="1575"/>
      <c r="E819" s="1577"/>
      <c r="F819" s="435">
        <f>G862</f>
        <v>4.12</v>
      </c>
      <c r="G819" s="456">
        <f>TRUNC(E818*F819,2)</f>
        <v>6.59</v>
      </c>
    </row>
    <row r="820" spans="1:8" ht="45">
      <c r="A820" s="808">
        <v>88830</v>
      </c>
      <c r="B820" s="802" t="s">
        <v>1585</v>
      </c>
      <c r="C820" s="433" t="s">
        <v>1342</v>
      </c>
      <c r="D820" s="811" t="s">
        <v>1359</v>
      </c>
      <c r="E820" s="813">
        <v>0.83</v>
      </c>
      <c r="F820" s="435">
        <f>G1121</f>
        <v>1.04</v>
      </c>
      <c r="G820" s="456">
        <f t="shared" ref="G820:G821" si="40">TRUNC(E820*F820,2)</f>
        <v>0.86</v>
      </c>
    </row>
    <row r="821" spans="1:8" ht="45">
      <c r="A821" s="808">
        <v>88831</v>
      </c>
      <c r="B821" s="802" t="s">
        <v>1586</v>
      </c>
      <c r="C821" s="433" t="s">
        <v>1342</v>
      </c>
      <c r="D821" s="811" t="s">
        <v>1338</v>
      </c>
      <c r="E821" s="813">
        <v>0.78</v>
      </c>
      <c r="F821" s="435">
        <f>G1172</f>
        <v>0.04</v>
      </c>
      <c r="G821" s="456">
        <f t="shared" si="40"/>
        <v>0.03</v>
      </c>
    </row>
    <row r="822" spans="1:8" ht="15" customHeight="1">
      <c r="D822" s="463"/>
      <c r="E822" s="464"/>
      <c r="F822" s="465" t="s">
        <v>103</v>
      </c>
      <c r="G822" s="466">
        <f>G816+G818</f>
        <v>45</v>
      </c>
    </row>
    <row r="823" spans="1:8" ht="15" customHeight="1">
      <c r="A823" s="439"/>
      <c r="D823" s="436"/>
      <c r="E823" s="437"/>
      <c r="F823" s="438" t="s">
        <v>105</v>
      </c>
      <c r="G823" s="456">
        <f>G813+G814+G815+G817+G819+G820+G821</f>
        <v>258.84999999999997</v>
      </c>
      <c r="H823" s="421"/>
    </row>
    <row r="824" spans="1:8" ht="15" customHeight="1">
      <c r="A824" s="439"/>
      <c r="D824" s="216"/>
      <c r="E824" s="171"/>
      <c r="F824" s="438" t="s">
        <v>106</v>
      </c>
      <c r="G824" s="457">
        <f>SUM(G822:G823)</f>
        <v>303.84999999999997</v>
      </c>
      <c r="H824" s="441"/>
    </row>
    <row r="825" spans="1:8">
      <c r="A825" s="442"/>
      <c r="B825" s="443"/>
      <c r="C825" s="444"/>
      <c r="D825" s="445"/>
      <c r="E825" s="442"/>
      <c r="F825" s="443"/>
      <c r="G825" s="443"/>
      <c r="H825" s="443"/>
    </row>
    <row r="832" spans="1:8" ht="14.1" customHeight="1">
      <c r="A832" s="170" t="s">
        <v>1258</v>
      </c>
    </row>
    <row r="833" spans="1:9" ht="14.1" customHeight="1">
      <c r="A833" s="170" t="s">
        <v>1259</v>
      </c>
      <c r="B833" s="220" t="s">
        <v>1396</v>
      </c>
      <c r="C833" s="426"/>
    </row>
    <row r="834" spans="1:9" ht="25.5" customHeight="1">
      <c r="A834" s="170" t="s">
        <v>80</v>
      </c>
      <c r="B834" s="1429" t="s">
        <v>1397</v>
      </c>
      <c r="C834" s="1429"/>
      <c r="D834" s="1429"/>
      <c r="E834" s="723" t="s">
        <v>1398</v>
      </c>
      <c r="F834" s="425"/>
      <c r="G834" s="425"/>
    </row>
    <row r="835" spans="1:9" ht="22.5">
      <c r="A835" s="428" t="s">
        <v>30</v>
      </c>
      <c r="B835" s="434" t="s">
        <v>19</v>
      </c>
      <c r="C835" s="430" t="s">
        <v>92</v>
      </c>
      <c r="D835" s="430" t="s">
        <v>88</v>
      </c>
      <c r="E835" s="431" t="s">
        <v>93</v>
      </c>
      <c r="F835" s="432" t="s">
        <v>94</v>
      </c>
      <c r="G835" s="433" t="s">
        <v>95</v>
      </c>
    </row>
    <row r="836" spans="1:9" ht="22.5">
      <c r="A836" s="480" t="s">
        <v>1399</v>
      </c>
      <c r="B836" s="481" t="s">
        <v>1400</v>
      </c>
      <c r="C836" s="433" t="s">
        <v>99</v>
      </c>
      <c r="D836" s="482" t="s">
        <v>1398</v>
      </c>
      <c r="E836" s="483">
        <v>0.86399999999999999</v>
      </c>
      <c r="F836" s="435">
        <v>56.25</v>
      </c>
      <c r="G836" s="456">
        <f t="shared" ref="G836:G844" si="41">TRUNC(E836*F836,2)</f>
        <v>48.6</v>
      </c>
    </row>
    <row r="837" spans="1:9" ht="14.1" customHeight="1">
      <c r="A837" s="480" t="s">
        <v>1072</v>
      </c>
      <c r="B837" s="481" t="s">
        <v>1073</v>
      </c>
      <c r="C837" s="433" t="s">
        <v>99</v>
      </c>
      <c r="D837" s="482" t="s">
        <v>1401</v>
      </c>
      <c r="E837" s="484">
        <v>213.45</v>
      </c>
      <c r="F837" s="435">
        <v>0.49</v>
      </c>
      <c r="G837" s="456">
        <f t="shared" si="41"/>
        <v>104.59</v>
      </c>
    </row>
    <row r="838" spans="1:9" ht="22.5">
      <c r="A838" s="480" t="s">
        <v>1402</v>
      </c>
      <c r="B838" s="481" t="s">
        <v>1403</v>
      </c>
      <c r="C838" s="433" t="s">
        <v>99</v>
      </c>
      <c r="D838" s="482" t="s">
        <v>1398</v>
      </c>
      <c r="E838" s="485">
        <v>0.58199999999999996</v>
      </c>
      <c r="F838" s="435">
        <v>63.77</v>
      </c>
      <c r="G838" s="456">
        <f t="shared" si="41"/>
        <v>37.11</v>
      </c>
    </row>
    <row r="839" spans="1:9" ht="15" customHeight="1">
      <c r="A839" s="1470" t="s">
        <v>1404</v>
      </c>
      <c r="B839" s="1416" t="s">
        <v>123</v>
      </c>
      <c r="C839" s="433" t="s">
        <v>117</v>
      </c>
      <c r="D839" s="1574" t="s">
        <v>410</v>
      </c>
      <c r="E839" s="1576">
        <v>2.11</v>
      </c>
      <c r="F839" s="435">
        <f>G104</f>
        <v>11.1</v>
      </c>
      <c r="G839" s="456">
        <f t="shared" si="41"/>
        <v>23.42</v>
      </c>
    </row>
    <row r="840" spans="1:9" ht="15" customHeight="1">
      <c r="A840" s="1536"/>
      <c r="B840" s="1417"/>
      <c r="C840" s="433" t="s">
        <v>99</v>
      </c>
      <c r="D840" s="1575"/>
      <c r="E840" s="1577"/>
      <c r="F840" s="435">
        <f>G105</f>
        <v>4.5600000000000005</v>
      </c>
      <c r="G840" s="456">
        <f>TRUNC(E839*F840,2)</f>
        <v>9.6199999999999992</v>
      </c>
    </row>
    <row r="841" spans="1:9" ht="15" customHeight="1">
      <c r="A841" s="1470" t="s">
        <v>1405</v>
      </c>
      <c r="B841" s="1416" t="s">
        <v>1406</v>
      </c>
      <c r="C841" s="433" t="s">
        <v>117</v>
      </c>
      <c r="D841" s="1574" t="s">
        <v>410</v>
      </c>
      <c r="E841" s="1576">
        <v>1.33</v>
      </c>
      <c r="F841" s="435">
        <f>G861</f>
        <v>10.58</v>
      </c>
      <c r="G841" s="456">
        <f>TRUNC(E841*F841,2)</f>
        <v>14.07</v>
      </c>
    </row>
    <row r="842" spans="1:9" ht="15" customHeight="1">
      <c r="A842" s="1536"/>
      <c r="B842" s="1417"/>
      <c r="C842" s="433" t="s">
        <v>99</v>
      </c>
      <c r="D842" s="1575"/>
      <c r="E842" s="1577"/>
      <c r="F842" s="435">
        <f>G862</f>
        <v>4.12</v>
      </c>
      <c r="G842" s="456">
        <f>TRUNC(E841*F842,2)</f>
        <v>5.47</v>
      </c>
    </row>
    <row r="843" spans="1:9" ht="45">
      <c r="A843" s="480" t="s">
        <v>1407</v>
      </c>
      <c r="B843" s="481" t="s">
        <v>1408</v>
      </c>
      <c r="C843" s="433" t="s">
        <v>1342</v>
      </c>
      <c r="D843" s="482" t="s">
        <v>1359</v>
      </c>
      <c r="E843" s="484">
        <v>0.69</v>
      </c>
      <c r="F843" s="435">
        <f>G913</f>
        <v>3.1</v>
      </c>
      <c r="G843" s="456">
        <f t="shared" si="41"/>
        <v>2.13</v>
      </c>
    </row>
    <row r="844" spans="1:9" ht="45">
      <c r="A844" s="480" t="s">
        <v>1409</v>
      </c>
      <c r="B844" s="481" t="s">
        <v>1410</v>
      </c>
      <c r="C844" s="433" t="s">
        <v>1342</v>
      </c>
      <c r="D844" s="482" t="s">
        <v>1338</v>
      </c>
      <c r="E844" s="484">
        <v>0.65</v>
      </c>
      <c r="F844" s="435">
        <f>G964</f>
        <v>1.0900000000000001</v>
      </c>
      <c r="G844" s="456">
        <f t="shared" si="41"/>
        <v>0.7</v>
      </c>
    </row>
    <row r="845" spans="1:9" ht="14.1" customHeight="1">
      <c r="D845" s="463"/>
      <c r="E845" s="464"/>
      <c r="F845" s="465" t="s">
        <v>103</v>
      </c>
      <c r="G845" s="466">
        <f>G839+G841</f>
        <v>37.49</v>
      </c>
    </row>
    <row r="846" spans="1:9" ht="14.1" customHeight="1">
      <c r="A846" s="439"/>
      <c r="D846" s="436"/>
      <c r="E846" s="437"/>
      <c r="F846" s="438" t="s">
        <v>105</v>
      </c>
      <c r="G846" s="456">
        <f>G836+G837+G838+G840+G842+G843+G844</f>
        <v>208.22</v>
      </c>
      <c r="H846" s="421"/>
    </row>
    <row r="847" spans="1:9" ht="14.1" customHeight="1">
      <c r="A847" s="439"/>
      <c r="D847" s="216"/>
      <c r="E847" s="171"/>
      <c r="F847" s="438" t="s">
        <v>106</v>
      </c>
      <c r="G847" s="457">
        <f>SUM(G845:G846)</f>
        <v>245.71</v>
      </c>
      <c r="H847" s="441"/>
    </row>
    <row r="848" spans="1:9">
      <c r="A848" s="442"/>
      <c r="B848" s="443"/>
      <c r="C848" s="444"/>
      <c r="D848" s="445"/>
      <c r="E848" s="442"/>
      <c r="F848" s="443"/>
      <c r="G848" s="443"/>
      <c r="H848" s="443"/>
      <c r="I848" s="442"/>
    </row>
    <row r="850" spans="1:9">
      <c r="A850" s="170" t="s">
        <v>1369</v>
      </c>
      <c r="C850" s="173"/>
      <c r="D850" s="170"/>
      <c r="E850" s="193"/>
      <c r="H850" s="170"/>
    </row>
    <row r="851" spans="1:9">
      <c r="A851" s="170" t="s">
        <v>33</v>
      </c>
      <c r="B851" s="221" t="s">
        <v>1411</v>
      </c>
      <c r="C851" s="173"/>
      <c r="D851" s="170"/>
      <c r="E851" s="193"/>
      <c r="H851" s="170"/>
    </row>
    <row r="852" spans="1:9" ht="27.75" customHeight="1">
      <c r="A852" s="170" t="s">
        <v>80</v>
      </c>
      <c r="B852" s="1573" t="s">
        <v>1406</v>
      </c>
      <c r="C852" s="1573"/>
      <c r="D852" s="724" t="s">
        <v>410</v>
      </c>
      <c r="H852" s="170"/>
    </row>
    <row r="853" spans="1:9" ht="22.5">
      <c r="A853" s="515" t="s">
        <v>30</v>
      </c>
      <c r="B853" s="434" t="s">
        <v>19</v>
      </c>
      <c r="C853" s="430" t="s">
        <v>92</v>
      </c>
      <c r="D853" s="430" t="s">
        <v>88</v>
      </c>
      <c r="E853" s="431" t="s">
        <v>93</v>
      </c>
      <c r="F853" s="432" t="s">
        <v>94</v>
      </c>
      <c r="G853" s="469" t="s">
        <v>95</v>
      </c>
      <c r="H853" s="170"/>
    </row>
    <row r="854" spans="1:9" ht="22.5">
      <c r="A854" s="448">
        <v>37666</v>
      </c>
      <c r="B854" s="449" t="s">
        <v>1412</v>
      </c>
      <c r="C854" s="430" t="s">
        <v>117</v>
      </c>
      <c r="D854" s="470" t="s">
        <v>410</v>
      </c>
      <c r="E854" s="471">
        <v>1</v>
      </c>
      <c r="F854" s="472">
        <f>10.49</f>
        <v>10.49</v>
      </c>
      <c r="G854" s="473">
        <f>TRUNC(E854*F854,2)</f>
        <v>10.49</v>
      </c>
      <c r="H854" s="170"/>
    </row>
    <row r="855" spans="1:9" ht="22.5">
      <c r="A855" s="502" t="s">
        <v>1372</v>
      </c>
      <c r="B855" s="434" t="s">
        <v>1373</v>
      </c>
      <c r="C855" s="430" t="s">
        <v>1374</v>
      </c>
      <c r="D855" s="430" t="s">
        <v>410</v>
      </c>
      <c r="E855" s="474">
        <v>1</v>
      </c>
      <c r="F855" s="475">
        <v>2.15</v>
      </c>
      <c r="G855" s="433">
        <f t="shared" ref="G855:G860" si="42">TRUNC(E855*F855,2)</f>
        <v>2.15</v>
      </c>
      <c r="H855" s="170"/>
    </row>
    <row r="856" spans="1:9" ht="22.5">
      <c r="A856" s="502" t="s">
        <v>1375</v>
      </c>
      <c r="B856" s="434" t="s">
        <v>1376</v>
      </c>
      <c r="C856" s="430" t="s">
        <v>1374</v>
      </c>
      <c r="D856" s="430" t="s">
        <v>410</v>
      </c>
      <c r="E856" s="474">
        <v>1</v>
      </c>
      <c r="F856" s="475">
        <v>0.6</v>
      </c>
      <c r="G856" s="456">
        <f t="shared" si="42"/>
        <v>0.6</v>
      </c>
      <c r="H856" s="170"/>
    </row>
    <row r="857" spans="1:9" ht="22.5">
      <c r="A857" s="502" t="s">
        <v>1377</v>
      </c>
      <c r="B857" s="434" t="s">
        <v>1378</v>
      </c>
      <c r="C857" s="430" t="s">
        <v>1374</v>
      </c>
      <c r="D857" s="430" t="s">
        <v>410</v>
      </c>
      <c r="E857" s="474">
        <v>1</v>
      </c>
      <c r="F857" s="475">
        <v>0.37</v>
      </c>
      <c r="G857" s="433">
        <f t="shared" si="42"/>
        <v>0.37</v>
      </c>
      <c r="H857" s="170"/>
    </row>
    <row r="858" spans="1:9" ht="22.5">
      <c r="A858" s="502" t="s">
        <v>1379</v>
      </c>
      <c r="B858" s="434" t="s">
        <v>1380</v>
      </c>
      <c r="C858" s="430" t="s">
        <v>1374</v>
      </c>
      <c r="D858" s="430" t="s">
        <v>410</v>
      </c>
      <c r="E858" s="474">
        <v>1</v>
      </c>
      <c r="F858" s="475">
        <v>0.02</v>
      </c>
      <c r="G858" s="433">
        <f t="shared" si="42"/>
        <v>0.02</v>
      </c>
      <c r="H858" s="170"/>
    </row>
    <row r="859" spans="1:9" ht="14.1" customHeight="1">
      <c r="A859" s="502" t="s">
        <v>1381</v>
      </c>
      <c r="B859" s="434" t="s">
        <v>1300</v>
      </c>
      <c r="C859" s="430" t="s">
        <v>99</v>
      </c>
      <c r="D859" s="430" t="s">
        <v>410</v>
      </c>
      <c r="E859" s="474">
        <v>1</v>
      </c>
      <c r="F859" s="475">
        <f>'COMP AUX'!G38</f>
        <v>0.98</v>
      </c>
      <c r="G859" s="456">
        <f t="shared" si="42"/>
        <v>0.98</v>
      </c>
      <c r="H859" s="170"/>
    </row>
    <row r="860" spans="1:9" ht="33.75">
      <c r="A860" s="448">
        <v>95389</v>
      </c>
      <c r="B860" s="449" t="s">
        <v>1413</v>
      </c>
      <c r="C860" s="430" t="s">
        <v>117</v>
      </c>
      <c r="D860" s="430" t="s">
        <v>410</v>
      </c>
      <c r="E860" s="474">
        <v>1</v>
      </c>
      <c r="F860" s="475">
        <f>G900</f>
        <v>0.09</v>
      </c>
      <c r="G860" s="456">
        <f t="shared" si="42"/>
        <v>0.09</v>
      </c>
      <c r="H860" s="170"/>
    </row>
    <row r="861" spans="1:9" ht="14.1" customHeight="1">
      <c r="C861" s="173"/>
      <c r="D861" s="476"/>
      <c r="E861" s="437"/>
      <c r="F861" s="438" t="s">
        <v>103</v>
      </c>
      <c r="G861" s="456">
        <f>G854+G860</f>
        <v>10.58</v>
      </c>
      <c r="H861" s="170"/>
    </row>
    <row r="862" spans="1:9" ht="14.1" customHeight="1">
      <c r="C862" s="173"/>
      <c r="D862" s="216"/>
      <c r="E862" s="437"/>
      <c r="F862" s="438" t="s">
        <v>105</v>
      </c>
      <c r="G862" s="456">
        <f>SUM(G855:G859)</f>
        <v>4.12</v>
      </c>
      <c r="H862" s="170"/>
    </row>
    <row r="863" spans="1:9" ht="14.1" customHeight="1">
      <c r="A863" s="477"/>
      <c r="B863" s="215"/>
      <c r="C863" s="173"/>
      <c r="D863" s="463"/>
      <c r="E863" s="437"/>
      <c r="F863" s="438" t="s">
        <v>106</v>
      </c>
      <c r="G863" s="440">
        <f>SUM(G861:G862)</f>
        <v>14.7</v>
      </c>
      <c r="H863" s="170"/>
    </row>
    <row r="864" spans="1:9">
      <c r="A864" s="442"/>
      <c r="B864" s="443"/>
      <c r="C864" s="445"/>
      <c r="D864" s="442"/>
      <c r="E864" s="443"/>
      <c r="F864" s="443"/>
      <c r="G864" s="443"/>
      <c r="H864" s="442"/>
      <c r="I864" s="442"/>
    </row>
    <row r="866" spans="1:8">
      <c r="A866" s="170" t="s">
        <v>1369</v>
      </c>
      <c r="C866" s="173"/>
      <c r="D866" s="170"/>
      <c r="E866" s="193"/>
      <c r="H866" s="170"/>
    </row>
    <row r="867" spans="1:8">
      <c r="A867" s="170" t="s">
        <v>33</v>
      </c>
      <c r="B867" s="221" t="s">
        <v>1856</v>
      </c>
      <c r="C867" s="173"/>
      <c r="D867" s="170"/>
      <c r="E867" s="193"/>
      <c r="H867" s="170"/>
    </row>
    <row r="868" spans="1:8" ht="19.5" customHeight="1">
      <c r="A868" s="170" t="s">
        <v>80</v>
      </c>
      <c r="B868" s="1573" t="s">
        <v>1842</v>
      </c>
      <c r="C868" s="1573"/>
      <c r="D868" s="462" t="s">
        <v>410</v>
      </c>
      <c r="H868" s="170"/>
    </row>
    <row r="869" spans="1:8" ht="22.5">
      <c r="A869" s="515" t="s">
        <v>30</v>
      </c>
      <c r="B869" s="752" t="s">
        <v>19</v>
      </c>
      <c r="C869" s="430" t="s">
        <v>92</v>
      </c>
      <c r="D869" s="430" t="s">
        <v>88</v>
      </c>
      <c r="E869" s="739" t="s">
        <v>93</v>
      </c>
      <c r="F869" s="432" t="s">
        <v>94</v>
      </c>
      <c r="G869" s="469" t="s">
        <v>95</v>
      </c>
      <c r="H869" s="170"/>
    </row>
    <row r="870" spans="1:8" ht="15" customHeight="1">
      <c r="A870" s="741">
        <v>6160</v>
      </c>
      <c r="B870" s="449" t="s">
        <v>1857</v>
      </c>
      <c r="C870" s="430" t="s">
        <v>117</v>
      </c>
      <c r="D870" s="470" t="s">
        <v>410</v>
      </c>
      <c r="E870" s="471">
        <v>1</v>
      </c>
      <c r="F870" s="472">
        <f>14.68</f>
        <v>14.68</v>
      </c>
      <c r="G870" s="473">
        <f>TRUNC(E870*F870,2)</f>
        <v>14.68</v>
      </c>
      <c r="H870" s="170"/>
    </row>
    <row r="871" spans="1:8" ht="22.5">
      <c r="A871" s="751" t="s">
        <v>1372</v>
      </c>
      <c r="B871" s="752" t="s">
        <v>1373</v>
      </c>
      <c r="C871" s="430" t="s">
        <v>1374</v>
      </c>
      <c r="D871" s="430" t="s">
        <v>410</v>
      </c>
      <c r="E871" s="474">
        <v>1</v>
      </c>
      <c r="F871" s="475">
        <v>2.15</v>
      </c>
      <c r="G871" s="433">
        <f t="shared" ref="G871:G877" si="43">TRUNC(E871*F871,2)</f>
        <v>2.15</v>
      </c>
      <c r="H871" s="170"/>
    </row>
    <row r="872" spans="1:8" ht="22.5">
      <c r="A872" s="751" t="s">
        <v>1375</v>
      </c>
      <c r="B872" s="752" t="s">
        <v>1376</v>
      </c>
      <c r="C872" s="430" t="s">
        <v>1374</v>
      </c>
      <c r="D872" s="430" t="s">
        <v>410</v>
      </c>
      <c r="E872" s="474">
        <v>1</v>
      </c>
      <c r="F872" s="475">
        <v>0.6</v>
      </c>
      <c r="G872" s="456">
        <f t="shared" si="43"/>
        <v>0.6</v>
      </c>
      <c r="H872" s="170"/>
    </row>
    <row r="873" spans="1:8" ht="22.5">
      <c r="A873" s="751" t="s">
        <v>1377</v>
      </c>
      <c r="B873" s="752" t="s">
        <v>1378</v>
      </c>
      <c r="C873" s="430" t="s">
        <v>1374</v>
      </c>
      <c r="D873" s="430" t="s">
        <v>410</v>
      </c>
      <c r="E873" s="474">
        <v>1</v>
      </c>
      <c r="F873" s="475">
        <v>0.37</v>
      </c>
      <c r="G873" s="433">
        <f t="shared" si="43"/>
        <v>0.37</v>
      </c>
      <c r="H873" s="170"/>
    </row>
    <row r="874" spans="1:8" ht="22.5">
      <c r="A874" s="751" t="s">
        <v>1379</v>
      </c>
      <c r="B874" s="752" t="s">
        <v>1380</v>
      </c>
      <c r="C874" s="430" t="s">
        <v>1374</v>
      </c>
      <c r="D874" s="430" t="s">
        <v>410</v>
      </c>
      <c r="E874" s="474">
        <v>1</v>
      </c>
      <c r="F874" s="475">
        <v>0.02</v>
      </c>
      <c r="G874" s="433">
        <f t="shared" si="43"/>
        <v>0.02</v>
      </c>
      <c r="H874" s="170"/>
    </row>
    <row r="875" spans="1:8" ht="22.5">
      <c r="A875" s="751" t="s">
        <v>1553</v>
      </c>
      <c r="B875" s="752" t="s">
        <v>1261</v>
      </c>
      <c r="C875" s="430" t="s">
        <v>1374</v>
      </c>
      <c r="D875" s="430" t="s">
        <v>410</v>
      </c>
      <c r="E875" s="474">
        <v>1</v>
      </c>
      <c r="F875" s="475">
        <f>G22</f>
        <v>0.44000000000000006</v>
      </c>
      <c r="G875" s="433">
        <f t="shared" si="43"/>
        <v>0.44</v>
      </c>
      <c r="H875" s="170"/>
    </row>
    <row r="876" spans="1:8">
      <c r="A876" s="751" t="s">
        <v>1381</v>
      </c>
      <c r="B876" s="752" t="s">
        <v>1300</v>
      </c>
      <c r="C876" s="430" t="s">
        <v>99</v>
      </c>
      <c r="D876" s="430" t="s">
        <v>410</v>
      </c>
      <c r="E876" s="474">
        <v>1</v>
      </c>
      <c r="F876" s="475">
        <f>'COMP AUX'!G38</f>
        <v>0.98</v>
      </c>
      <c r="G876" s="456">
        <f t="shared" si="43"/>
        <v>0.98</v>
      </c>
      <c r="H876" s="170"/>
    </row>
    <row r="877" spans="1:8" ht="22.5">
      <c r="A877" s="741">
        <v>95379</v>
      </c>
      <c r="B877" s="449" t="s">
        <v>1858</v>
      </c>
      <c r="C877" s="430" t="s">
        <v>117</v>
      </c>
      <c r="D877" s="430" t="s">
        <v>410</v>
      </c>
      <c r="E877" s="474">
        <v>1</v>
      </c>
      <c r="F877" s="475">
        <f>G890</f>
        <v>0.13</v>
      </c>
      <c r="G877" s="456">
        <f t="shared" si="43"/>
        <v>0.13</v>
      </c>
      <c r="H877" s="170"/>
    </row>
    <row r="878" spans="1:8" ht="15" customHeight="1">
      <c r="C878" s="173"/>
      <c r="D878" s="476"/>
      <c r="E878" s="437"/>
      <c r="F878" s="438" t="s">
        <v>103</v>
      </c>
      <c r="G878" s="456">
        <f>G870+G877</f>
        <v>14.81</v>
      </c>
      <c r="H878" s="170"/>
    </row>
    <row r="879" spans="1:8" ht="15" customHeight="1">
      <c r="C879" s="173"/>
      <c r="D879" s="216"/>
      <c r="E879" s="437"/>
      <c r="F879" s="438" t="s">
        <v>105</v>
      </c>
      <c r="G879" s="456">
        <f>SUM(G871:G876)</f>
        <v>4.5600000000000005</v>
      </c>
      <c r="H879" s="170"/>
    </row>
    <row r="880" spans="1:8" ht="15" customHeight="1">
      <c r="A880" s="477"/>
      <c r="B880" s="215"/>
      <c r="C880" s="173"/>
      <c r="D880" s="463"/>
      <c r="E880" s="437"/>
      <c r="F880" s="438" t="s">
        <v>106</v>
      </c>
      <c r="G880" s="440">
        <f>SUM(G878:G879)</f>
        <v>19.37</v>
      </c>
      <c r="H880" s="170"/>
    </row>
    <row r="881" spans="1:8">
      <c r="A881" s="442"/>
      <c r="B881" s="443"/>
      <c r="C881" s="445"/>
      <c r="D881" s="442"/>
      <c r="E881" s="443"/>
      <c r="F881" s="443"/>
      <c r="G881" s="443"/>
      <c r="H881" s="442"/>
    </row>
    <row r="883" spans="1:8">
      <c r="A883" s="170" t="s">
        <v>1258</v>
      </c>
    </row>
    <row r="884" spans="1:8" ht="12" customHeight="1">
      <c r="A884" s="170" t="s">
        <v>1259</v>
      </c>
      <c r="B884" s="446" t="s">
        <v>1860</v>
      </c>
      <c r="C884" s="447"/>
    </row>
    <row r="885" spans="1:8" ht="27.75" customHeight="1">
      <c r="A885" s="170" t="s">
        <v>80</v>
      </c>
      <c r="B885" s="1429" t="s">
        <v>1858</v>
      </c>
      <c r="C885" s="1429"/>
      <c r="D885" s="724" t="s">
        <v>410</v>
      </c>
      <c r="E885" s="425" t="s">
        <v>2</v>
      </c>
      <c r="F885" s="425"/>
      <c r="G885" s="425"/>
    </row>
    <row r="886" spans="1:8" ht="22.5">
      <c r="A886" s="428" t="s">
        <v>30</v>
      </c>
      <c r="B886" s="429" t="s">
        <v>19</v>
      </c>
      <c r="C886" s="430" t="s">
        <v>92</v>
      </c>
      <c r="D886" s="430" t="s">
        <v>88</v>
      </c>
      <c r="E886" s="739" t="s">
        <v>93</v>
      </c>
      <c r="F886" s="432" t="s">
        <v>94</v>
      </c>
      <c r="G886" s="433" t="s">
        <v>95</v>
      </c>
    </row>
    <row r="887" spans="1:8" ht="15" customHeight="1">
      <c r="A887" s="741">
        <v>6160</v>
      </c>
      <c r="B887" s="449" t="s">
        <v>1859</v>
      </c>
      <c r="C887" s="450" t="s">
        <v>117</v>
      </c>
      <c r="D887" s="430" t="s">
        <v>410</v>
      </c>
      <c r="E887" s="451">
        <v>9.2999999999999992E-3</v>
      </c>
      <c r="F887" s="472">
        <f>14.68</f>
        <v>14.68</v>
      </c>
      <c r="G887" s="433">
        <f>TRUNC(E887*F887,2)</f>
        <v>0.13</v>
      </c>
    </row>
    <row r="888" spans="1:8" ht="15" customHeight="1">
      <c r="D888" s="436"/>
      <c r="E888" s="437"/>
      <c r="F888" s="438" t="s">
        <v>103</v>
      </c>
      <c r="G888" s="433">
        <f>G887</f>
        <v>0.13</v>
      </c>
    </row>
    <row r="889" spans="1:8" ht="15" customHeight="1">
      <c r="D889" s="436"/>
      <c r="E889" s="437"/>
      <c r="F889" s="438" t="s">
        <v>105</v>
      </c>
      <c r="G889" s="433"/>
    </row>
    <row r="890" spans="1:8" ht="15" customHeight="1">
      <c r="A890" s="439"/>
      <c r="D890" s="436"/>
      <c r="E890" s="437"/>
      <c r="F890" s="438" t="s">
        <v>106</v>
      </c>
      <c r="G890" s="440">
        <f>SUM(G888:G889)</f>
        <v>0.13</v>
      </c>
      <c r="H890" s="441"/>
    </row>
    <row r="891" spans="1:8">
      <c r="A891" s="442"/>
      <c r="B891" s="443"/>
      <c r="C891" s="444"/>
      <c r="D891" s="445"/>
      <c r="E891" s="442"/>
      <c r="F891" s="443"/>
      <c r="G891" s="443"/>
      <c r="H891" s="443"/>
    </row>
    <row r="893" spans="1:8">
      <c r="A893" s="170" t="s">
        <v>1258</v>
      </c>
    </row>
    <row r="894" spans="1:8">
      <c r="A894" s="170" t="s">
        <v>1259</v>
      </c>
      <c r="B894" s="446" t="s">
        <v>1414</v>
      </c>
      <c r="C894" s="447"/>
    </row>
    <row r="895" spans="1:8" ht="33" customHeight="1">
      <c r="A895" s="170" t="s">
        <v>80</v>
      </c>
      <c r="B895" s="1429" t="s">
        <v>1413</v>
      </c>
      <c r="C895" s="1429"/>
      <c r="D895" s="724" t="s">
        <v>410</v>
      </c>
      <c r="E895" s="425" t="s">
        <v>2</v>
      </c>
      <c r="F895" s="425"/>
      <c r="G895" s="425"/>
    </row>
    <row r="896" spans="1:8" ht="22.5">
      <c r="A896" s="428" t="s">
        <v>30</v>
      </c>
      <c r="B896" s="429" t="s">
        <v>19</v>
      </c>
      <c r="C896" s="430" t="s">
        <v>92</v>
      </c>
      <c r="D896" s="430" t="s">
        <v>88</v>
      </c>
      <c r="E896" s="431" t="s">
        <v>93</v>
      </c>
      <c r="F896" s="432" t="s">
        <v>94</v>
      </c>
      <c r="G896" s="433" t="s">
        <v>95</v>
      </c>
    </row>
    <row r="897" spans="1:9" ht="22.5">
      <c r="A897" s="448">
        <v>37666</v>
      </c>
      <c r="B897" s="449" t="s">
        <v>1412</v>
      </c>
      <c r="C897" s="450" t="s">
        <v>117</v>
      </c>
      <c r="D897" s="430" t="s">
        <v>410</v>
      </c>
      <c r="E897" s="451">
        <v>9.2999999999999992E-3</v>
      </c>
      <c r="F897" s="472">
        <f>10.49</f>
        <v>10.49</v>
      </c>
      <c r="G897" s="433">
        <f>TRUNC(E897*F897,2)</f>
        <v>0.09</v>
      </c>
    </row>
    <row r="898" spans="1:9" ht="14.1" customHeight="1">
      <c r="D898" s="436"/>
      <c r="E898" s="437"/>
      <c r="F898" s="438" t="s">
        <v>103</v>
      </c>
      <c r="G898" s="433">
        <f>G897</f>
        <v>0.09</v>
      </c>
    </row>
    <row r="899" spans="1:9" ht="14.1" customHeight="1">
      <c r="D899" s="436"/>
      <c r="E899" s="437"/>
      <c r="F899" s="438" t="s">
        <v>105</v>
      </c>
      <c r="G899" s="433"/>
    </row>
    <row r="900" spans="1:9" ht="14.1" customHeight="1">
      <c r="A900" s="439"/>
      <c r="D900" s="436"/>
      <c r="E900" s="437"/>
      <c r="F900" s="438" t="s">
        <v>106</v>
      </c>
      <c r="G900" s="440">
        <f>SUM(G898:G899)</f>
        <v>0.09</v>
      </c>
      <c r="H900" s="441"/>
    </row>
    <row r="901" spans="1:9">
      <c r="A901" s="442"/>
      <c r="B901" s="443"/>
      <c r="C901" s="444"/>
      <c r="D901" s="445"/>
      <c r="E901" s="442"/>
      <c r="F901" s="443"/>
      <c r="G901" s="443"/>
      <c r="H901" s="443"/>
      <c r="I901" s="442"/>
    </row>
    <row r="903" spans="1:9">
      <c r="A903" s="170" t="s">
        <v>1258</v>
      </c>
    </row>
    <row r="904" spans="1:9">
      <c r="A904" s="170" t="s">
        <v>1259</v>
      </c>
      <c r="B904" s="220" t="s">
        <v>1415</v>
      </c>
      <c r="C904" s="426"/>
    </row>
    <row r="905" spans="1:9" ht="40.5" customHeight="1">
      <c r="A905" s="170" t="s">
        <v>80</v>
      </c>
      <c r="B905" s="1429" t="s">
        <v>1416</v>
      </c>
      <c r="C905" s="1429"/>
      <c r="D905" s="1429"/>
      <c r="E905" s="222" t="s">
        <v>1359</v>
      </c>
      <c r="F905" s="425"/>
      <c r="G905" s="425"/>
    </row>
    <row r="906" spans="1:9" ht="22.5">
      <c r="A906" s="428" t="s">
        <v>30</v>
      </c>
      <c r="B906" s="429" t="s">
        <v>19</v>
      </c>
      <c r="C906" s="430" t="s">
        <v>92</v>
      </c>
      <c r="D906" s="430" t="s">
        <v>88</v>
      </c>
      <c r="E906" s="431" t="s">
        <v>93</v>
      </c>
      <c r="F906" s="432" t="s">
        <v>94</v>
      </c>
      <c r="G906" s="433" t="s">
        <v>95</v>
      </c>
    </row>
    <row r="907" spans="1:9" ht="50.1" customHeight="1">
      <c r="A907" s="487" t="s">
        <v>1417</v>
      </c>
      <c r="B907" s="488" t="s">
        <v>1418</v>
      </c>
      <c r="C907" s="489" t="s">
        <v>1342</v>
      </c>
      <c r="D907" s="490" t="s">
        <v>410</v>
      </c>
      <c r="E907" s="491">
        <v>1</v>
      </c>
      <c r="F907" s="492">
        <f>G923</f>
        <v>0.89</v>
      </c>
      <c r="G907" s="493">
        <f t="shared" ref="G907:G910" si="44">TRUNC(E907*F907,2)</f>
        <v>0.89</v>
      </c>
    </row>
    <row r="908" spans="1:9" ht="50.1" customHeight="1">
      <c r="A908" s="494" t="s">
        <v>1419</v>
      </c>
      <c r="B908" s="434" t="s">
        <v>1420</v>
      </c>
      <c r="C908" s="433" t="s">
        <v>1342</v>
      </c>
      <c r="D908" s="430" t="s">
        <v>410</v>
      </c>
      <c r="E908" s="495">
        <v>1</v>
      </c>
      <c r="F908" s="435">
        <f>G933</f>
        <v>0.2</v>
      </c>
      <c r="G908" s="493">
        <f t="shared" si="44"/>
        <v>0.2</v>
      </c>
    </row>
    <row r="909" spans="1:9" ht="50.1" customHeight="1">
      <c r="A909" s="428" t="s">
        <v>1421</v>
      </c>
      <c r="B909" s="434" t="s">
        <v>1422</v>
      </c>
      <c r="C909" s="431" t="s">
        <v>1342</v>
      </c>
      <c r="D909" s="430" t="s">
        <v>410</v>
      </c>
      <c r="E909" s="455">
        <v>1</v>
      </c>
      <c r="F909" s="435">
        <f>G943</f>
        <v>0.84</v>
      </c>
      <c r="G909" s="493">
        <f t="shared" si="44"/>
        <v>0.84</v>
      </c>
    </row>
    <row r="910" spans="1:9" ht="50.1" customHeight="1">
      <c r="A910" s="428" t="s">
        <v>1423</v>
      </c>
      <c r="B910" s="434" t="s">
        <v>1424</v>
      </c>
      <c r="C910" s="431" t="s">
        <v>1342</v>
      </c>
      <c r="D910" s="430" t="s">
        <v>410</v>
      </c>
      <c r="E910" s="455">
        <v>1</v>
      </c>
      <c r="F910" s="435">
        <f>G953</f>
        <v>1.17</v>
      </c>
      <c r="G910" s="456">
        <f t="shared" si="44"/>
        <v>1.17</v>
      </c>
    </row>
    <row r="911" spans="1:9" ht="14.1" customHeight="1">
      <c r="D911" s="463"/>
      <c r="E911" s="464"/>
      <c r="F911" s="465" t="s">
        <v>103</v>
      </c>
      <c r="G911" s="466"/>
    </row>
    <row r="912" spans="1:9" ht="14.1" customHeight="1">
      <c r="A912" s="439"/>
      <c r="D912" s="436"/>
      <c r="E912" s="437"/>
      <c r="F912" s="438" t="s">
        <v>105</v>
      </c>
      <c r="G912" s="456">
        <f>SUM(G907:G910)</f>
        <v>3.1</v>
      </c>
      <c r="H912" s="421"/>
    </row>
    <row r="913" spans="1:9" ht="14.1" customHeight="1">
      <c r="A913" s="439"/>
      <c r="D913" s="216"/>
      <c r="E913" s="171"/>
      <c r="F913" s="438" t="s">
        <v>106</v>
      </c>
      <c r="G913" s="457">
        <f>SUM(G911:G912)</f>
        <v>3.1</v>
      </c>
      <c r="H913" s="441"/>
    </row>
    <row r="914" spans="1:9">
      <c r="A914" s="442"/>
      <c r="B914" s="443"/>
      <c r="C914" s="444"/>
      <c r="D914" s="445"/>
      <c r="E914" s="442"/>
      <c r="F914" s="443"/>
      <c r="G914" s="443"/>
      <c r="H914" s="443"/>
      <c r="I914" s="442"/>
    </row>
    <row r="916" spans="1:9">
      <c r="A916" s="170" t="s">
        <v>1258</v>
      </c>
    </row>
    <row r="917" spans="1:9">
      <c r="A917" s="170" t="s">
        <v>1259</v>
      </c>
      <c r="B917" s="220" t="s">
        <v>1425</v>
      </c>
      <c r="C917" s="426"/>
    </row>
    <row r="918" spans="1:9" ht="35.25" customHeight="1">
      <c r="A918" s="170" t="s">
        <v>80</v>
      </c>
      <c r="B918" s="1429" t="s">
        <v>1418</v>
      </c>
      <c r="C918" s="1429"/>
      <c r="D918" s="1429"/>
      <c r="E918" s="222" t="s">
        <v>410</v>
      </c>
      <c r="F918" s="425"/>
      <c r="G918" s="425"/>
    </row>
    <row r="919" spans="1:9" ht="22.5">
      <c r="A919" s="428" t="s">
        <v>30</v>
      </c>
      <c r="B919" s="429" t="s">
        <v>19</v>
      </c>
      <c r="C919" s="430" t="s">
        <v>92</v>
      </c>
      <c r="D919" s="430" t="s">
        <v>88</v>
      </c>
      <c r="E919" s="431" t="s">
        <v>93</v>
      </c>
      <c r="F919" s="432" t="s">
        <v>94</v>
      </c>
      <c r="G919" s="433" t="s">
        <v>95</v>
      </c>
    </row>
    <row r="920" spans="1:9" ht="39.75" customHeight="1">
      <c r="A920" s="494">
        <v>36397</v>
      </c>
      <c r="B920" s="496" t="s">
        <v>1426</v>
      </c>
      <c r="C920" s="433" t="s">
        <v>1342</v>
      </c>
      <c r="D920" s="430" t="s">
        <v>410</v>
      </c>
      <c r="E920" s="497">
        <v>6.3999999999999997E-5</v>
      </c>
      <c r="F920" s="459">
        <v>14040.97</v>
      </c>
      <c r="G920" s="456">
        <f t="shared" ref="G920" si="45">TRUNC(E920*F920,2)</f>
        <v>0.89</v>
      </c>
    </row>
    <row r="921" spans="1:9" ht="14.1" customHeight="1">
      <c r="D921" s="463"/>
      <c r="E921" s="464"/>
      <c r="F921" s="465" t="s">
        <v>103</v>
      </c>
      <c r="G921" s="466">
        <v>0</v>
      </c>
    </row>
    <row r="922" spans="1:9" ht="14.1" customHeight="1">
      <c r="A922" s="439"/>
      <c r="D922" s="436"/>
      <c r="E922" s="437"/>
      <c r="F922" s="438" t="s">
        <v>105</v>
      </c>
      <c r="G922" s="456">
        <f>G920</f>
        <v>0.89</v>
      </c>
      <c r="H922" s="421"/>
    </row>
    <row r="923" spans="1:9" ht="14.1" customHeight="1">
      <c r="A923" s="439"/>
      <c r="D923" s="216"/>
      <c r="E923" s="171"/>
      <c r="F923" s="438" t="s">
        <v>106</v>
      </c>
      <c r="G923" s="457">
        <f>SUM(G921:G922)</f>
        <v>0.89</v>
      </c>
      <c r="H923" s="441"/>
    </row>
    <row r="924" spans="1:9" ht="14.1" customHeight="1">
      <c r="A924" s="442"/>
      <c r="B924" s="443"/>
      <c r="C924" s="444"/>
      <c r="D924" s="445"/>
      <c r="E924" s="442"/>
      <c r="F924" s="443"/>
      <c r="G924" s="443"/>
      <c r="H924" s="443"/>
      <c r="I924" s="442"/>
    </row>
    <row r="926" spans="1:9">
      <c r="A926" s="170" t="s">
        <v>1258</v>
      </c>
    </row>
    <row r="927" spans="1:9">
      <c r="A927" s="170" t="s">
        <v>1259</v>
      </c>
      <c r="B927" s="220" t="s">
        <v>1427</v>
      </c>
      <c r="C927" s="426"/>
    </row>
    <row r="928" spans="1:9" ht="28.5" customHeight="1">
      <c r="A928" s="170" t="s">
        <v>80</v>
      </c>
      <c r="B928" s="1429" t="s">
        <v>1428</v>
      </c>
      <c r="C928" s="1429"/>
      <c r="D928" s="1429"/>
      <c r="E928" s="222" t="s">
        <v>410</v>
      </c>
      <c r="F928" s="425"/>
      <c r="G928" s="425"/>
    </row>
    <row r="929" spans="1:9" ht="22.5">
      <c r="A929" s="428" t="s">
        <v>30</v>
      </c>
      <c r="B929" s="429" t="s">
        <v>19</v>
      </c>
      <c r="C929" s="430" t="s">
        <v>92</v>
      </c>
      <c r="D929" s="430" t="s">
        <v>88</v>
      </c>
      <c r="E929" s="431" t="s">
        <v>93</v>
      </c>
      <c r="F929" s="432" t="s">
        <v>94</v>
      </c>
      <c r="G929" s="433" t="s">
        <v>95</v>
      </c>
    </row>
    <row r="930" spans="1:9" ht="45">
      <c r="A930" s="494">
        <v>36397</v>
      </c>
      <c r="B930" s="496" t="s">
        <v>1426</v>
      </c>
      <c r="C930" s="433" t="s">
        <v>1342</v>
      </c>
      <c r="D930" s="430" t="s">
        <v>410</v>
      </c>
      <c r="E930" s="497">
        <v>1.4399999999999999E-5</v>
      </c>
      <c r="F930" s="459">
        <v>14040.97</v>
      </c>
      <c r="G930" s="456">
        <f t="shared" ref="G930" si="46">TRUNC(E930*F930,2)</f>
        <v>0.2</v>
      </c>
    </row>
    <row r="931" spans="1:9" ht="14.1" customHeight="1">
      <c r="D931" s="463"/>
      <c r="E931" s="464"/>
      <c r="F931" s="465" t="s">
        <v>103</v>
      </c>
      <c r="G931" s="466">
        <v>0</v>
      </c>
    </row>
    <row r="932" spans="1:9" ht="14.1" customHeight="1">
      <c r="A932" s="439"/>
      <c r="D932" s="436"/>
      <c r="E932" s="437"/>
      <c r="F932" s="438" t="s">
        <v>105</v>
      </c>
      <c r="G932" s="456">
        <f>G930</f>
        <v>0.2</v>
      </c>
      <c r="H932" s="421"/>
    </row>
    <row r="933" spans="1:9" ht="14.1" customHeight="1">
      <c r="A933" s="439"/>
      <c r="D933" s="216"/>
      <c r="E933" s="171"/>
      <c r="F933" s="438" t="s">
        <v>106</v>
      </c>
      <c r="G933" s="457">
        <f>SUM(G931:G932)</f>
        <v>0.2</v>
      </c>
      <c r="H933" s="441"/>
    </row>
    <row r="934" spans="1:9">
      <c r="A934" s="442"/>
      <c r="B934" s="443"/>
      <c r="C934" s="444"/>
      <c r="D934" s="445"/>
      <c r="E934" s="442"/>
      <c r="F934" s="443"/>
      <c r="G934" s="443"/>
      <c r="H934" s="443"/>
      <c r="I934" s="442"/>
    </row>
    <row r="936" spans="1:9">
      <c r="A936" s="170" t="s">
        <v>1258</v>
      </c>
    </row>
    <row r="937" spans="1:9">
      <c r="A937" s="170" t="s">
        <v>1259</v>
      </c>
      <c r="B937" s="220" t="s">
        <v>1429</v>
      </c>
      <c r="C937" s="426"/>
    </row>
    <row r="938" spans="1:9" ht="36.75" customHeight="1">
      <c r="A938" s="170" t="s">
        <v>80</v>
      </c>
      <c r="B938" s="1429" t="s">
        <v>1430</v>
      </c>
      <c r="C938" s="1429"/>
      <c r="D938" s="1429"/>
      <c r="E938" s="222" t="s">
        <v>410</v>
      </c>
      <c r="F938" s="425"/>
      <c r="G938" s="425"/>
    </row>
    <row r="939" spans="1:9" ht="22.5">
      <c r="A939" s="428" t="s">
        <v>30</v>
      </c>
      <c r="B939" s="429" t="s">
        <v>19</v>
      </c>
      <c r="C939" s="430" t="s">
        <v>92</v>
      </c>
      <c r="D939" s="430" t="s">
        <v>88</v>
      </c>
      <c r="E939" s="431" t="s">
        <v>93</v>
      </c>
      <c r="F939" s="432" t="s">
        <v>94</v>
      </c>
      <c r="G939" s="433" t="s">
        <v>95</v>
      </c>
    </row>
    <row r="940" spans="1:9" ht="45">
      <c r="A940" s="494">
        <v>36397</v>
      </c>
      <c r="B940" s="496" t="s">
        <v>1426</v>
      </c>
      <c r="C940" s="433" t="s">
        <v>1342</v>
      </c>
      <c r="D940" s="430" t="s">
        <v>410</v>
      </c>
      <c r="E940" s="497">
        <v>6.0000000000000002E-5</v>
      </c>
      <c r="F940" s="459">
        <v>14040.97</v>
      </c>
      <c r="G940" s="456">
        <f t="shared" ref="G940" si="47">TRUNC(E940*F940,2)</f>
        <v>0.84</v>
      </c>
    </row>
    <row r="941" spans="1:9" ht="14.1" customHeight="1">
      <c r="D941" s="463"/>
      <c r="E941" s="464"/>
      <c r="F941" s="465" t="s">
        <v>103</v>
      </c>
      <c r="G941" s="466">
        <v>0</v>
      </c>
    </row>
    <row r="942" spans="1:9" ht="14.1" customHeight="1">
      <c r="A942" s="439"/>
      <c r="D942" s="436"/>
      <c r="E942" s="437"/>
      <c r="F942" s="438" t="s">
        <v>105</v>
      </c>
      <c r="G942" s="456">
        <f>G940</f>
        <v>0.84</v>
      </c>
      <c r="H942" s="421"/>
    </row>
    <row r="943" spans="1:9" ht="14.1" customHeight="1">
      <c r="A943" s="439"/>
      <c r="D943" s="216"/>
      <c r="E943" s="171"/>
      <c r="F943" s="438" t="s">
        <v>106</v>
      </c>
      <c r="G943" s="457">
        <f>SUM(G941:G942)</f>
        <v>0.84</v>
      </c>
      <c r="H943" s="441"/>
    </row>
    <row r="944" spans="1:9">
      <c r="A944" s="442"/>
      <c r="B944" s="443"/>
      <c r="C944" s="444"/>
      <c r="D944" s="445"/>
      <c r="E944" s="442"/>
      <c r="F944" s="443"/>
      <c r="G944" s="443"/>
      <c r="H944" s="443"/>
      <c r="I944" s="442"/>
    </row>
    <row r="946" spans="1:9">
      <c r="A946" s="170" t="s">
        <v>1258</v>
      </c>
    </row>
    <row r="947" spans="1:9">
      <c r="A947" s="170" t="s">
        <v>1259</v>
      </c>
      <c r="B947" s="220" t="s">
        <v>1431</v>
      </c>
      <c r="C947" s="426"/>
    </row>
    <row r="948" spans="1:9" ht="39.75" customHeight="1">
      <c r="A948" s="170" t="s">
        <v>80</v>
      </c>
      <c r="B948" s="1429" t="s">
        <v>1432</v>
      </c>
      <c r="C948" s="1429"/>
      <c r="D948" s="1429"/>
      <c r="E948" s="222" t="s">
        <v>410</v>
      </c>
      <c r="F948" s="425"/>
      <c r="G948" s="425"/>
    </row>
    <row r="949" spans="1:9" ht="22.5">
      <c r="A949" s="428" t="s">
        <v>30</v>
      </c>
      <c r="B949" s="429" t="s">
        <v>19</v>
      </c>
      <c r="C949" s="430" t="s">
        <v>92</v>
      </c>
      <c r="D949" s="430" t="s">
        <v>88</v>
      </c>
      <c r="E949" s="431" t="s">
        <v>93</v>
      </c>
      <c r="F949" s="432" t="s">
        <v>94</v>
      </c>
      <c r="G949" s="433" t="s">
        <v>95</v>
      </c>
    </row>
    <row r="950" spans="1:9" ht="22.5">
      <c r="A950" s="494" t="s">
        <v>1433</v>
      </c>
      <c r="B950" s="496" t="s">
        <v>1434</v>
      </c>
      <c r="C950" s="433" t="s">
        <v>99</v>
      </c>
      <c r="D950" s="430" t="s">
        <v>1435</v>
      </c>
      <c r="E950" s="495">
        <v>2.5</v>
      </c>
      <c r="F950" s="459">
        <v>0.47</v>
      </c>
      <c r="G950" s="456">
        <f t="shared" ref="G950" si="48">TRUNC(E950*F950,2)</f>
        <v>1.17</v>
      </c>
    </row>
    <row r="951" spans="1:9" ht="14.1" customHeight="1">
      <c r="D951" s="463"/>
      <c r="E951" s="464"/>
      <c r="F951" s="465" t="s">
        <v>103</v>
      </c>
      <c r="G951" s="466">
        <v>0</v>
      </c>
    </row>
    <row r="952" spans="1:9" ht="14.1" customHeight="1">
      <c r="A952" s="439"/>
      <c r="D952" s="436"/>
      <c r="E952" s="437"/>
      <c r="F952" s="438" t="s">
        <v>105</v>
      </c>
      <c r="G952" s="456">
        <f>G950</f>
        <v>1.17</v>
      </c>
      <c r="H952" s="421"/>
    </row>
    <row r="953" spans="1:9" ht="14.1" customHeight="1">
      <c r="A953" s="439"/>
      <c r="D953" s="216"/>
      <c r="E953" s="171"/>
      <c r="F953" s="438" t="s">
        <v>106</v>
      </c>
      <c r="G953" s="457">
        <f>SUM(G951:G952)</f>
        <v>1.17</v>
      </c>
      <c r="H953" s="441"/>
    </row>
    <row r="954" spans="1:9">
      <c r="A954" s="442"/>
      <c r="B954" s="443"/>
      <c r="C954" s="444"/>
      <c r="D954" s="445"/>
      <c r="E954" s="442"/>
      <c r="F954" s="443"/>
      <c r="G954" s="443"/>
      <c r="H954" s="443"/>
      <c r="I954" s="442"/>
    </row>
    <row r="956" spans="1:9">
      <c r="A956" s="170" t="s">
        <v>1258</v>
      </c>
    </row>
    <row r="957" spans="1:9">
      <c r="A957" s="170" t="s">
        <v>1259</v>
      </c>
      <c r="B957" s="220" t="s">
        <v>1436</v>
      </c>
      <c r="C957" s="426"/>
    </row>
    <row r="958" spans="1:9" ht="37.5" customHeight="1">
      <c r="A958" s="170" t="s">
        <v>80</v>
      </c>
      <c r="B958" s="1429" t="s">
        <v>1437</v>
      </c>
      <c r="C958" s="1429"/>
      <c r="D958" s="1429"/>
      <c r="E958" s="222" t="s">
        <v>1338</v>
      </c>
      <c r="F958" s="425"/>
      <c r="G958" s="425"/>
    </row>
    <row r="959" spans="1:9" ht="22.5">
      <c r="A959" s="428" t="s">
        <v>30</v>
      </c>
      <c r="B959" s="429" t="s">
        <v>19</v>
      </c>
      <c r="C959" s="430" t="s">
        <v>92</v>
      </c>
      <c r="D959" s="430" t="s">
        <v>88</v>
      </c>
      <c r="E959" s="431" t="s">
        <v>93</v>
      </c>
      <c r="F959" s="432" t="s">
        <v>94</v>
      </c>
      <c r="G959" s="433" t="s">
        <v>95</v>
      </c>
    </row>
    <row r="960" spans="1:9" ht="45">
      <c r="A960" s="487" t="s">
        <v>1417</v>
      </c>
      <c r="B960" s="488" t="s">
        <v>1418</v>
      </c>
      <c r="C960" s="489" t="s">
        <v>1342</v>
      </c>
      <c r="D960" s="490" t="s">
        <v>410</v>
      </c>
      <c r="E960" s="491">
        <v>1</v>
      </c>
      <c r="F960" s="492">
        <f>G923</f>
        <v>0.89</v>
      </c>
      <c r="G960" s="493">
        <f t="shared" ref="G960:G961" si="49">TRUNC(E960*F960,2)</f>
        <v>0.89</v>
      </c>
    </row>
    <row r="961" spans="1:9" ht="45">
      <c r="A961" s="494" t="s">
        <v>1419</v>
      </c>
      <c r="B961" s="434" t="s">
        <v>1420</v>
      </c>
      <c r="C961" s="433" t="s">
        <v>1342</v>
      </c>
      <c r="D961" s="430" t="s">
        <v>410</v>
      </c>
      <c r="E961" s="495">
        <v>1</v>
      </c>
      <c r="F961" s="435">
        <f>G933</f>
        <v>0.2</v>
      </c>
      <c r="G961" s="493">
        <f t="shared" si="49"/>
        <v>0.2</v>
      </c>
    </row>
    <row r="962" spans="1:9" ht="14.1" customHeight="1">
      <c r="D962" s="463"/>
      <c r="E962" s="464"/>
      <c r="F962" s="465" t="s">
        <v>103</v>
      </c>
      <c r="G962" s="456"/>
    </row>
    <row r="963" spans="1:9" ht="14.1" customHeight="1">
      <c r="A963" s="439"/>
      <c r="D963" s="436"/>
      <c r="E963" s="437"/>
      <c r="F963" s="438" t="s">
        <v>105</v>
      </c>
      <c r="G963" s="456">
        <f>SUM(G960:G961)</f>
        <v>1.0900000000000001</v>
      </c>
      <c r="H963" s="421"/>
    </row>
    <row r="964" spans="1:9" ht="14.1" customHeight="1">
      <c r="A964" s="439"/>
      <c r="D964" s="216"/>
      <c r="E964" s="171"/>
      <c r="F964" s="438" t="s">
        <v>106</v>
      </c>
      <c r="G964" s="457">
        <f>SUM(G962:G963)</f>
        <v>1.0900000000000001</v>
      </c>
      <c r="H964" s="441"/>
    </row>
    <row r="965" spans="1:9">
      <c r="A965" s="442"/>
      <c r="B965" s="443"/>
      <c r="C965" s="444"/>
      <c r="D965" s="445"/>
      <c r="E965" s="442"/>
      <c r="F965" s="443"/>
      <c r="G965" s="443"/>
      <c r="H965" s="443"/>
      <c r="I965" s="442"/>
    </row>
    <row r="966" spans="1:9">
      <c r="A966" s="424"/>
      <c r="B966" s="421"/>
      <c r="C966" s="422"/>
      <c r="D966" s="423"/>
      <c r="E966" s="424"/>
      <c r="F966" s="421"/>
      <c r="G966" s="421"/>
      <c r="H966" s="421"/>
      <c r="I966" s="424"/>
    </row>
    <row r="967" spans="1:9">
      <c r="A967" s="170" t="s">
        <v>1258</v>
      </c>
    </row>
    <row r="968" spans="1:9">
      <c r="A968" s="170" t="s">
        <v>1259</v>
      </c>
      <c r="B968" s="220" t="s">
        <v>1438</v>
      </c>
      <c r="C968" s="426"/>
    </row>
    <row r="969" spans="1:9" ht="28.5" customHeight="1">
      <c r="A969" s="170" t="s">
        <v>80</v>
      </c>
      <c r="B969" s="1429" t="s">
        <v>1439</v>
      </c>
      <c r="C969" s="1429"/>
      <c r="D969" s="1429"/>
      <c r="E969" s="222" t="s">
        <v>1359</v>
      </c>
      <c r="F969" s="425"/>
      <c r="G969" s="425"/>
    </row>
    <row r="970" spans="1:9" ht="22.5">
      <c r="A970" s="428" t="s">
        <v>30</v>
      </c>
      <c r="B970" s="429" t="s">
        <v>19</v>
      </c>
      <c r="C970" s="430" t="s">
        <v>92</v>
      </c>
      <c r="D970" s="430" t="s">
        <v>88</v>
      </c>
      <c r="E970" s="431" t="s">
        <v>93</v>
      </c>
      <c r="F970" s="432" t="s">
        <v>94</v>
      </c>
      <c r="G970" s="433" t="s">
        <v>95</v>
      </c>
    </row>
    <row r="971" spans="1:9" ht="14.1" customHeight="1">
      <c r="A971" s="1470" t="s">
        <v>1440</v>
      </c>
      <c r="B971" s="1416" t="s">
        <v>1360</v>
      </c>
      <c r="C971" s="498" t="s">
        <v>117</v>
      </c>
      <c r="D971" s="1574" t="s">
        <v>410</v>
      </c>
      <c r="E971" s="1578">
        <v>1</v>
      </c>
      <c r="F971" s="492">
        <f>G669</f>
        <v>11.29</v>
      </c>
      <c r="G971" s="489">
        <f>TRUNC(E971*F971,2)</f>
        <v>11.29</v>
      </c>
    </row>
    <row r="972" spans="1:9" ht="14.1" customHeight="1">
      <c r="A972" s="1536"/>
      <c r="B972" s="1417"/>
      <c r="C972" s="489" t="s">
        <v>99</v>
      </c>
      <c r="D972" s="1575"/>
      <c r="E972" s="1579"/>
      <c r="F972" s="492">
        <f>G670</f>
        <v>4.12</v>
      </c>
      <c r="G972" s="493">
        <f>TRUNC(E971*F972,2)</f>
        <v>4.12</v>
      </c>
    </row>
    <row r="973" spans="1:9" ht="33.75">
      <c r="A973" s="487" t="s">
        <v>1441</v>
      </c>
      <c r="B973" s="488" t="s">
        <v>1442</v>
      </c>
      <c r="C973" s="489" t="s">
        <v>1342</v>
      </c>
      <c r="D973" s="490" t="s">
        <v>410</v>
      </c>
      <c r="E973" s="491">
        <v>1</v>
      </c>
      <c r="F973" s="492">
        <f>G989</f>
        <v>0.05</v>
      </c>
      <c r="G973" s="493">
        <f t="shared" ref="G973:G976" si="50">TRUNC(E973*F973,2)</f>
        <v>0.05</v>
      </c>
    </row>
    <row r="974" spans="1:9" ht="33.75">
      <c r="A974" s="487" t="s">
        <v>1443</v>
      </c>
      <c r="B974" s="488" t="s">
        <v>1444</v>
      </c>
      <c r="C974" s="489" t="s">
        <v>1342</v>
      </c>
      <c r="D974" s="490" t="s">
        <v>410</v>
      </c>
      <c r="E974" s="491">
        <v>1</v>
      </c>
      <c r="F974" s="492">
        <f>G999</f>
        <v>0.01</v>
      </c>
      <c r="G974" s="493">
        <f t="shared" si="50"/>
        <v>0.01</v>
      </c>
    </row>
    <row r="975" spans="1:9" ht="33.75">
      <c r="A975" s="487" t="s">
        <v>1445</v>
      </c>
      <c r="B975" s="488" t="s">
        <v>1446</v>
      </c>
      <c r="C975" s="489" t="s">
        <v>1342</v>
      </c>
      <c r="D975" s="490" t="s">
        <v>410</v>
      </c>
      <c r="E975" s="491">
        <v>1</v>
      </c>
      <c r="F975" s="492">
        <f>G1009</f>
        <v>0.04</v>
      </c>
      <c r="G975" s="493">
        <f t="shared" si="50"/>
        <v>0.04</v>
      </c>
    </row>
    <row r="976" spans="1:9" ht="33.75">
      <c r="A976" s="494" t="s">
        <v>1447</v>
      </c>
      <c r="B976" s="434" t="s">
        <v>1448</v>
      </c>
      <c r="C976" s="433" t="s">
        <v>1342</v>
      </c>
      <c r="D976" s="430" t="s">
        <v>410</v>
      </c>
      <c r="E976" s="495">
        <v>1</v>
      </c>
      <c r="F976" s="435">
        <f>G1019</f>
        <v>1.48</v>
      </c>
      <c r="G976" s="493">
        <f t="shared" si="50"/>
        <v>1.48</v>
      </c>
    </row>
    <row r="977" spans="1:9">
      <c r="D977" s="463"/>
      <c r="E977" s="464"/>
      <c r="F977" s="465" t="s">
        <v>103</v>
      </c>
      <c r="G977" s="456">
        <f>G971</f>
        <v>11.29</v>
      </c>
    </row>
    <row r="978" spans="1:9">
      <c r="A978" s="439"/>
      <c r="D978" s="436"/>
      <c r="E978" s="437"/>
      <c r="F978" s="438" t="s">
        <v>105</v>
      </c>
      <c r="G978" s="456">
        <f>SUM(G972:G976)</f>
        <v>5.6999999999999993</v>
      </c>
      <c r="H978" s="421"/>
    </row>
    <row r="979" spans="1:9">
      <c r="A979" s="439"/>
      <c r="D979" s="216"/>
      <c r="E979" s="171"/>
      <c r="F979" s="438" t="s">
        <v>106</v>
      </c>
      <c r="G979" s="457">
        <f>SUM(G977:G978)</f>
        <v>16.989999999999998</v>
      </c>
      <c r="H979" s="441"/>
    </row>
    <row r="980" spans="1:9">
      <c r="A980" s="442"/>
      <c r="B980" s="443"/>
      <c r="C980" s="444"/>
      <c r="D980" s="445"/>
      <c r="E980" s="442"/>
      <c r="F980" s="443"/>
      <c r="G980" s="443"/>
      <c r="H980" s="443"/>
      <c r="I980" s="442"/>
    </row>
    <row r="981" spans="1:9">
      <c r="A981" s="424"/>
      <c r="B981" s="421"/>
      <c r="C981" s="422"/>
      <c r="D981" s="423"/>
      <c r="E981" s="424"/>
      <c r="F981" s="421"/>
      <c r="G981" s="421"/>
      <c r="H981" s="421"/>
      <c r="I981" s="424"/>
    </row>
    <row r="982" spans="1:9">
      <c r="A982" s="170" t="s">
        <v>1258</v>
      </c>
      <c r="H982" s="421"/>
      <c r="I982" s="424"/>
    </row>
    <row r="983" spans="1:9">
      <c r="A983" s="170" t="s">
        <v>1259</v>
      </c>
      <c r="B983" s="220" t="s">
        <v>1449</v>
      </c>
      <c r="C983" s="426"/>
      <c r="H983" s="421"/>
      <c r="I983" s="424"/>
    </row>
    <row r="984" spans="1:9" ht="24" customHeight="1">
      <c r="A984" s="170" t="s">
        <v>80</v>
      </c>
      <c r="B984" s="1429" t="s">
        <v>1442</v>
      </c>
      <c r="C984" s="1429"/>
      <c r="D984" s="1429"/>
      <c r="E984" s="222" t="s">
        <v>410</v>
      </c>
      <c r="F984" s="425"/>
      <c r="G984" s="425"/>
      <c r="H984" s="421"/>
      <c r="I984" s="424"/>
    </row>
    <row r="985" spans="1:9" ht="22.5">
      <c r="A985" s="428" t="s">
        <v>30</v>
      </c>
      <c r="B985" s="429" t="s">
        <v>19</v>
      </c>
      <c r="C985" s="430" t="s">
        <v>92</v>
      </c>
      <c r="D985" s="430" t="s">
        <v>88</v>
      </c>
      <c r="E985" s="431" t="s">
        <v>93</v>
      </c>
      <c r="F985" s="432" t="s">
        <v>94</v>
      </c>
      <c r="G985" s="433" t="s">
        <v>95</v>
      </c>
      <c r="H985" s="421"/>
      <c r="I985" s="424"/>
    </row>
    <row r="986" spans="1:9" ht="33.75">
      <c r="A986" s="448" t="s">
        <v>1450</v>
      </c>
      <c r="B986" s="449" t="s">
        <v>1451</v>
      </c>
      <c r="C986" s="450" t="s">
        <v>1342</v>
      </c>
      <c r="D986" s="430" t="s">
        <v>88</v>
      </c>
      <c r="E986" s="451">
        <v>7.2000000000000002E-5</v>
      </c>
      <c r="F986" s="452">
        <v>801.26</v>
      </c>
      <c r="G986" s="433">
        <f>TRUNC(E986*F986,2)</f>
        <v>0.05</v>
      </c>
    </row>
    <row r="987" spans="1:9" ht="14.1" customHeight="1">
      <c r="D987" s="436"/>
      <c r="E987" s="437"/>
      <c r="F987" s="438" t="s">
        <v>103</v>
      </c>
      <c r="G987" s="433"/>
    </row>
    <row r="988" spans="1:9" ht="14.1" customHeight="1">
      <c r="D988" s="436"/>
      <c r="E988" s="437"/>
      <c r="F988" s="438" t="s">
        <v>105</v>
      </c>
      <c r="G988" s="433">
        <f>G986</f>
        <v>0.05</v>
      </c>
    </row>
    <row r="989" spans="1:9" ht="14.1" customHeight="1">
      <c r="A989" s="439"/>
      <c r="D989" s="436"/>
      <c r="E989" s="437"/>
      <c r="F989" s="438" t="s">
        <v>106</v>
      </c>
      <c r="G989" s="440">
        <f>SUM(G987:G988)</f>
        <v>0.05</v>
      </c>
      <c r="H989" s="441"/>
    </row>
    <row r="990" spans="1:9">
      <c r="A990" s="442"/>
      <c r="B990" s="443"/>
      <c r="C990" s="444"/>
      <c r="D990" s="445"/>
      <c r="E990" s="442"/>
      <c r="F990" s="443"/>
      <c r="G990" s="443"/>
      <c r="H990" s="443"/>
      <c r="I990" s="442"/>
    </row>
    <row r="991" spans="1:9">
      <c r="A991" s="424"/>
      <c r="B991" s="421"/>
      <c r="C991" s="422"/>
      <c r="D991" s="423"/>
      <c r="E991" s="424"/>
      <c r="F991" s="421"/>
      <c r="G991" s="421"/>
      <c r="H991" s="421"/>
      <c r="I991" s="424"/>
    </row>
    <row r="992" spans="1:9">
      <c r="A992" s="170" t="s">
        <v>1258</v>
      </c>
      <c r="H992" s="421"/>
      <c r="I992" s="424"/>
    </row>
    <row r="993" spans="1:9">
      <c r="A993" s="170" t="s">
        <v>1259</v>
      </c>
      <c r="B993" s="220" t="s">
        <v>1452</v>
      </c>
      <c r="C993" s="426"/>
      <c r="H993" s="421"/>
      <c r="I993" s="424"/>
    </row>
    <row r="994" spans="1:9" ht="20.25" customHeight="1">
      <c r="A994" s="170" t="s">
        <v>80</v>
      </c>
      <c r="B994" s="1429" t="s">
        <v>1453</v>
      </c>
      <c r="C994" s="1429"/>
      <c r="D994" s="1429"/>
      <c r="E994" s="222" t="s">
        <v>410</v>
      </c>
      <c r="F994" s="425"/>
      <c r="G994" s="425"/>
      <c r="H994" s="421"/>
      <c r="I994" s="424"/>
    </row>
    <row r="995" spans="1:9" ht="22.5">
      <c r="A995" s="428" t="s">
        <v>30</v>
      </c>
      <c r="B995" s="429" t="s">
        <v>19</v>
      </c>
      <c r="C995" s="430" t="s">
        <v>92</v>
      </c>
      <c r="D995" s="430" t="s">
        <v>88</v>
      </c>
      <c r="E995" s="431" t="s">
        <v>93</v>
      </c>
      <c r="F995" s="432" t="s">
        <v>94</v>
      </c>
      <c r="G995" s="433" t="s">
        <v>95</v>
      </c>
      <c r="H995" s="421"/>
      <c r="I995" s="424"/>
    </row>
    <row r="996" spans="1:9" ht="33.75">
      <c r="A996" s="448" t="s">
        <v>1450</v>
      </c>
      <c r="B996" s="449" t="s">
        <v>1451</v>
      </c>
      <c r="C996" s="450" t="s">
        <v>1342</v>
      </c>
      <c r="D996" s="430" t="s">
        <v>88</v>
      </c>
      <c r="E996" s="451">
        <v>1.4399999999999999E-5</v>
      </c>
      <c r="F996" s="452">
        <v>801.26</v>
      </c>
      <c r="G996" s="433">
        <f>TRUNC(E996*F996,2)</f>
        <v>0.01</v>
      </c>
    </row>
    <row r="997" spans="1:9" ht="14.1" customHeight="1">
      <c r="D997" s="436"/>
      <c r="E997" s="437"/>
      <c r="F997" s="438" t="s">
        <v>103</v>
      </c>
      <c r="G997" s="433"/>
    </row>
    <row r="998" spans="1:9" ht="14.1" customHeight="1">
      <c r="D998" s="436"/>
      <c r="E998" s="437"/>
      <c r="F998" s="438" t="s">
        <v>105</v>
      </c>
      <c r="G998" s="433">
        <f>G996</f>
        <v>0.01</v>
      </c>
    </row>
    <row r="999" spans="1:9" ht="14.1" customHeight="1">
      <c r="A999" s="439"/>
      <c r="D999" s="436"/>
      <c r="E999" s="437"/>
      <c r="F999" s="438" t="s">
        <v>106</v>
      </c>
      <c r="G999" s="440">
        <f>SUM(G997:G998)</f>
        <v>0.01</v>
      </c>
      <c r="H999" s="441"/>
    </row>
    <row r="1000" spans="1:9">
      <c r="A1000" s="442"/>
      <c r="B1000" s="443"/>
      <c r="C1000" s="444"/>
      <c r="D1000" s="445"/>
      <c r="E1000" s="442"/>
      <c r="F1000" s="443"/>
      <c r="G1000" s="443"/>
      <c r="H1000" s="443"/>
      <c r="I1000" s="442"/>
    </row>
    <row r="1001" spans="1:9">
      <c r="A1001" s="424"/>
      <c r="B1001" s="421"/>
      <c r="C1001" s="422"/>
      <c r="D1001" s="423"/>
      <c r="E1001" s="424"/>
      <c r="F1001" s="421"/>
      <c r="G1001" s="421"/>
      <c r="H1001" s="421"/>
      <c r="I1001" s="424"/>
    </row>
    <row r="1002" spans="1:9">
      <c r="A1002" s="170" t="s">
        <v>1258</v>
      </c>
      <c r="H1002" s="421"/>
      <c r="I1002" s="424"/>
    </row>
    <row r="1003" spans="1:9">
      <c r="A1003" s="170" t="s">
        <v>1259</v>
      </c>
      <c r="B1003" s="220" t="s">
        <v>1454</v>
      </c>
      <c r="C1003" s="426"/>
      <c r="H1003" s="421"/>
      <c r="I1003" s="424"/>
    </row>
    <row r="1004" spans="1:9" ht="25.5" customHeight="1">
      <c r="A1004" s="170" t="s">
        <v>80</v>
      </c>
      <c r="B1004" s="1429" t="s">
        <v>1455</v>
      </c>
      <c r="C1004" s="1429"/>
      <c r="D1004" s="1429"/>
      <c r="E1004" s="222" t="s">
        <v>410</v>
      </c>
      <c r="F1004" s="425"/>
      <c r="G1004" s="425"/>
      <c r="H1004" s="421"/>
      <c r="I1004" s="424"/>
    </row>
    <row r="1005" spans="1:9" ht="22.5">
      <c r="A1005" s="428" t="s">
        <v>30</v>
      </c>
      <c r="B1005" s="429" t="s">
        <v>19</v>
      </c>
      <c r="C1005" s="430" t="s">
        <v>92</v>
      </c>
      <c r="D1005" s="430" t="s">
        <v>88</v>
      </c>
      <c r="E1005" s="431" t="s">
        <v>93</v>
      </c>
      <c r="F1005" s="432" t="s">
        <v>94</v>
      </c>
      <c r="G1005" s="433" t="s">
        <v>95</v>
      </c>
      <c r="H1005" s="421"/>
      <c r="I1005" s="424"/>
    </row>
    <row r="1006" spans="1:9" ht="33.75">
      <c r="A1006" s="448" t="s">
        <v>1450</v>
      </c>
      <c r="B1006" s="449" t="s">
        <v>1451</v>
      </c>
      <c r="C1006" s="450" t="s">
        <v>1342</v>
      </c>
      <c r="D1006" s="430" t="s">
        <v>88</v>
      </c>
      <c r="E1006" s="451">
        <v>5.0000000000000002E-5</v>
      </c>
      <c r="F1006" s="452">
        <v>801.26</v>
      </c>
      <c r="G1006" s="433">
        <f>TRUNC(E1006*F1006,2)</f>
        <v>0.04</v>
      </c>
    </row>
    <row r="1007" spans="1:9" ht="14.1" customHeight="1">
      <c r="D1007" s="436"/>
      <c r="E1007" s="437"/>
      <c r="F1007" s="438" t="s">
        <v>103</v>
      </c>
      <c r="G1007" s="433"/>
    </row>
    <row r="1008" spans="1:9" ht="14.1" customHeight="1">
      <c r="D1008" s="436"/>
      <c r="E1008" s="437"/>
      <c r="F1008" s="438" t="s">
        <v>105</v>
      </c>
      <c r="G1008" s="433">
        <f>G1006</f>
        <v>0.04</v>
      </c>
    </row>
    <row r="1009" spans="1:9" ht="14.1" customHeight="1">
      <c r="A1009" s="439"/>
      <c r="D1009" s="436"/>
      <c r="E1009" s="437"/>
      <c r="F1009" s="438" t="s">
        <v>106</v>
      </c>
      <c r="G1009" s="440">
        <f>SUM(G1007:G1008)</f>
        <v>0.04</v>
      </c>
      <c r="H1009" s="441"/>
    </row>
    <row r="1010" spans="1:9">
      <c r="A1010" s="442"/>
      <c r="B1010" s="443"/>
      <c r="C1010" s="444"/>
      <c r="D1010" s="445"/>
      <c r="E1010" s="442"/>
      <c r="F1010" s="443"/>
      <c r="G1010" s="443"/>
      <c r="H1010" s="443"/>
      <c r="I1010" s="442"/>
    </row>
    <row r="1011" spans="1:9">
      <c r="A1011" s="424"/>
      <c r="B1011" s="421"/>
      <c r="C1011" s="422"/>
      <c r="D1011" s="423"/>
      <c r="E1011" s="424"/>
      <c r="F1011" s="421"/>
      <c r="G1011" s="421"/>
      <c r="H1011" s="421"/>
      <c r="I1011" s="424"/>
    </row>
    <row r="1012" spans="1:9">
      <c r="A1012" s="170" t="s">
        <v>1258</v>
      </c>
      <c r="H1012" s="421"/>
      <c r="I1012" s="424"/>
    </row>
    <row r="1013" spans="1:9">
      <c r="A1013" s="170" t="s">
        <v>1259</v>
      </c>
      <c r="B1013" s="220" t="s">
        <v>1456</v>
      </c>
      <c r="C1013" s="426"/>
      <c r="H1013" s="421"/>
      <c r="I1013" s="424"/>
    </row>
    <row r="1014" spans="1:9" ht="23.25" customHeight="1">
      <c r="A1014" s="170" t="s">
        <v>80</v>
      </c>
      <c r="B1014" s="1429" t="s">
        <v>1457</v>
      </c>
      <c r="C1014" s="1429"/>
      <c r="D1014" s="1429"/>
      <c r="E1014" s="222" t="s">
        <v>410</v>
      </c>
      <c r="F1014" s="425"/>
      <c r="G1014" s="425"/>
      <c r="H1014" s="421"/>
      <c r="I1014" s="424"/>
    </row>
    <row r="1015" spans="1:9" ht="22.5">
      <c r="A1015" s="428" t="s">
        <v>30</v>
      </c>
      <c r="B1015" s="429" t="s">
        <v>19</v>
      </c>
      <c r="C1015" s="430" t="s">
        <v>92</v>
      </c>
      <c r="D1015" s="430" t="s">
        <v>88</v>
      </c>
      <c r="E1015" s="431" t="s">
        <v>93</v>
      </c>
      <c r="F1015" s="432" t="s">
        <v>94</v>
      </c>
      <c r="G1015" s="433" t="s">
        <v>95</v>
      </c>
      <c r="H1015" s="421"/>
      <c r="I1015" s="424"/>
    </row>
    <row r="1016" spans="1:9" ht="22.5">
      <c r="A1016" s="448">
        <v>2705</v>
      </c>
      <c r="B1016" s="449" t="s">
        <v>1434</v>
      </c>
      <c r="C1016" s="450" t="s">
        <v>99</v>
      </c>
      <c r="D1016" s="430" t="s">
        <v>1435</v>
      </c>
      <c r="E1016" s="451">
        <v>3.17</v>
      </c>
      <c r="F1016" s="452">
        <v>0.47</v>
      </c>
      <c r="G1016" s="433">
        <f>TRUNC(E1016*F1016,2)</f>
        <v>1.48</v>
      </c>
    </row>
    <row r="1017" spans="1:9" ht="14.1" customHeight="1">
      <c r="D1017" s="436"/>
      <c r="E1017" s="437"/>
      <c r="F1017" s="438" t="s">
        <v>103</v>
      </c>
      <c r="G1017" s="433"/>
    </row>
    <row r="1018" spans="1:9" ht="14.1" customHeight="1">
      <c r="D1018" s="436"/>
      <c r="E1018" s="437"/>
      <c r="F1018" s="438" t="s">
        <v>105</v>
      </c>
      <c r="G1018" s="433">
        <f>G1016</f>
        <v>1.48</v>
      </c>
    </row>
    <row r="1019" spans="1:9" ht="14.1" customHeight="1">
      <c r="A1019" s="439"/>
      <c r="D1019" s="436"/>
      <c r="E1019" s="437"/>
      <c r="F1019" s="438" t="s">
        <v>106</v>
      </c>
      <c r="G1019" s="440">
        <f>SUM(G1017:G1018)</f>
        <v>1.48</v>
      </c>
      <c r="H1019" s="441"/>
    </row>
    <row r="1020" spans="1:9">
      <c r="A1020" s="442"/>
      <c r="B1020" s="443"/>
      <c r="C1020" s="444"/>
      <c r="D1020" s="445"/>
      <c r="E1020" s="442"/>
      <c r="F1020" s="443"/>
      <c r="G1020" s="443"/>
      <c r="H1020" s="443"/>
      <c r="I1020" s="442"/>
    </row>
    <row r="1021" spans="1:9">
      <c r="A1021" s="424"/>
      <c r="B1021" s="421"/>
      <c r="C1021" s="422"/>
      <c r="D1021" s="423"/>
      <c r="E1021" s="424"/>
      <c r="F1021" s="421"/>
      <c r="G1021" s="421"/>
      <c r="H1021" s="421"/>
      <c r="I1021" s="424"/>
    </row>
    <row r="1022" spans="1:9">
      <c r="A1022" s="170" t="s">
        <v>1258</v>
      </c>
    </row>
    <row r="1023" spans="1:9">
      <c r="A1023" s="170" t="s">
        <v>1259</v>
      </c>
      <c r="B1023" s="220" t="s">
        <v>1458</v>
      </c>
      <c r="C1023" s="426"/>
    </row>
    <row r="1024" spans="1:9" ht="24" customHeight="1">
      <c r="A1024" s="170" t="s">
        <v>80</v>
      </c>
      <c r="B1024" s="1429" t="s">
        <v>1459</v>
      </c>
      <c r="C1024" s="1429"/>
      <c r="D1024" s="1429"/>
      <c r="E1024" s="222" t="s">
        <v>1359</v>
      </c>
      <c r="F1024" s="425"/>
      <c r="G1024" s="425"/>
    </row>
    <row r="1025" spans="1:9" ht="22.5">
      <c r="A1025" s="428" t="s">
        <v>30</v>
      </c>
      <c r="B1025" s="429" t="s">
        <v>19</v>
      </c>
      <c r="C1025" s="430" t="s">
        <v>92</v>
      </c>
      <c r="D1025" s="430" t="s">
        <v>88</v>
      </c>
      <c r="E1025" s="431" t="s">
        <v>93</v>
      </c>
      <c r="F1025" s="432" t="s">
        <v>94</v>
      </c>
      <c r="G1025" s="433" t="s">
        <v>95</v>
      </c>
    </row>
    <row r="1026" spans="1:9" ht="14.1" customHeight="1">
      <c r="A1026" s="1470" t="s">
        <v>1440</v>
      </c>
      <c r="B1026" s="1416" t="s">
        <v>1360</v>
      </c>
      <c r="C1026" s="498" t="s">
        <v>117</v>
      </c>
      <c r="D1026" s="1574" t="s">
        <v>410</v>
      </c>
      <c r="E1026" s="1578">
        <v>1</v>
      </c>
      <c r="F1026" s="492">
        <f>G669</f>
        <v>11.29</v>
      </c>
      <c r="G1026" s="489">
        <f>TRUNC(E1026*F1026,2)</f>
        <v>11.29</v>
      </c>
      <c r="H1026" s="421"/>
      <c r="I1026" s="424"/>
    </row>
    <row r="1027" spans="1:9" ht="14.1" customHeight="1">
      <c r="A1027" s="1536"/>
      <c r="B1027" s="1417"/>
      <c r="C1027" s="489" t="s">
        <v>99</v>
      </c>
      <c r="D1027" s="1575"/>
      <c r="E1027" s="1579"/>
      <c r="F1027" s="492">
        <f>G670</f>
        <v>4.12</v>
      </c>
      <c r="G1027" s="493">
        <f>TRUNC(E1026*F1027,2)</f>
        <v>4.12</v>
      </c>
      <c r="H1027" s="421"/>
      <c r="I1027" s="424"/>
    </row>
    <row r="1028" spans="1:9" ht="33.75">
      <c r="A1028" s="487" t="s">
        <v>1441</v>
      </c>
      <c r="B1028" s="488" t="s">
        <v>1442</v>
      </c>
      <c r="C1028" s="489" t="s">
        <v>1342</v>
      </c>
      <c r="D1028" s="490" t="s">
        <v>410</v>
      </c>
      <c r="E1028" s="491">
        <v>1</v>
      </c>
      <c r="F1028" s="492">
        <f>G989</f>
        <v>0.05</v>
      </c>
      <c r="G1028" s="493">
        <f t="shared" ref="G1028:G1029" si="51">TRUNC(E1028*F1028,2)</f>
        <v>0.05</v>
      </c>
      <c r="H1028" s="421"/>
      <c r="I1028" s="424"/>
    </row>
    <row r="1029" spans="1:9" ht="33.75">
      <c r="A1029" s="499" t="s">
        <v>1443</v>
      </c>
      <c r="B1029" s="496" t="s">
        <v>1444</v>
      </c>
      <c r="C1029" s="431" t="s">
        <v>1342</v>
      </c>
      <c r="D1029" s="490" t="s">
        <v>410</v>
      </c>
      <c r="E1029" s="491">
        <v>1</v>
      </c>
      <c r="F1029" s="492">
        <f>G999</f>
        <v>0.01</v>
      </c>
      <c r="G1029" s="493">
        <f t="shared" si="51"/>
        <v>0.01</v>
      </c>
      <c r="H1029" s="421"/>
      <c r="I1029" s="424"/>
    </row>
    <row r="1030" spans="1:9" ht="14.1" customHeight="1">
      <c r="D1030" s="436"/>
      <c r="E1030" s="437"/>
      <c r="F1030" s="438" t="s">
        <v>103</v>
      </c>
      <c r="G1030" s="433">
        <f>G1026</f>
        <v>11.29</v>
      </c>
    </row>
    <row r="1031" spans="1:9" ht="14.1" customHeight="1">
      <c r="D1031" s="436"/>
      <c r="E1031" s="437"/>
      <c r="F1031" s="438" t="s">
        <v>105</v>
      </c>
      <c r="G1031" s="456">
        <f>G1027+G1028+G1029</f>
        <v>4.18</v>
      </c>
    </row>
    <row r="1032" spans="1:9" ht="14.1" customHeight="1">
      <c r="A1032" s="439"/>
      <c r="D1032" s="436"/>
      <c r="E1032" s="437"/>
      <c r="F1032" s="438" t="s">
        <v>106</v>
      </c>
      <c r="G1032" s="440">
        <f>SUM(G1030:G1031)</f>
        <v>15.469999999999999</v>
      </c>
      <c r="H1032" s="441"/>
    </row>
    <row r="1033" spans="1:9">
      <c r="A1033" s="442"/>
      <c r="B1033" s="443"/>
      <c r="C1033" s="444"/>
      <c r="D1033" s="445"/>
      <c r="E1033" s="442"/>
      <c r="F1033" s="443"/>
      <c r="G1033" s="443"/>
      <c r="H1033" s="443"/>
      <c r="I1033" s="442"/>
    </row>
    <row r="1035" spans="1:9">
      <c r="A1035" s="170" t="s">
        <v>1258</v>
      </c>
    </row>
    <row r="1036" spans="1:9">
      <c r="A1036" s="170" t="s">
        <v>1259</v>
      </c>
      <c r="B1036" s="446" t="s">
        <v>1460</v>
      </c>
      <c r="C1036" s="447"/>
    </row>
    <row r="1037" spans="1:9" ht="33.75">
      <c r="A1037" s="170" t="s">
        <v>80</v>
      </c>
      <c r="B1037" s="427" t="s">
        <v>1461</v>
      </c>
      <c r="C1037" s="222" t="s">
        <v>410</v>
      </c>
      <c r="E1037" s="425" t="s">
        <v>2</v>
      </c>
      <c r="F1037" s="425"/>
      <c r="G1037" s="425"/>
    </row>
    <row r="1038" spans="1:9" ht="22.5">
      <c r="A1038" s="428" t="s">
        <v>30</v>
      </c>
      <c r="B1038" s="429" t="s">
        <v>19</v>
      </c>
      <c r="C1038" s="430" t="s">
        <v>92</v>
      </c>
      <c r="D1038" s="430" t="s">
        <v>88</v>
      </c>
      <c r="E1038" s="431" t="s">
        <v>93</v>
      </c>
      <c r="F1038" s="432" t="s">
        <v>94</v>
      </c>
      <c r="G1038" s="433" t="s">
        <v>95</v>
      </c>
    </row>
    <row r="1039" spans="1:9" ht="14.1" customHeight="1">
      <c r="A1039" s="448">
        <v>6114</v>
      </c>
      <c r="B1039" s="449" t="s">
        <v>1462</v>
      </c>
      <c r="C1039" s="450" t="s">
        <v>117</v>
      </c>
      <c r="D1039" s="430" t="s">
        <v>410</v>
      </c>
      <c r="E1039" s="451">
        <v>9.2999999999999992E-3</v>
      </c>
      <c r="F1039" s="452">
        <f>10.22</f>
        <v>10.220000000000001</v>
      </c>
      <c r="G1039" s="433">
        <f>TRUNC(E1039*F1039,2)</f>
        <v>0.09</v>
      </c>
    </row>
    <row r="1040" spans="1:9" ht="14.1" customHeight="1">
      <c r="D1040" s="436"/>
      <c r="E1040" s="437"/>
      <c r="F1040" s="438" t="s">
        <v>103</v>
      </c>
      <c r="G1040" s="433">
        <f>G1039</f>
        <v>0.09</v>
      </c>
    </row>
    <row r="1041" spans="1:9" ht="14.1" customHeight="1">
      <c r="D1041" s="436"/>
      <c r="E1041" s="437"/>
      <c r="F1041" s="438" t="s">
        <v>105</v>
      </c>
      <c r="G1041" s="433"/>
    </row>
    <row r="1042" spans="1:9" ht="14.1" customHeight="1">
      <c r="A1042" s="439"/>
      <c r="D1042" s="436"/>
      <c r="E1042" s="437"/>
      <c r="F1042" s="438" t="s">
        <v>106</v>
      </c>
      <c r="G1042" s="440">
        <f>SUM(G1040:G1041)</f>
        <v>0.09</v>
      </c>
      <c r="H1042" s="441"/>
    </row>
    <row r="1043" spans="1:9">
      <c r="A1043" s="442"/>
      <c r="B1043" s="443"/>
      <c r="C1043" s="444"/>
      <c r="D1043" s="445"/>
      <c r="E1043" s="442"/>
      <c r="F1043" s="443"/>
      <c r="G1043" s="443"/>
      <c r="H1043" s="443"/>
      <c r="I1043" s="442"/>
    </row>
    <row r="1045" spans="1:9">
      <c r="A1045" s="170" t="s">
        <v>1258</v>
      </c>
    </row>
    <row r="1046" spans="1:9">
      <c r="A1046" s="170" t="s">
        <v>1259</v>
      </c>
      <c r="B1046" s="446" t="s">
        <v>1683</v>
      </c>
      <c r="C1046" s="447"/>
    </row>
    <row r="1047" spans="1:9" ht="22.5">
      <c r="A1047" s="170" t="s">
        <v>80</v>
      </c>
      <c r="B1047" s="427" t="s">
        <v>1463</v>
      </c>
      <c r="C1047" s="222" t="s">
        <v>410</v>
      </c>
      <c r="E1047" s="425" t="s">
        <v>2</v>
      </c>
      <c r="F1047" s="425"/>
      <c r="G1047" s="425"/>
    </row>
    <row r="1048" spans="1:9" ht="22.5">
      <c r="A1048" s="428" t="s">
        <v>30</v>
      </c>
      <c r="B1048" s="429" t="s">
        <v>19</v>
      </c>
      <c r="C1048" s="430" t="s">
        <v>92</v>
      </c>
      <c r="D1048" s="430" t="s">
        <v>88</v>
      </c>
      <c r="E1048" s="431" t="s">
        <v>93</v>
      </c>
      <c r="F1048" s="432" t="s">
        <v>94</v>
      </c>
      <c r="G1048" s="433" t="s">
        <v>95</v>
      </c>
    </row>
    <row r="1049" spans="1:9" ht="14.1" customHeight="1">
      <c r="A1049" s="448">
        <v>378</v>
      </c>
      <c r="B1049" s="449" t="s">
        <v>1464</v>
      </c>
      <c r="C1049" s="450" t="s">
        <v>117</v>
      </c>
      <c r="D1049" s="430" t="s">
        <v>410</v>
      </c>
      <c r="E1049" s="451">
        <v>9.2999999999999992E-3</v>
      </c>
      <c r="F1049" s="452">
        <f>14.68</f>
        <v>14.68</v>
      </c>
      <c r="G1049" s="433">
        <f>TRUNC(E1049*F1049,2)</f>
        <v>0.13</v>
      </c>
    </row>
    <row r="1050" spans="1:9" ht="14.1" customHeight="1">
      <c r="D1050" s="436"/>
      <c r="E1050" s="437"/>
      <c r="F1050" s="438" t="s">
        <v>103</v>
      </c>
      <c r="G1050" s="433">
        <f>G1049</f>
        <v>0.13</v>
      </c>
    </row>
    <row r="1051" spans="1:9" ht="14.1" customHeight="1">
      <c r="D1051" s="436"/>
      <c r="E1051" s="437"/>
      <c r="F1051" s="438" t="s">
        <v>105</v>
      </c>
      <c r="G1051" s="433"/>
    </row>
    <row r="1052" spans="1:9" ht="14.1" customHeight="1">
      <c r="A1052" s="439"/>
      <c r="D1052" s="436"/>
      <c r="E1052" s="437"/>
      <c r="F1052" s="438" t="s">
        <v>106</v>
      </c>
      <c r="G1052" s="440">
        <f>SUM(G1050:G1051)</f>
        <v>0.13</v>
      </c>
      <c r="H1052" s="441"/>
    </row>
    <row r="1053" spans="1:9">
      <c r="A1053" s="442"/>
      <c r="B1053" s="443"/>
      <c r="C1053" s="444"/>
      <c r="D1053" s="445"/>
      <c r="E1053" s="442"/>
      <c r="F1053" s="443"/>
      <c r="G1053" s="443"/>
      <c r="H1053" s="443"/>
      <c r="I1053" s="442"/>
    </row>
    <row r="1055" spans="1:9">
      <c r="A1055" s="170" t="s">
        <v>1258</v>
      </c>
    </row>
    <row r="1056" spans="1:9">
      <c r="A1056" s="170" t="s">
        <v>1259</v>
      </c>
      <c r="B1056" s="446" t="s">
        <v>1682</v>
      </c>
      <c r="C1056" s="447"/>
    </row>
    <row r="1057" spans="1:9" ht="33.75">
      <c r="A1057" s="170" t="s">
        <v>80</v>
      </c>
      <c r="B1057" s="427" t="s">
        <v>1465</v>
      </c>
      <c r="C1057" s="222" t="s">
        <v>1401</v>
      </c>
      <c r="E1057" s="425" t="s">
        <v>2</v>
      </c>
      <c r="F1057" s="425"/>
      <c r="G1057" s="425"/>
    </row>
    <row r="1058" spans="1:9" ht="22.5">
      <c r="A1058" s="428" t="s">
        <v>30</v>
      </c>
      <c r="B1058" s="500" t="s">
        <v>19</v>
      </c>
      <c r="C1058" s="430" t="s">
        <v>92</v>
      </c>
      <c r="D1058" s="430" t="s">
        <v>88</v>
      </c>
      <c r="E1058" s="431" t="s">
        <v>93</v>
      </c>
      <c r="F1058" s="432" t="s">
        <v>94</v>
      </c>
      <c r="G1058" s="433" t="s">
        <v>95</v>
      </c>
    </row>
    <row r="1059" spans="1:9" ht="14.1" customHeight="1">
      <c r="A1059" s="428" t="s">
        <v>1466</v>
      </c>
      <c r="B1059" s="449" t="s">
        <v>1467</v>
      </c>
      <c r="C1059" s="432" t="s">
        <v>99</v>
      </c>
      <c r="D1059" s="430" t="s">
        <v>1401</v>
      </c>
      <c r="E1059" s="455">
        <v>1.1100000000000001</v>
      </c>
      <c r="F1059" s="432">
        <v>5.0199999999999996</v>
      </c>
      <c r="G1059" s="456">
        <f t="shared" ref="G1059:G1060" si="52">TRUNC(E1059*F1059,2)</f>
        <v>5.57</v>
      </c>
    </row>
    <row r="1060" spans="1:9" ht="14.1" customHeight="1">
      <c r="A1060" s="1436" t="s">
        <v>1468</v>
      </c>
      <c r="B1060" s="1468" t="s">
        <v>1469</v>
      </c>
      <c r="C1060" s="432" t="s">
        <v>117</v>
      </c>
      <c r="D1060" s="1574" t="s">
        <v>410</v>
      </c>
      <c r="E1060" s="1427">
        <v>3.2000000000000002E-3</v>
      </c>
      <c r="F1060" s="501">
        <f>G185</f>
        <v>10.31</v>
      </c>
      <c r="G1060" s="456">
        <f t="shared" si="52"/>
        <v>0.03</v>
      </c>
    </row>
    <row r="1061" spans="1:9" ht="14.1" customHeight="1">
      <c r="A1061" s="1437"/>
      <c r="B1061" s="1469"/>
      <c r="C1061" s="432" t="s">
        <v>99</v>
      </c>
      <c r="D1061" s="1575"/>
      <c r="E1061" s="1428"/>
      <c r="F1061" s="501">
        <f>G186</f>
        <v>4.5600000000000005</v>
      </c>
      <c r="G1061" s="456">
        <f>TRUNC(E1060*F1061,2)</f>
        <v>0.01</v>
      </c>
    </row>
    <row r="1062" spans="1:9" ht="14.1" customHeight="1">
      <c r="A1062" s="1422">
        <v>88245</v>
      </c>
      <c r="B1062" s="1468" t="s">
        <v>1470</v>
      </c>
      <c r="C1062" s="432" t="s">
        <v>117</v>
      </c>
      <c r="D1062" s="1574" t="s">
        <v>410</v>
      </c>
      <c r="E1062" s="1531">
        <v>2.24E-2</v>
      </c>
      <c r="F1062" s="501">
        <f>G168</f>
        <v>14.81</v>
      </c>
      <c r="G1062" s="456">
        <f t="shared" ref="G1062" si="53">TRUNC(E1062*F1062,2)</f>
        <v>0.33</v>
      </c>
    </row>
    <row r="1063" spans="1:9" ht="14.1" customHeight="1">
      <c r="A1063" s="1423"/>
      <c r="B1063" s="1469"/>
      <c r="C1063" s="450" t="s">
        <v>99</v>
      </c>
      <c r="D1063" s="1575"/>
      <c r="E1063" s="1532"/>
      <c r="F1063" s="501">
        <f>G169</f>
        <v>4.5600000000000005</v>
      </c>
      <c r="G1063" s="456">
        <f>TRUNC(E1062*F1063,2)</f>
        <v>0.1</v>
      </c>
    </row>
    <row r="1064" spans="1:9" ht="14.1" customHeight="1">
      <c r="D1064" s="436"/>
      <c r="E1064" s="437"/>
      <c r="F1064" s="438" t="s">
        <v>103</v>
      </c>
      <c r="G1064" s="456">
        <f>G1060+G1062</f>
        <v>0.36</v>
      </c>
    </row>
    <row r="1065" spans="1:9" ht="14.1" customHeight="1">
      <c r="D1065" s="436"/>
      <c r="E1065" s="437"/>
      <c r="F1065" s="438" t="s">
        <v>105</v>
      </c>
      <c r="G1065" s="456">
        <f>G1059+G1061+G1063</f>
        <v>5.68</v>
      </c>
    </row>
    <row r="1066" spans="1:9" ht="14.1" customHeight="1">
      <c r="A1066" s="439"/>
      <c r="D1066" s="436"/>
      <c r="E1066" s="437"/>
      <c r="F1066" s="438" t="s">
        <v>106</v>
      </c>
      <c r="G1066" s="440">
        <f>SUM(G1064:G1065)</f>
        <v>6.04</v>
      </c>
      <c r="H1066" s="441"/>
    </row>
    <row r="1067" spans="1:9">
      <c r="A1067" s="442"/>
      <c r="B1067" s="443"/>
      <c r="C1067" s="444"/>
      <c r="D1067" s="445"/>
      <c r="E1067" s="442"/>
      <c r="F1067" s="443"/>
      <c r="G1067" s="443"/>
      <c r="H1067" s="443"/>
      <c r="I1067" s="442"/>
    </row>
    <row r="1069" spans="1:9">
      <c r="A1069" s="170" t="s">
        <v>1258</v>
      </c>
    </row>
    <row r="1070" spans="1:9">
      <c r="A1070" s="170" t="s">
        <v>1259</v>
      </c>
      <c r="B1070" s="446" t="s">
        <v>1681</v>
      </c>
      <c r="C1070" s="447"/>
    </row>
    <row r="1071" spans="1:9" ht="33.75">
      <c r="A1071" s="170" t="s">
        <v>80</v>
      </c>
      <c r="B1071" s="427" t="s">
        <v>1471</v>
      </c>
      <c r="C1071" s="222" t="s">
        <v>1401</v>
      </c>
      <c r="E1071" s="425" t="s">
        <v>2</v>
      </c>
      <c r="F1071" s="425"/>
      <c r="G1071" s="425"/>
    </row>
    <row r="1072" spans="1:9" ht="22.5">
      <c r="A1072" s="428" t="s">
        <v>30</v>
      </c>
      <c r="B1072" s="500" t="s">
        <v>19</v>
      </c>
      <c r="C1072" s="430" t="s">
        <v>92</v>
      </c>
      <c r="D1072" s="430" t="s">
        <v>88</v>
      </c>
      <c r="E1072" s="431" t="s">
        <v>93</v>
      </c>
      <c r="F1072" s="432" t="s">
        <v>94</v>
      </c>
      <c r="G1072" s="433" t="s">
        <v>95</v>
      </c>
    </row>
    <row r="1073" spans="1:9" ht="14.1" customHeight="1">
      <c r="A1073" s="502">
        <v>34</v>
      </c>
      <c r="B1073" s="449" t="s">
        <v>1472</v>
      </c>
      <c r="C1073" s="432" t="s">
        <v>99</v>
      </c>
      <c r="D1073" s="430" t="s">
        <v>1401</v>
      </c>
      <c r="E1073" s="431">
        <v>1.1100000000000001</v>
      </c>
      <c r="F1073" s="432">
        <v>4.2699999999999996</v>
      </c>
      <c r="G1073" s="456">
        <f t="shared" ref="G1073:G1076" si="54">TRUNC(E1073*F1073,2)</f>
        <v>4.7300000000000004</v>
      </c>
    </row>
    <row r="1074" spans="1:9" ht="14.1" customHeight="1">
      <c r="A1074" s="1436" t="s">
        <v>1468</v>
      </c>
      <c r="B1074" s="1468" t="s">
        <v>1469</v>
      </c>
      <c r="C1074" s="432" t="s">
        <v>117</v>
      </c>
      <c r="D1074" s="1574" t="s">
        <v>410</v>
      </c>
      <c r="E1074" s="1427">
        <v>1.8E-3</v>
      </c>
      <c r="F1074" s="501">
        <f>G185</f>
        <v>10.31</v>
      </c>
      <c r="G1074" s="456">
        <f t="shared" si="54"/>
        <v>0.01</v>
      </c>
    </row>
    <row r="1075" spans="1:9" ht="14.1" customHeight="1">
      <c r="A1075" s="1437"/>
      <c r="B1075" s="1469"/>
      <c r="C1075" s="432" t="s">
        <v>99</v>
      </c>
      <c r="D1075" s="1575"/>
      <c r="E1075" s="1428"/>
      <c r="F1075" s="501">
        <f>G186</f>
        <v>4.5600000000000005</v>
      </c>
      <c r="G1075" s="456">
        <f>TRUNC(E1074*F1075,2)</f>
        <v>0</v>
      </c>
    </row>
    <row r="1076" spans="1:9" ht="14.1" customHeight="1">
      <c r="A1076" s="1422">
        <v>88245</v>
      </c>
      <c r="B1076" s="1468" t="s">
        <v>1470</v>
      </c>
      <c r="C1076" s="432" t="s">
        <v>117</v>
      </c>
      <c r="D1076" s="1574" t="s">
        <v>410</v>
      </c>
      <c r="E1076" s="1531">
        <v>1.2500000000000001E-2</v>
      </c>
      <c r="F1076" s="501">
        <f>G168</f>
        <v>14.81</v>
      </c>
      <c r="G1076" s="456">
        <f t="shared" si="54"/>
        <v>0.18</v>
      </c>
    </row>
    <row r="1077" spans="1:9" ht="14.1" customHeight="1">
      <c r="A1077" s="1423"/>
      <c r="B1077" s="1469"/>
      <c r="C1077" s="450" t="s">
        <v>99</v>
      </c>
      <c r="D1077" s="1575"/>
      <c r="E1077" s="1532"/>
      <c r="F1077" s="501">
        <f>G169</f>
        <v>4.5600000000000005</v>
      </c>
      <c r="G1077" s="433">
        <f>TRUNC(E1076*F1077,2)</f>
        <v>0.05</v>
      </c>
    </row>
    <row r="1078" spans="1:9" ht="14.1" customHeight="1">
      <c r="D1078" s="436"/>
      <c r="E1078" s="437"/>
      <c r="F1078" s="438" t="s">
        <v>103</v>
      </c>
      <c r="G1078" s="456">
        <f>G1074+G1076</f>
        <v>0.19</v>
      </c>
    </row>
    <row r="1079" spans="1:9" ht="14.1" customHeight="1">
      <c r="D1079" s="436"/>
      <c r="E1079" s="437"/>
      <c r="F1079" s="438" t="s">
        <v>105</v>
      </c>
      <c r="G1079" s="456">
        <f>G1073+G1075+G1077</f>
        <v>4.78</v>
      </c>
    </row>
    <row r="1080" spans="1:9" ht="14.1" customHeight="1">
      <c r="A1080" s="439"/>
      <c r="D1080" s="436"/>
      <c r="E1080" s="437"/>
      <c r="F1080" s="438" t="s">
        <v>106</v>
      </c>
      <c r="G1080" s="440">
        <f>SUM(G1078:G1079)</f>
        <v>4.9700000000000006</v>
      </c>
      <c r="H1080" s="441"/>
    </row>
    <row r="1081" spans="1:9">
      <c r="A1081" s="442"/>
      <c r="B1081" s="443"/>
      <c r="C1081" s="444"/>
      <c r="D1081" s="445"/>
      <c r="E1081" s="442"/>
      <c r="F1081" s="443"/>
      <c r="G1081" s="443"/>
      <c r="H1081" s="443"/>
      <c r="I1081" s="442"/>
    </row>
    <row r="1083" spans="1:9">
      <c r="A1083" s="170" t="s">
        <v>1258</v>
      </c>
    </row>
    <row r="1084" spans="1:9">
      <c r="A1084" s="170" t="s">
        <v>1259</v>
      </c>
      <c r="B1084" s="446" t="s">
        <v>1924</v>
      </c>
      <c r="C1084" s="447"/>
    </row>
    <row r="1085" spans="1:9" ht="33.75">
      <c r="A1085" s="170" t="s">
        <v>80</v>
      </c>
      <c r="B1085" s="812" t="s">
        <v>1925</v>
      </c>
      <c r="C1085" s="222" t="s">
        <v>1401</v>
      </c>
      <c r="E1085" s="425" t="s">
        <v>2</v>
      </c>
      <c r="F1085" s="425"/>
      <c r="G1085" s="425"/>
    </row>
    <row r="1086" spans="1:9" ht="22.5">
      <c r="A1086" s="428" t="s">
        <v>30</v>
      </c>
      <c r="B1086" s="500" t="s">
        <v>19</v>
      </c>
      <c r="C1086" s="430" t="s">
        <v>92</v>
      </c>
      <c r="D1086" s="430" t="s">
        <v>88</v>
      </c>
      <c r="E1086" s="803" t="s">
        <v>93</v>
      </c>
      <c r="F1086" s="432" t="s">
        <v>94</v>
      </c>
      <c r="G1086" s="433" t="s">
        <v>95</v>
      </c>
    </row>
    <row r="1087" spans="1:9" ht="15" customHeight="1">
      <c r="A1087" s="806">
        <v>31</v>
      </c>
      <c r="B1087" s="449" t="s">
        <v>1926</v>
      </c>
      <c r="C1087" s="432" t="s">
        <v>99</v>
      </c>
      <c r="D1087" s="430" t="s">
        <v>1401</v>
      </c>
      <c r="E1087" s="803">
        <v>1.1100000000000001</v>
      </c>
      <c r="F1087" s="432">
        <v>4.0599999999999996</v>
      </c>
      <c r="G1087" s="456">
        <f t="shared" ref="G1087:G1088" si="55">TRUNC(E1087*F1087,2)</f>
        <v>4.5</v>
      </c>
    </row>
    <row r="1088" spans="1:9" ht="15" customHeight="1">
      <c r="A1088" s="1436" t="s">
        <v>1468</v>
      </c>
      <c r="B1088" s="1468" t="s">
        <v>1469</v>
      </c>
      <c r="C1088" s="432" t="s">
        <v>117</v>
      </c>
      <c r="D1088" s="1574" t="s">
        <v>410</v>
      </c>
      <c r="E1088" s="1427">
        <v>1E-3</v>
      </c>
      <c r="F1088" s="501">
        <f>G185</f>
        <v>10.31</v>
      </c>
      <c r="G1088" s="456">
        <f t="shared" si="55"/>
        <v>0.01</v>
      </c>
    </row>
    <row r="1089" spans="1:8" ht="15" customHeight="1">
      <c r="A1089" s="1437"/>
      <c r="B1089" s="1469"/>
      <c r="C1089" s="432" t="s">
        <v>99</v>
      </c>
      <c r="D1089" s="1575"/>
      <c r="E1089" s="1428"/>
      <c r="F1089" s="501">
        <f>G186</f>
        <v>4.5600000000000005</v>
      </c>
      <c r="G1089" s="456">
        <f>TRUNC(E1088*F1089,2)</f>
        <v>0</v>
      </c>
    </row>
    <row r="1090" spans="1:8" ht="15" customHeight="1">
      <c r="A1090" s="1422">
        <v>88245</v>
      </c>
      <c r="B1090" s="1468" t="s">
        <v>1470</v>
      </c>
      <c r="C1090" s="432" t="s">
        <v>117</v>
      </c>
      <c r="D1090" s="1574" t="s">
        <v>410</v>
      </c>
      <c r="E1090" s="1531">
        <v>7.0000000000000001E-3</v>
      </c>
      <c r="F1090" s="501">
        <f>G168</f>
        <v>14.81</v>
      </c>
      <c r="G1090" s="456">
        <f t="shared" ref="G1090" si="56">TRUNC(E1090*F1090,2)</f>
        <v>0.1</v>
      </c>
    </row>
    <row r="1091" spans="1:8" ht="15" customHeight="1">
      <c r="A1091" s="1423"/>
      <c r="B1091" s="1469"/>
      <c r="C1091" s="450" t="s">
        <v>99</v>
      </c>
      <c r="D1091" s="1575"/>
      <c r="E1091" s="1532"/>
      <c r="F1091" s="501">
        <f>G169</f>
        <v>4.5600000000000005</v>
      </c>
      <c r="G1091" s="433">
        <f>TRUNC(E1090*F1091,2)</f>
        <v>0.03</v>
      </c>
    </row>
    <row r="1092" spans="1:8" ht="15" customHeight="1">
      <c r="D1092" s="436"/>
      <c r="E1092" s="437"/>
      <c r="F1092" s="438" t="s">
        <v>103</v>
      </c>
      <c r="G1092" s="456">
        <f>G1088+G1090</f>
        <v>0.11</v>
      </c>
    </row>
    <row r="1093" spans="1:8" ht="15" customHeight="1">
      <c r="D1093" s="436"/>
      <c r="E1093" s="437"/>
      <c r="F1093" s="438" t="s">
        <v>105</v>
      </c>
      <c r="G1093" s="456">
        <f>G1087+G1089+G1091</f>
        <v>4.53</v>
      </c>
    </row>
    <row r="1094" spans="1:8" ht="15" customHeight="1">
      <c r="A1094" s="439"/>
      <c r="D1094" s="436"/>
      <c r="E1094" s="437"/>
      <c r="F1094" s="438" t="s">
        <v>106</v>
      </c>
      <c r="G1094" s="440">
        <f>SUM(G1092:G1093)</f>
        <v>4.6400000000000006</v>
      </c>
      <c r="H1094" s="441"/>
    </row>
    <row r="1095" spans="1:8">
      <c r="A1095" s="442"/>
      <c r="B1095" s="443"/>
      <c r="C1095" s="444"/>
      <c r="D1095" s="445"/>
      <c r="E1095" s="442"/>
      <c r="F1095" s="443"/>
      <c r="G1095" s="443"/>
      <c r="H1095" s="443"/>
    </row>
    <row r="1097" spans="1:8">
      <c r="A1097" s="170" t="s">
        <v>1258</v>
      </c>
    </row>
    <row r="1098" spans="1:8">
      <c r="A1098" s="170" t="s">
        <v>1259</v>
      </c>
      <c r="B1098" s="446" t="s">
        <v>1680</v>
      </c>
      <c r="C1098" s="447"/>
    </row>
    <row r="1099" spans="1:8" ht="33.75">
      <c r="A1099" s="170" t="s">
        <v>80</v>
      </c>
      <c r="B1099" s="648" t="s">
        <v>1684</v>
      </c>
      <c r="C1099" s="222" t="s">
        <v>1401</v>
      </c>
      <c r="E1099" s="425" t="s">
        <v>2</v>
      </c>
      <c r="F1099" s="425"/>
      <c r="G1099" s="425"/>
    </row>
    <row r="1100" spans="1:8" ht="22.5">
      <c r="A1100" s="428" t="s">
        <v>30</v>
      </c>
      <c r="B1100" s="500" t="s">
        <v>19</v>
      </c>
      <c r="C1100" s="430" t="s">
        <v>92</v>
      </c>
      <c r="D1100" s="430" t="s">
        <v>88</v>
      </c>
      <c r="E1100" s="650" t="s">
        <v>93</v>
      </c>
      <c r="F1100" s="432" t="s">
        <v>94</v>
      </c>
      <c r="G1100" s="433" t="s">
        <v>95</v>
      </c>
    </row>
    <row r="1101" spans="1:8" ht="14.1" customHeight="1">
      <c r="A1101" s="502">
        <v>39</v>
      </c>
      <c r="B1101" s="449" t="s">
        <v>1685</v>
      </c>
      <c r="C1101" s="432" t="s">
        <v>99</v>
      </c>
      <c r="D1101" s="430" t="s">
        <v>1401</v>
      </c>
      <c r="E1101" s="650">
        <v>1.07</v>
      </c>
      <c r="F1101" s="432">
        <v>4.2300000000000004</v>
      </c>
      <c r="G1101" s="456">
        <f t="shared" ref="G1101:G1102" si="57">TRUNC(E1101*F1101,2)</f>
        <v>4.5199999999999996</v>
      </c>
    </row>
    <row r="1102" spans="1:8" ht="14.1" customHeight="1">
      <c r="A1102" s="1436" t="s">
        <v>1468</v>
      </c>
      <c r="B1102" s="1468" t="s">
        <v>1469</v>
      </c>
      <c r="C1102" s="432" t="s">
        <v>117</v>
      </c>
      <c r="D1102" s="1574" t="s">
        <v>410</v>
      </c>
      <c r="E1102" s="1427">
        <v>1.0800000000000001E-2</v>
      </c>
      <c r="F1102" s="501">
        <f>G185</f>
        <v>10.31</v>
      </c>
      <c r="G1102" s="456">
        <f t="shared" si="57"/>
        <v>0.11</v>
      </c>
    </row>
    <row r="1103" spans="1:8" ht="14.1" customHeight="1">
      <c r="A1103" s="1437"/>
      <c r="B1103" s="1469"/>
      <c r="C1103" s="432" t="s">
        <v>99</v>
      </c>
      <c r="D1103" s="1575"/>
      <c r="E1103" s="1428"/>
      <c r="F1103" s="501">
        <f>G186</f>
        <v>4.5600000000000005</v>
      </c>
      <c r="G1103" s="456">
        <f>TRUNC(E1102*F1103,2)</f>
        <v>0.04</v>
      </c>
    </row>
    <row r="1104" spans="1:8" ht="14.1" customHeight="1">
      <c r="A1104" s="1422">
        <v>88245</v>
      </c>
      <c r="B1104" s="1468" t="s">
        <v>1470</v>
      </c>
      <c r="C1104" s="432" t="s">
        <v>117</v>
      </c>
      <c r="D1104" s="1574" t="s">
        <v>410</v>
      </c>
      <c r="E1104" s="1531">
        <v>7.6899999999999996E-2</v>
      </c>
      <c r="F1104" s="501">
        <f>G168</f>
        <v>14.81</v>
      </c>
      <c r="G1104" s="456">
        <f t="shared" ref="G1104" si="58">TRUNC(E1104*F1104,2)</f>
        <v>1.1299999999999999</v>
      </c>
    </row>
    <row r="1105" spans="1:8" ht="14.1" customHeight="1">
      <c r="A1105" s="1423"/>
      <c r="B1105" s="1469"/>
      <c r="C1105" s="450" t="s">
        <v>99</v>
      </c>
      <c r="D1105" s="1575"/>
      <c r="E1105" s="1532"/>
      <c r="F1105" s="501">
        <f>G169</f>
        <v>4.5600000000000005</v>
      </c>
      <c r="G1105" s="433">
        <f>TRUNC(E1104*F1105,2)</f>
        <v>0.35</v>
      </c>
    </row>
    <row r="1106" spans="1:8" ht="14.1" customHeight="1">
      <c r="D1106" s="436"/>
      <c r="E1106" s="437"/>
      <c r="F1106" s="438" t="s">
        <v>103</v>
      </c>
      <c r="G1106" s="456">
        <f>G1102+G1104</f>
        <v>1.24</v>
      </c>
    </row>
    <row r="1107" spans="1:8" ht="14.1" customHeight="1">
      <c r="D1107" s="436"/>
      <c r="E1107" s="437"/>
      <c r="F1107" s="438" t="s">
        <v>105</v>
      </c>
      <c r="G1107" s="456">
        <f>G1101+G1103+G1105</f>
        <v>4.9099999999999993</v>
      </c>
    </row>
    <row r="1108" spans="1:8" ht="14.1" customHeight="1">
      <c r="A1108" s="439"/>
      <c r="D1108" s="436"/>
      <c r="E1108" s="437"/>
      <c r="F1108" s="438" t="s">
        <v>106</v>
      </c>
      <c r="G1108" s="440">
        <f>SUM(G1106:G1107)</f>
        <v>6.1499999999999995</v>
      </c>
      <c r="H1108" s="441"/>
    </row>
    <row r="1109" spans="1:8">
      <c r="A1109" s="442"/>
      <c r="B1109" s="443"/>
      <c r="C1109" s="444"/>
      <c r="D1109" s="445"/>
      <c r="E1109" s="442"/>
      <c r="F1109" s="443"/>
      <c r="G1109" s="443"/>
      <c r="H1109" s="443"/>
    </row>
    <row r="1111" spans="1:8">
      <c r="A1111" s="170" t="s">
        <v>1258</v>
      </c>
    </row>
    <row r="1112" spans="1:8">
      <c r="A1112" s="170" t="s">
        <v>1259</v>
      </c>
      <c r="B1112" s="220" t="s">
        <v>1473</v>
      </c>
      <c r="C1112" s="426"/>
    </row>
    <row r="1113" spans="1:8" ht="39" customHeight="1">
      <c r="A1113" s="170" t="s">
        <v>80</v>
      </c>
      <c r="B1113" s="1429" t="s">
        <v>1474</v>
      </c>
      <c r="C1113" s="1429"/>
      <c r="D1113" s="1429"/>
      <c r="E1113" s="222" t="s">
        <v>1359</v>
      </c>
      <c r="F1113" s="425"/>
      <c r="G1113" s="425"/>
    </row>
    <row r="1114" spans="1:8" ht="22.5">
      <c r="A1114" s="428" t="s">
        <v>30</v>
      </c>
      <c r="B1114" s="429" t="s">
        <v>19</v>
      </c>
      <c r="C1114" s="430" t="s">
        <v>92</v>
      </c>
      <c r="D1114" s="430" t="s">
        <v>88</v>
      </c>
      <c r="E1114" s="431" t="s">
        <v>93</v>
      </c>
      <c r="F1114" s="432" t="s">
        <v>94</v>
      </c>
      <c r="G1114" s="433" t="s">
        <v>95</v>
      </c>
    </row>
    <row r="1115" spans="1:8" ht="45">
      <c r="A1115" s="503">
        <v>88826</v>
      </c>
      <c r="B1115" s="488" t="s">
        <v>1475</v>
      </c>
      <c r="C1115" s="489" t="s">
        <v>1342</v>
      </c>
      <c r="D1115" s="490" t="s">
        <v>410</v>
      </c>
      <c r="E1115" s="491">
        <v>1</v>
      </c>
      <c r="F1115" s="492">
        <f>G1131</f>
        <v>0.22</v>
      </c>
      <c r="G1115" s="493">
        <f t="shared" ref="G1115:G1118" si="59">TRUNC(E1115*F1115,2)</f>
        <v>0.22</v>
      </c>
    </row>
    <row r="1116" spans="1:8" ht="45">
      <c r="A1116" s="503">
        <v>88827</v>
      </c>
      <c r="B1116" s="434" t="s">
        <v>1476</v>
      </c>
      <c r="C1116" s="433" t="s">
        <v>1342</v>
      </c>
      <c r="D1116" s="430" t="s">
        <v>410</v>
      </c>
      <c r="E1116" s="495">
        <v>1</v>
      </c>
      <c r="F1116" s="435">
        <f>G1141</f>
        <v>0.04</v>
      </c>
      <c r="G1116" s="493">
        <f t="shared" si="59"/>
        <v>0.04</v>
      </c>
    </row>
    <row r="1117" spans="1:8" ht="45">
      <c r="A1117" s="503">
        <v>88828</v>
      </c>
      <c r="B1117" s="434" t="s">
        <v>1477</v>
      </c>
      <c r="C1117" s="431" t="s">
        <v>1342</v>
      </c>
      <c r="D1117" s="430" t="s">
        <v>410</v>
      </c>
      <c r="E1117" s="455">
        <v>1</v>
      </c>
      <c r="F1117" s="435">
        <f>G1151</f>
        <v>0.2</v>
      </c>
      <c r="G1117" s="493">
        <f t="shared" si="59"/>
        <v>0.2</v>
      </c>
    </row>
    <row r="1118" spans="1:8" ht="45">
      <c r="A1118" s="494">
        <v>88829</v>
      </c>
      <c r="B1118" s="434" t="s">
        <v>1478</v>
      </c>
      <c r="C1118" s="431" t="s">
        <v>1342</v>
      </c>
      <c r="D1118" s="430" t="s">
        <v>410</v>
      </c>
      <c r="E1118" s="455">
        <v>1</v>
      </c>
      <c r="F1118" s="435">
        <f>G1161</f>
        <v>0.57999999999999996</v>
      </c>
      <c r="G1118" s="456">
        <f t="shared" si="59"/>
        <v>0.57999999999999996</v>
      </c>
    </row>
    <row r="1119" spans="1:8" ht="14.1" customHeight="1">
      <c r="D1119" s="463"/>
      <c r="E1119" s="464"/>
      <c r="F1119" s="465" t="s">
        <v>103</v>
      </c>
      <c r="G1119" s="466"/>
    </row>
    <row r="1120" spans="1:8" ht="14.1" customHeight="1">
      <c r="A1120" s="439"/>
      <c r="D1120" s="436"/>
      <c r="E1120" s="437"/>
      <c r="F1120" s="438" t="s">
        <v>105</v>
      </c>
      <c r="G1120" s="456">
        <f>SUM(G1115:G1118)</f>
        <v>1.04</v>
      </c>
      <c r="H1120" s="421"/>
    </row>
    <row r="1121" spans="1:9" ht="14.1" customHeight="1">
      <c r="A1121" s="439"/>
      <c r="D1121" s="216"/>
      <c r="E1121" s="171"/>
      <c r="F1121" s="438" t="s">
        <v>106</v>
      </c>
      <c r="G1121" s="457">
        <f>SUM(G1119:G1120)</f>
        <v>1.04</v>
      </c>
      <c r="H1121" s="441"/>
    </row>
    <row r="1122" spans="1:9">
      <c r="A1122" s="442"/>
      <c r="B1122" s="443"/>
      <c r="C1122" s="444"/>
      <c r="D1122" s="445"/>
      <c r="E1122" s="442"/>
      <c r="F1122" s="443"/>
      <c r="G1122" s="443"/>
      <c r="H1122" s="443"/>
      <c r="I1122" s="442"/>
    </row>
    <row r="1124" spans="1:9">
      <c r="A1124" s="170" t="s">
        <v>1258</v>
      </c>
    </row>
    <row r="1125" spans="1:9">
      <c r="A1125" s="170" t="s">
        <v>1259</v>
      </c>
      <c r="B1125" s="220" t="s">
        <v>1479</v>
      </c>
      <c r="C1125" s="426"/>
    </row>
    <row r="1126" spans="1:9" ht="36.75" customHeight="1">
      <c r="A1126" s="170" t="s">
        <v>80</v>
      </c>
      <c r="B1126" s="1429" t="s">
        <v>1475</v>
      </c>
      <c r="C1126" s="1429"/>
      <c r="D1126" s="1429"/>
      <c r="E1126" s="222" t="s">
        <v>410</v>
      </c>
      <c r="F1126" s="425"/>
      <c r="G1126" s="425"/>
    </row>
    <row r="1127" spans="1:9" ht="22.5">
      <c r="A1127" s="428" t="s">
        <v>30</v>
      </c>
      <c r="B1127" s="429" t="s">
        <v>19</v>
      </c>
      <c r="C1127" s="430" t="s">
        <v>92</v>
      </c>
      <c r="D1127" s="430" t="s">
        <v>88</v>
      </c>
      <c r="E1127" s="431" t="s">
        <v>93</v>
      </c>
      <c r="F1127" s="432" t="s">
        <v>94</v>
      </c>
      <c r="G1127" s="433" t="s">
        <v>95</v>
      </c>
    </row>
    <row r="1128" spans="1:9" ht="45">
      <c r="A1128" s="494">
        <v>10535</v>
      </c>
      <c r="B1128" s="496" t="s">
        <v>1480</v>
      </c>
      <c r="C1128" s="433" t="s">
        <v>1342</v>
      </c>
      <c r="D1128" s="430" t="s">
        <v>410</v>
      </c>
      <c r="E1128" s="497">
        <v>6.3999999999999997E-5</v>
      </c>
      <c r="F1128" s="459">
        <v>3451.74</v>
      </c>
      <c r="G1128" s="456">
        <f t="shared" ref="G1128" si="60">TRUNC(E1128*F1128,2)</f>
        <v>0.22</v>
      </c>
    </row>
    <row r="1129" spans="1:9" ht="14.1" customHeight="1">
      <c r="D1129" s="463"/>
      <c r="E1129" s="464"/>
      <c r="F1129" s="465" t="s">
        <v>103</v>
      </c>
      <c r="G1129" s="466">
        <v>0</v>
      </c>
    </row>
    <row r="1130" spans="1:9" ht="14.1" customHeight="1">
      <c r="A1130" s="439"/>
      <c r="D1130" s="436"/>
      <c r="E1130" s="437"/>
      <c r="F1130" s="438" t="s">
        <v>105</v>
      </c>
      <c r="G1130" s="456">
        <f>G1128</f>
        <v>0.22</v>
      </c>
      <c r="H1130" s="421"/>
    </row>
    <row r="1131" spans="1:9" ht="14.1" customHeight="1">
      <c r="A1131" s="439"/>
      <c r="D1131" s="216"/>
      <c r="E1131" s="171"/>
      <c r="F1131" s="438" t="s">
        <v>106</v>
      </c>
      <c r="G1131" s="457">
        <f>SUM(G1129:G1130)</f>
        <v>0.22</v>
      </c>
      <c r="H1131" s="441"/>
    </row>
    <row r="1132" spans="1:9">
      <c r="A1132" s="442"/>
      <c r="B1132" s="443"/>
      <c r="C1132" s="444"/>
      <c r="D1132" s="445"/>
      <c r="E1132" s="442"/>
      <c r="F1132" s="443"/>
      <c r="G1132" s="443"/>
      <c r="H1132" s="443"/>
      <c r="I1132" s="442"/>
    </row>
    <row r="1134" spans="1:9">
      <c r="A1134" s="170" t="s">
        <v>1258</v>
      </c>
    </row>
    <row r="1135" spans="1:9">
      <c r="A1135" s="170" t="s">
        <v>1259</v>
      </c>
      <c r="B1135" s="220" t="s">
        <v>1481</v>
      </c>
      <c r="C1135" s="426"/>
    </row>
    <row r="1136" spans="1:9" ht="25.5" customHeight="1">
      <c r="A1136" s="170" t="s">
        <v>80</v>
      </c>
      <c r="B1136" s="1429" t="s">
        <v>1482</v>
      </c>
      <c r="C1136" s="1429"/>
      <c r="D1136" s="1429"/>
      <c r="E1136" s="222" t="s">
        <v>410</v>
      </c>
      <c r="F1136" s="425"/>
      <c r="G1136" s="425"/>
    </row>
    <row r="1137" spans="1:9" ht="22.5">
      <c r="A1137" s="428" t="s">
        <v>30</v>
      </c>
      <c r="B1137" s="429" t="s">
        <v>19</v>
      </c>
      <c r="C1137" s="430" t="s">
        <v>92</v>
      </c>
      <c r="D1137" s="430" t="s">
        <v>88</v>
      </c>
      <c r="E1137" s="431" t="s">
        <v>93</v>
      </c>
      <c r="F1137" s="432" t="s">
        <v>94</v>
      </c>
      <c r="G1137" s="433" t="s">
        <v>95</v>
      </c>
    </row>
    <row r="1138" spans="1:9" ht="45">
      <c r="A1138" s="494">
        <v>10535</v>
      </c>
      <c r="B1138" s="496" t="s">
        <v>1483</v>
      </c>
      <c r="C1138" s="433" t="s">
        <v>1342</v>
      </c>
      <c r="D1138" s="430" t="s">
        <v>410</v>
      </c>
      <c r="E1138" s="504">
        <v>1.4399999999999999E-5</v>
      </c>
      <c r="F1138" s="459">
        <v>3451.74</v>
      </c>
      <c r="G1138" s="456">
        <f t="shared" ref="G1138" si="61">TRUNC(E1138*F1138,2)</f>
        <v>0.04</v>
      </c>
    </row>
    <row r="1139" spans="1:9" ht="14.1" customHeight="1">
      <c r="D1139" s="463"/>
      <c r="E1139" s="464"/>
      <c r="F1139" s="465" t="s">
        <v>103</v>
      </c>
      <c r="G1139" s="466">
        <v>0</v>
      </c>
    </row>
    <row r="1140" spans="1:9" ht="14.1" customHeight="1">
      <c r="A1140" s="439"/>
      <c r="D1140" s="436"/>
      <c r="E1140" s="437"/>
      <c r="F1140" s="438" t="s">
        <v>105</v>
      </c>
      <c r="G1140" s="456">
        <f>G1138</f>
        <v>0.04</v>
      </c>
      <c r="H1140" s="421"/>
    </row>
    <row r="1141" spans="1:9" ht="14.1" customHeight="1">
      <c r="A1141" s="439"/>
      <c r="D1141" s="216"/>
      <c r="E1141" s="171"/>
      <c r="F1141" s="438" t="s">
        <v>106</v>
      </c>
      <c r="G1141" s="457">
        <f>SUM(G1139:G1140)</f>
        <v>0.04</v>
      </c>
      <c r="H1141" s="441"/>
    </row>
    <row r="1142" spans="1:9">
      <c r="A1142" s="442"/>
      <c r="B1142" s="443"/>
      <c r="C1142" s="444"/>
      <c r="D1142" s="445"/>
      <c r="E1142" s="442"/>
      <c r="F1142" s="443"/>
      <c r="G1142" s="443"/>
      <c r="H1142" s="443"/>
      <c r="I1142" s="442"/>
    </row>
    <row r="1144" spans="1:9">
      <c r="A1144" s="170" t="s">
        <v>1258</v>
      </c>
    </row>
    <row r="1145" spans="1:9">
      <c r="A1145" s="170" t="s">
        <v>1259</v>
      </c>
      <c r="B1145" s="220" t="s">
        <v>1484</v>
      </c>
      <c r="C1145" s="426"/>
    </row>
    <row r="1146" spans="1:9" ht="33" customHeight="1">
      <c r="A1146" s="170" t="s">
        <v>80</v>
      </c>
      <c r="B1146" s="1429" t="s">
        <v>1485</v>
      </c>
      <c r="C1146" s="1429"/>
      <c r="D1146" s="1429"/>
      <c r="E1146" s="222" t="s">
        <v>410</v>
      </c>
      <c r="F1146" s="425"/>
      <c r="G1146" s="425"/>
    </row>
    <row r="1147" spans="1:9" ht="22.5">
      <c r="A1147" s="428" t="s">
        <v>30</v>
      </c>
      <c r="B1147" s="429" t="s">
        <v>19</v>
      </c>
      <c r="C1147" s="430" t="s">
        <v>92</v>
      </c>
      <c r="D1147" s="430" t="s">
        <v>88</v>
      </c>
      <c r="E1147" s="431" t="s">
        <v>93</v>
      </c>
      <c r="F1147" s="432" t="s">
        <v>94</v>
      </c>
      <c r="G1147" s="433" t="s">
        <v>95</v>
      </c>
    </row>
    <row r="1148" spans="1:9" ht="45">
      <c r="A1148" s="494">
        <v>10535</v>
      </c>
      <c r="B1148" s="496" t="s">
        <v>1480</v>
      </c>
      <c r="C1148" s="433" t="s">
        <v>1342</v>
      </c>
      <c r="D1148" s="430" t="s">
        <v>410</v>
      </c>
      <c r="E1148" s="497">
        <v>6.0000000000000002E-5</v>
      </c>
      <c r="F1148" s="459">
        <v>3451.74</v>
      </c>
      <c r="G1148" s="456">
        <f t="shared" ref="G1148" si="62">TRUNC(E1148*F1148,2)</f>
        <v>0.2</v>
      </c>
    </row>
    <row r="1149" spans="1:9" ht="14.1" customHeight="1">
      <c r="D1149" s="463"/>
      <c r="E1149" s="464"/>
      <c r="F1149" s="465" t="s">
        <v>103</v>
      </c>
      <c r="G1149" s="466">
        <v>0</v>
      </c>
    </row>
    <row r="1150" spans="1:9" ht="14.1" customHeight="1">
      <c r="A1150" s="439"/>
      <c r="D1150" s="436"/>
      <c r="E1150" s="437"/>
      <c r="F1150" s="438" t="s">
        <v>105</v>
      </c>
      <c r="G1150" s="456">
        <f>G1148</f>
        <v>0.2</v>
      </c>
      <c r="H1150" s="421"/>
    </row>
    <row r="1151" spans="1:9" ht="14.1" customHeight="1">
      <c r="A1151" s="439"/>
      <c r="D1151" s="216"/>
      <c r="E1151" s="171"/>
      <c r="F1151" s="438" t="s">
        <v>106</v>
      </c>
      <c r="G1151" s="457">
        <f>SUM(G1149:G1150)</f>
        <v>0.2</v>
      </c>
      <c r="H1151" s="441"/>
    </row>
    <row r="1152" spans="1:9">
      <c r="A1152" s="442"/>
      <c r="B1152" s="443"/>
      <c r="C1152" s="444"/>
      <c r="D1152" s="445"/>
      <c r="E1152" s="442"/>
      <c r="F1152" s="443"/>
      <c r="G1152" s="443"/>
      <c r="H1152" s="443"/>
      <c r="I1152" s="442"/>
    </row>
    <row r="1154" spans="1:9">
      <c r="A1154" s="170" t="s">
        <v>1258</v>
      </c>
    </row>
    <row r="1155" spans="1:9">
      <c r="A1155" s="170" t="s">
        <v>1259</v>
      </c>
      <c r="B1155" s="220" t="s">
        <v>1486</v>
      </c>
      <c r="C1155" s="426"/>
    </row>
    <row r="1156" spans="1:9" ht="22.5" customHeight="1">
      <c r="A1156" s="170" t="s">
        <v>80</v>
      </c>
      <c r="B1156" s="1429" t="s">
        <v>1487</v>
      </c>
      <c r="C1156" s="1429"/>
      <c r="D1156" s="1429"/>
      <c r="E1156" s="222" t="s">
        <v>410</v>
      </c>
      <c r="F1156" s="425"/>
      <c r="G1156" s="425"/>
    </row>
    <row r="1157" spans="1:9" ht="22.5">
      <c r="A1157" s="428" t="s">
        <v>30</v>
      </c>
      <c r="B1157" s="429" t="s">
        <v>19</v>
      </c>
      <c r="C1157" s="430" t="s">
        <v>92</v>
      </c>
      <c r="D1157" s="430" t="s">
        <v>88</v>
      </c>
      <c r="E1157" s="431" t="s">
        <v>93</v>
      </c>
      <c r="F1157" s="432" t="s">
        <v>94</v>
      </c>
      <c r="G1157" s="433" t="s">
        <v>95</v>
      </c>
    </row>
    <row r="1158" spans="1:9" ht="22.5">
      <c r="A1158" s="494" t="s">
        <v>1433</v>
      </c>
      <c r="B1158" s="496" t="s">
        <v>1434</v>
      </c>
      <c r="C1158" s="433" t="s">
        <v>99</v>
      </c>
      <c r="D1158" s="430" t="s">
        <v>1435</v>
      </c>
      <c r="E1158" s="495">
        <v>1.25</v>
      </c>
      <c r="F1158" s="459">
        <v>0.47</v>
      </c>
      <c r="G1158" s="456">
        <f t="shared" ref="G1158" si="63">TRUNC(E1158*F1158,2)</f>
        <v>0.57999999999999996</v>
      </c>
    </row>
    <row r="1159" spans="1:9" ht="14.1" customHeight="1">
      <c r="D1159" s="463"/>
      <c r="E1159" s="464"/>
      <c r="F1159" s="465" t="s">
        <v>103</v>
      </c>
      <c r="G1159" s="466">
        <v>0</v>
      </c>
    </row>
    <row r="1160" spans="1:9" ht="14.1" customHeight="1">
      <c r="A1160" s="439"/>
      <c r="D1160" s="436"/>
      <c r="E1160" s="437"/>
      <c r="F1160" s="438" t="s">
        <v>105</v>
      </c>
      <c r="G1160" s="456">
        <f>G1158</f>
        <v>0.57999999999999996</v>
      </c>
      <c r="H1160" s="421"/>
    </row>
    <row r="1161" spans="1:9" ht="14.1" customHeight="1">
      <c r="A1161" s="439"/>
      <c r="D1161" s="216"/>
      <c r="E1161" s="171"/>
      <c r="F1161" s="438" t="s">
        <v>106</v>
      </c>
      <c r="G1161" s="457">
        <f>SUM(G1159:G1160)</f>
        <v>0.57999999999999996</v>
      </c>
      <c r="H1161" s="441"/>
    </row>
    <row r="1162" spans="1:9">
      <c r="A1162" s="442"/>
      <c r="B1162" s="443"/>
      <c r="C1162" s="444"/>
      <c r="D1162" s="445"/>
      <c r="E1162" s="442"/>
      <c r="F1162" s="443"/>
      <c r="G1162" s="443"/>
      <c r="H1162" s="443"/>
      <c r="I1162" s="442"/>
    </row>
    <row r="1164" spans="1:9">
      <c r="A1164" s="170" t="s">
        <v>1258</v>
      </c>
    </row>
    <row r="1165" spans="1:9">
      <c r="A1165" s="170" t="s">
        <v>1259</v>
      </c>
      <c r="B1165" s="220" t="s">
        <v>1488</v>
      </c>
      <c r="C1165" s="426"/>
    </row>
    <row r="1166" spans="1:9" ht="33.75" customHeight="1">
      <c r="A1166" s="170" t="s">
        <v>80</v>
      </c>
      <c r="B1166" s="1429" t="s">
        <v>1489</v>
      </c>
      <c r="C1166" s="1429"/>
      <c r="D1166" s="1429"/>
      <c r="E1166" s="222" t="s">
        <v>1338</v>
      </c>
      <c r="F1166" s="425"/>
      <c r="G1166" s="425"/>
    </row>
    <row r="1167" spans="1:9" ht="22.5">
      <c r="A1167" s="428" t="s">
        <v>30</v>
      </c>
      <c r="B1167" s="429" t="s">
        <v>19</v>
      </c>
      <c r="C1167" s="430" t="s">
        <v>92</v>
      </c>
      <c r="D1167" s="430" t="s">
        <v>88</v>
      </c>
      <c r="E1167" s="431" t="s">
        <v>93</v>
      </c>
      <c r="F1167" s="432" t="s">
        <v>94</v>
      </c>
      <c r="G1167" s="433" t="s">
        <v>95</v>
      </c>
    </row>
    <row r="1168" spans="1:9" ht="45">
      <c r="A1168" s="503">
        <v>88826</v>
      </c>
      <c r="B1168" s="488" t="s">
        <v>1475</v>
      </c>
      <c r="C1168" s="489" t="s">
        <v>1342</v>
      </c>
      <c r="D1168" s="490" t="s">
        <v>410</v>
      </c>
      <c r="E1168" s="491">
        <v>1</v>
      </c>
      <c r="F1168" s="492">
        <f>G1131</f>
        <v>0.22</v>
      </c>
      <c r="G1168" s="493">
        <f t="shared" ref="G1168:G1169" si="64">TRUNC(E1168*F1168,2)</f>
        <v>0.22</v>
      </c>
    </row>
    <row r="1169" spans="1:9" ht="45">
      <c r="A1169" s="494">
        <v>88827</v>
      </c>
      <c r="B1169" s="434" t="s">
        <v>1476</v>
      </c>
      <c r="C1169" s="433" t="s">
        <v>1342</v>
      </c>
      <c r="D1169" s="430" t="s">
        <v>410</v>
      </c>
      <c r="E1169" s="495">
        <v>1</v>
      </c>
      <c r="F1169" s="435">
        <f>G1141</f>
        <v>0.04</v>
      </c>
      <c r="G1169" s="456">
        <f t="shared" si="64"/>
        <v>0.04</v>
      </c>
    </row>
    <row r="1170" spans="1:9" ht="14.1" customHeight="1">
      <c r="D1170" s="463"/>
      <c r="E1170" s="464"/>
      <c r="F1170" s="465" t="s">
        <v>103</v>
      </c>
      <c r="G1170" s="466">
        <v>0</v>
      </c>
    </row>
    <row r="1171" spans="1:9" ht="14.1" customHeight="1">
      <c r="A1171" s="439"/>
      <c r="D1171" s="436"/>
      <c r="E1171" s="437"/>
      <c r="F1171" s="438" t="s">
        <v>105</v>
      </c>
      <c r="G1171" s="456">
        <f>G1169</f>
        <v>0.04</v>
      </c>
      <c r="H1171" s="421"/>
    </row>
    <row r="1172" spans="1:9" ht="14.1" customHeight="1">
      <c r="A1172" s="439"/>
      <c r="D1172" s="216"/>
      <c r="E1172" s="171"/>
      <c r="F1172" s="438" t="s">
        <v>106</v>
      </c>
      <c r="G1172" s="457">
        <f>SUM(G1170:G1171)</f>
        <v>0.04</v>
      </c>
      <c r="H1172" s="441"/>
    </row>
    <row r="1173" spans="1:9">
      <c r="A1173" s="442"/>
      <c r="B1173" s="443"/>
      <c r="C1173" s="444"/>
      <c r="D1173" s="445"/>
      <c r="E1173" s="442"/>
      <c r="F1173" s="443"/>
      <c r="G1173" s="443"/>
      <c r="H1173" s="443"/>
      <c r="I1173" s="442"/>
    </row>
    <row r="1175" spans="1:9">
      <c r="A1175" s="170" t="s">
        <v>1258</v>
      </c>
    </row>
    <row r="1176" spans="1:9">
      <c r="A1176" s="170" t="s">
        <v>1259</v>
      </c>
      <c r="B1176" s="220" t="s">
        <v>1700</v>
      </c>
      <c r="C1176" s="426"/>
    </row>
    <row r="1177" spans="1:9" ht="28.5" customHeight="1">
      <c r="A1177" s="170" t="s">
        <v>80</v>
      </c>
      <c r="B1177" s="1429" t="s">
        <v>1701</v>
      </c>
      <c r="C1177" s="1429"/>
      <c r="D1177" s="1429"/>
      <c r="E1177" s="723" t="s">
        <v>1359</v>
      </c>
      <c r="F1177" s="425"/>
      <c r="G1177" s="425"/>
    </row>
    <row r="1178" spans="1:9" ht="22.5">
      <c r="A1178" s="428" t="s">
        <v>30</v>
      </c>
      <c r="B1178" s="429" t="s">
        <v>19</v>
      </c>
      <c r="C1178" s="430" t="s">
        <v>92</v>
      </c>
      <c r="D1178" s="430" t="s">
        <v>88</v>
      </c>
      <c r="E1178" s="690" t="s">
        <v>93</v>
      </c>
      <c r="F1178" s="432" t="s">
        <v>94</v>
      </c>
      <c r="G1178" s="433" t="s">
        <v>95</v>
      </c>
    </row>
    <row r="1179" spans="1:9" ht="33.75">
      <c r="A1179" s="487" t="s">
        <v>1702</v>
      </c>
      <c r="B1179" s="488" t="s">
        <v>1703</v>
      </c>
      <c r="C1179" s="489" t="s">
        <v>1342</v>
      </c>
      <c r="D1179" s="701" t="s">
        <v>410</v>
      </c>
      <c r="E1179" s="702">
        <v>1</v>
      </c>
      <c r="F1179" s="689">
        <f>G1195</f>
        <v>0.25</v>
      </c>
      <c r="G1179" s="493">
        <f t="shared" ref="G1179:G1182" si="65">TRUNC(E1179*F1179,2)</f>
        <v>0.25</v>
      </c>
    </row>
    <row r="1180" spans="1:9" ht="33.75">
      <c r="A1180" s="487" t="s">
        <v>1704</v>
      </c>
      <c r="B1180" s="488" t="s">
        <v>1705</v>
      </c>
      <c r="C1180" s="489" t="s">
        <v>1342</v>
      </c>
      <c r="D1180" s="701" t="s">
        <v>410</v>
      </c>
      <c r="E1180" s="702">
        <v>1</v>
      </c>
      <c r="F1180" s="689">
        <f>G1205</f>
        <v>0.05</v>
      </c>
      <c r="G1180" s="493">
        <f t="shared" si="65"/>
        <v>0.05</v>
      </c>
    </row>
    <row r="1181" spans="1:9" ht="33.75">
      <c r="A1181" s="487" t="s">
        <v>1706</v>
      </c>
      <c r="B1181" s="488" t="s">
        <v>1707</v>
      </c>
      <c r="C1181" s="489" t="s">
        <v>1342</v>
      </c>
      <c r="D1181" s="701" t="s">
        <v>410</v>
      </c>
      <c r="E1181" s="702">
        <v>1</v>
      </c>
      <c r="F1181" s="689">
        <f>G1215</f>
        <v>0.19</v>
      </c>
      <c r="G1181" s="493">
        <f t="shared" si="65"/>
        <v>0.19</v>
      </c>
    </row>
    <row r="1182" spans="1:9" ht="33.75">
      <c r="A1182" s="494" t="s">
        <v>1708</v>
      </c>
      <c r="B1182" s="712" t="s">
        <v>1709</v>
      </c>
      <c r="C1182" s="433" t="s">
        <v>1342</v>
      </c>
      <c r="D1182" s="430" t="s">
        <v>410</v>
      </c>
      <c r="E1182" s="495">
        <v>1</v>
      </c>
      <c r="F1182" s="435">
        <f>G1225</f>
        <v>0.57999999999999996</v>
      </c>
      <c r="G1182" s="493">
        <f t="shared" si="65"/>
        <v>0.57999999999999996</v>
      </c>
    </row>
    <row r="1183" spans="1:9" ht="14.1" customHeight="1">
      <c r="D1183" s="463"/>
      <c r="E1183" s="464"/>
      <c r="F1183" s="465" t="s">
        <v>103</v>
      </c>
      <c r="G1183" s="456"/>
    </row>
    <row r="1184" spans="1:9" ht="14.1" customHeight="1">
      <c r="A1184" s="439"/>
      <c r="D1184" s="436"/>
      <c r="E1184" s="437"/>
      <c r="F1184" s="438" t="s">
        <v>105</v>
      </c>
      <c r="G1184" s="456">
        <f>SUM(G1179:G1182)</f>
        <v>1.0699999999999998</v>
      </c>
      <c r="H1184" s="421"/>
    </row>
    <row r="1185" spans="1:9" ht="14.1" customHeight="1">
      <c r="A1185" s="439"/>
      <c r="D1185" s="216"/>
      <c r="E1185" s="171"/>
      <c r="F1185" s="438" t="s">
        <v>106</v>
      </c>
      <c r="G1185" s="457">
        <f>SUM(G1183:G1184)</f>
        <v>1.0699999999999998</v>
      </c>
      <c r="H1185" s="441"/>
    </row>
    <row r="1186" spans="1:9">
      <c r="A1186" s="442"/>
      <c r="B1186" s="443"/>
      <c r="C1186" s="444"/>
      <c r="D1186" s="445"/>
      <c r="E1186" s="442"/>
      <c r="F1186" s="443"/>
      <c r="G1186" s="443"/>
      <c r="H1186" s="443"/>
      <c r="I1186" s="442"/>
    </row>
    <row r="1188" spans="1:9">
      <c r="A1188" s="170" t="s">
        <v>1258</v>
      </c>
      <c r="H1188" s="421"/>
      <c r="I1188" s="424"/>
    </row>
    <row r="1189" spans="1:9">
      <c r="A1189" s="170" t="s">
        <v>1259</v>
      </c>
      <c r="B1189" s="220" t="s">
        <v>1710</v>
      </c>
      <c r="C1189" s="426"/>
      <c r="H1189" s="421"/>
      <c r="I1189" s="424"/>
    </row>
    <row r="1190" spans="1:9" ht="24" customHeight="1">
      <c r="A1190" s="170" t="s">
        <v>80</v>
      </c>
      <c r="B1190" s="1429" t="s">
        <v>1703</v>
      </c>
      <c r="C1190" s="1429"/>
      <c r="D1190" s="1429"/>
      <c r="E1190" s="723" t="s">
        <v>410</v>
      </c>
      <c r="F1190" s="425"/>
      <c r="G1190" s="425"/>
      <c r="H1190" s="421"/>
      <c r="I1190" s="424"/>
    </row>
    <row r="1191" spans="1:9" ht="22.5">
      <c r="A1191" s="428" t="s">
        <v>30</v>
      </c>
      <c r="B1191" s="429" t="s">
        <v>19</v>
      </c>
      <c r="C1191" s="430" t="s">
        <v>92</v>
      </c>
      <c r="D1191" s="430" t="s">
        <v>88</v>
      </c>
      <c r="E1191" s="690" t="s">
        <v>93</v>
      </c>
      <c r="F1191" s="432" t="s">
        <v>94</v>
      </c>
      <c r="G1191" s="433" t="s">
        <v>95</v>
      </c>
      <c r="H1191" s="421"/>
      <c r="I1191" s="424"/>
    </row>
    <row r="1192" spans="1:9" ht="33.75">
      <c r="A1192" s="715" t="s">
        <v>1711</v>
      </c>
      <c r="B1192" s="449" t="s">
        <v>1712</v>
      </c>
      <c r="C1192" s="450" t="s">
        <v>1342</v>
      </c>
      <c r="D1192" s="430" t="s">
        <v>88</v>
      </c>
      <c r="E1192" s="451">
        <v>1.2799999999999999E-4</v>
      </c>
      <c r="F1192" s="478">
        <v>1973.59</v>
      </c>
      <c r="G1192" s="433">
        <f>TRUNC(E1192*F1192,2)</f>
        <v>0.25</v>
      </c>
    </row>
    <row r="1193" spans="1:9" ht="14.1" customHeight="1">
      <c r="D1193" s="436"/>
      <c r="E1193" s="437"/>
      <c r="F1193" s="438" t="s">
        <v>103</v>
      </c>
      <c r="G1193" s="433"/>
    </row>
    <row r="1194" spans="1:9" ht="14.1" customHeight="1">
      <c r="D1194" s="436"/>
      <c r="E1194" s="437"/>
      <c r="F1194" s="438" t="s">
        <v>105</v>
      </c>
      <c r="G1194" s="433">
        <f>G1192</f>
        <v>0.25</v>
      </c>
    </row>
    <row r="1195" spans="1:9" ht="14.1" customHeight="1">
      <c r="A1195" s="439"/>
      <c r="D1195" s="436"/>
      <c r="E1195" s="437"/>
      <c r="F1195" s="438" t="s">
        <v>106</v>
      </c>
      <c r="G1195" s="440">
        <f>SUM(G1193:G1194)</f>
        <v>0.25</v>
      </c>
      <c r="H1195" s="441"/>
    </row>
    <row r="1196" spans="1:9">
      <c r="A1196" s="442"/>
      <c r="B1196" s="443"/>
      <c r="C1196" s="444"/>
      <c r="D1196" s="445"/>
      <c r="E1196" s="442"/>
      <c r="F1196" s="443"/>
      <c r="G1196" s="443"/>
      <c r="H1196" s="443"/>
      <c r="I1196" s="442"/>
    </row>
    <row r="1197" spans="1:9">
      <c r="A1197" s="424"/>
      <c r="B1197" s="421"/>
      <c r="C1197" s="422"/>
      <c r="D1197" s="423"/>
      <c r="E1197" s="424"/>
      <c r="F1197" s="421"/>
      <c r="G1197" s="421"/>
      <c r="H1197" s="421"/>
      <c r="I1197" s="424"/>
    </row>
    <row r="1198" spans="1:9">
      <c r="A1198" s="170" t="s">
        <v>1258</v>
      </c>
      <c r="H1198" s="421"/>
      <c r="I1198" s="424"/>
    </row>
    <row r="1199" spans="1:9" ht="13.5" customHeight="1">
      <c r="A1199" s="170" t="s">
        <v>1259</v>
      </c>
      <c r="B1199" s="220" t="s">
        <v>1713</v>
      </c>
      <c r="C1199" s="426"/>
      <c r="H1199" s="421"/>
      <c r="I1199" s="424"/>
    </row>
    <row r="1200" spans="1:9" ht="24.75" customHeight="1">
      <c r="A1200" s="170" t="s">
        <v>80</v>
      </c>
      <c r="B1200" s="1429" t="s">
        <v>1714</v>
      </c>
      <c r="C1200" s="1429"/>
      <c r="D1200" s="1429"/>
      <c r="E1200" s="222" t="s">
        <v>410</v>
      </c>
      <c r="F1200" s="425"/>
      <c r="G1200" s="425"/>
      <c r="H1200" s="421"/>
      <c r="I1200" s="424"/>
    </row>
    <row r="1201" spans="1:9" ht="22.5">
      <c r="A1201" s="428" t="s">
        <v>30</v>
      </c>
      <c r="B1201" s="429" t="s">
        <v>19</v>
      </c>
      <c r="C1201" s="430" t="s">
        <v>92</v>
      </c>
      <c r="D1201" s="430" t="s">
        <v>88</v>
      </c>
      <c r="E1201" s="690" t="s">
        <v>93</v>
      </c>
      <c r="F1201" s="432" t="s">
        <v>94</v>
      </c>
      <c r="G1201" s="433" t="s">
        <v>95</v>
      </c>
      <c r="H1201" s="421"/>
      <c r="I1201" s="424"/>
    </row>
    <row r="1202" spans="1:9" ht="33.75">
      <c r="A1202" s="715" t="s">
        <v>1711</v>
      </c>
      <c r="B1202" s="449" t="s">
        <v>1712</v>
      </c>
      <c r="C1202" s="450" t="s">
        <v>1342</v>
      </c>
      <c r="D1202" s="430" t="s">
        <v>88</v>
      </c>
      <c r="E1202" s="451">
        <v>2.8799999999999999E-5</v>
      </c>
      <c r="F1202" s="478">
        <v>1973.59</v>
      </c>
      <c r="G1202" s="433">
        <f>TRUNC(E1202*F1202,2)</f>
        <v>0.05</v>
      </c>
    </row>
    <row r="1203" spans="1:9" ht="14.1" customHeight="1">
      <c r="D1203" s="436"/>
      <c r="E1203" s="437"/>
      <c r="F1203" s="438" t="s">
        <v>103</v>
      </c>
      <c r="G1203" s="433"/>
    </row>
    <row r="1204" spans="1:9" ht="14.1" customHeight="1">
      <c r="D1204" s="436"/>
      <c r="E1204" s="437"/>
      <c r="F1204" s="438" t="s">
        <v>105</v>
      </c>
      <c r="G1204" s="433">
        <f>G1202</f>
        <v>0.05</v>
      </c>
    </row>
    <row r="1205" spans="1:9" ht="14.1" customHeight="1">
      <c r="A1205" s="439"/>
      <c r="D1205" s="436"/>
      <c r="E1205" s="437"/>
      <c r="F1205" s="438" t="s">
        <v>106</v>
      </c>
      <c r="G1205" s="440">
        <f>SUM(G1203:G1204)</f>
        <v>0.05</v>
      </c>
      <c r="H1205" s="441"/>
    </row>
    <row r="1206" spans="1:9">
      <c r="A1206" s="442"/>
      <c r="B1206" s="443"/>
      <c r="C1206" s="444"/>
      <c r="D1206" s="445"/>
      <c r="E1206" s="442"/>
      <c r="F1206" s="443"/>
      <c r="G1206" s="443"/>
      <c r="H1206" s="443"/>
      <c r="I1206" s="442"/>
    </row>
    <row r="1208" spans="1:9">
      <c r="A1208" s="170" t="s">
        <v>1258</v>
      </c>
      <c r="H1208" s="421"/>
      <c r="I1208" s="424"/>
    </row>
    <row r="1209" spans="1:9" ht="12" customHeight="1">
      <c r="A1209" s="170" t="s">
        <v>1259</v>
      </c>
      <c r="B1209" s="220" t="s">
        <v>1715</v>
      </c>
      <c r="C1209" s="426"/>
      <c r="H1209" s="421"/>
      <c r="I1209" s="424"/>
    </row>
    <row r="1210" spans="1:9" ht="25.5" customHeight="1">
      <c r="A1210" s="170" t="s">
        <v>80</v>
      </c>
      <c r="B1210" s="1429" t="s">
        <v>1707</v>
      </c>
      <c r="C1210" s="1429"/>
      <c r="D1210" s="1429"/>
      <c r="E1210" s="222" t="s">
        <v>410</v>
      </c>
      <c r="F1210" s="425"/>
      <c r="G1210" s="425"/>
      <c r="H1210" s="421"/>
      <c r="I1210" s="424"/>
    </row>
    <row r="1211" spans="1:9" ht="22.5">
      <c r="A1211" s="428" t="s">
        <v>30</v>
      </c>
      <c r="B1211" s="429" t="s">
        <v>19</v>
      </c>
      <c r="C1211" s="430" t="s">
        <v>92</v>
      </c>
      <c r="D1211" s="430" t="s">
        <v>88</v>
      </c>
      <c r="E1211" s="690" t="s">
        <v>93</v>
      </c>
      <c r="F1211" s="432" t="s">
        <v>94</v>
      </c>
      <c r="G1211" s="433" t="s">
        <v>95</v>
      </c>
      <c r="H1211" s="421"/>
      <c r="I1211" s="424"/>
    </row>
    <row r="1212" spans="1:9" ht="33.75">
      <c r="A1212" s="715" t="s">
        <v>1711</v>
      </c>
      <c r="B1212" s="449" t="s">
        <v>1712</v>
      </c>
      <c r="C1212" s="450" t="s">
        <v>1342</v>
      </c>
      <c r="D1212" s="430" t="s">
        <v>88</v>
      </c>
      <c r="E1212" s="451">
        <v>1E-4</v>
      </c>
      <c r="F1212" s="478">
        <v>1973.59</v>
      </c>
      <c r="G1212" s="433">
        <f>TRUNC(E1212*F1212,2)</f>
        <v>0.19</v>
      </c>
    </row>
    <row r="1213" spans="1:9" ht="14.1" customHeight="1">
      <c r="D1213" s="436"/>
      <c r="E1213" s="437"/>
      <c r="F1213" s="438" t="s">
        <v>103</v>
      </c>
      <c r="G1213" s="433"/>
    </row>
    <row r="1214" spans="1:9" ht="14.1" customHeight="1">
      <c r="D1214" s="436"/>
      <c r="E1214" s="437"/>
      <c r="F1214" s="438" t="s">
        <v>105</v>
      </c>
      <c r="G1214" s="433">
        <f>G1212</f>
        <v>0.19</v>
      </c>
    </row>
    <row r="1215" spans="1:9" ht="14.1" customHeight="1">
      <c r="A1215" s="439"/>
      <c r="D1215" s="436"/>
      <c r="E1215" s="437"/>
      <c r="F1215" s="438" t="s">
        <v>106</v>
      </c>
      <c r="G1215" s="440">
        <f>SUM(G1213:G1214)</f>
        <v>0.19</v>
      </c>
      <c r="H1215" s="441"/>
    </row>
    <row r="1216" spans="1:9">
      <c r="A1216" s="442"/>
      <c r="B1216" s="443"/>
      <c r="C1216" s="444"/>
      <c r="D1216" s="445"/>
      <c r="E1216" s="442"/>
      <c r="F1216" s="443"/>
      <c r="G1216" s="443"/>
      <c r="H1216" s="443"/>
      <c r="I1216" s="442"/>
    </row>
    <row r="1217" spans="1:9">
      <c r="A1217" s="424"/>
      <c r="B1217" s="421"/>
      <c r="C1217" s="422"/>
      <c r="D1217" s="423"/>
      <c r="E1217" s="424"/>
      <c r="F1217" s="421"/>
      <c r="G1217" s="421"/>
      <c r="H1217" s="421"/>
      <c r="I1217" s="424"/>
    </row>
    <row r="1218" spans="1:9">
      <c r="A1218" s="170" t="s">
        <v>1258</v>
      </c>
      <c r="H1218" s="421"/>
      <c r="I1218" s="424"/>
    </row>
    <row r="1219" spans="1:9" ht="14.25" customHeight="1">
      <c r="A1219" s="170" t="s">
        <v>1259</v>
      </c>
      <c r="B1219" s="220" t="s">
        <v>1716</v>
      </c>
      <c r="C1219" s="426"/>
      <c r="H1219" s="421"/>
      <c r="I1219" s="424"/>
    </row>
    <row r="1220" spans="1:9" ht="24.75" customHeight="1">
      <c r="A1220" s="170" t="s">
        <v>80</v>
      </c>
      <c r="B1220" s="1429" t="s">
        <v>1709</v>
      </c>
      <c r="C1220" s="1429"/>
      <c r="D1220" s="1429"/>
      <c r="E1220" s="222" t="s">
        <v>410</v>
      </c>
      <c r="F1220" s="425"/>
      <c r="G1220" s="425"/>
      <c r="H1220" s="421"/>
      <c r="I1220" s="424"/>
    </row>
    <row r="1221" spans="1:9" ht="22.5">
      <c r="A1221" s="428" t="s">
        <v>30</v>
      </c>
      <c r="B1221" s="429" t="s">
        <v>19</v>
      </c>
      <c r="C1221" s="430" t="s">
        <v>92</v>
      </c>
      <c r="D1221" s="430" t="s">
        <v>88</v>
      </c>
      <c r="E1221" s="690" t="s">
        <v>93</v>
      </c>
      <c r="F1221" s="432" t="s">
        <v>94</v>
      </c>
      <c r="G1221" s="433" t="s">
        <v>95</v>
      </c>
      <c r="H1221" s="421"/>
      <c r="I1221" s="424"/>
    </row>
    <row r="1222" spans="1:9" ht="22.5">
      <c r="A1222" s="715" t="s">
        <v>1433</v>
      </c>
      <c r="B1222" s="449" t="s">
        <v>1434</v>
      </c>
      <c r="C1222" s="450" t="s">
        <v>99</v>
      </c>
      <c r="D1222" s="430" t="s">
        <v>1435</v>
      </c>
      <c r="E1222" s="451">
        <v>1.25</v>
      </c>
      <c r="F1222" s="478">
        <v>0.47</v>
      </c>
      <c r="G1222" s="433">
        <f>TRUNC(E1222*F1222,2)</f>
        <v>0.57999999999999996</v>
      </c>
    </row>
    <row r="1223" spans="1:9" ht="14.1" customHeight="1">
      <c r="D1223" s="436"/>
      <c r="E1223" s="437"/>
      <c r="F1223" s="438" t="s">
        <v>103</v>
      </c>
      <c r="G1223" s="433"/>
    </row>
    <row r="1224" spans="1:9" ht="14.1" customHeight="1">
      <c r="D1224" s="436"/>
      <c r="E1224" s="437"/>
      <c r="F1224" s="438" t="s">
        <v>105</v>
      </c>
      <c r="G1224" s="433">
        <f>G1222</f>
        <v>0.57999999999999996</v>
      </c>
    </row>
    <row r="1225" spans="1:9" ht="14.1" customHeight="1">
      <c r="A1225" s="439"/>
      <c r="D1225" s="436"/>
      <c r="E1225" s="437"/>
      <c r="F1225" s="438" t="s">
        <v>106</v>
      </c>
      <c r="G1225" s="440">
        <f>SUM(G1223:G1224)</f>
        <v>0.57999999999999996</v>
      </c>
      <c r="H1225" s="441"/>
    </row>
    <row r="1226" spans="1:9">
      <c r="A1226" s="442"/>
      <c r="B1226" s="443"/>
      <c r="C1226" s="444"/>
      <c r="D1226" s="445"/>
      <c r="E1226" s="442"/>
      <c r="F1226" s="443"/>
      <c r="G1226" s="443"/>
      <c r="H1226" s="443"/>
      <c r="I1226" s="442"/>
    </row>
    <row r="1228" spans="1:9">
      <c r="A1228" s="170" t="s">
        <v>1258</v>
      </c>
    </row>
    <row r="1229" spans="1:9">
      <c r="A1229" s="170" t="s">
        <v>1259</v>
      </c>
      <c r="B1229" s="220" t="s">
        <v>1836</v>
      </c>
      <c r="C1229" s="426"/>
    </row>
    <row r="1230" spans="1:9" ht="29.25" customHeight="1">
      <c r="A1230" s="170" t="s">
        <v>80</v>
      </c>
      <c r="B1230" s="1429" t="s">
        <v>1829</v>
      </c>
      <c r="C1230" s="1429"/>
      <c r="D1230" s="462" t="s">
        <v>1359</v>
      </c>
      <c r="F1230" s="425"/>
      <c r="G1230" s="425"/>
    </row>
    <row r="1231" spans="1:9" ht="22.5">
      <c r="A1231" s="428" t="s">
        <v>30</v>
      </c>
      <c r="B1231" s="429" t="s">
        <v>19</v>
      </c>
      <c r="C1231" s="430" t="s">
        <v>92</v>
      </c>
      <c r="D1231" s="430" t="s">
        <v>88</v>
      </c>
      <c r="E1231" s="739" t="s">
        <v>93</v>
      </c>
      <c r="F1231" s="432" t="s">
        <v>94</v>
      </c>
      <c r="G1231" s="433" t="s">
        <v>95</v>
      </c>
    </row>
    <row r="1232" spans="1:9" ht="22.5">
      <c r="A1232" s="487" t="s">
        <v>1837</v>
      </c>
      <c r="B1232" s="488" t="s">
        <v>1838</v>
      </c>
      <c r="C1232" s="489" t="s">
        <v>99</v>
      </c>
      <c r="D1232" s="755" t="s">
        <v>1401</v>
      </c>
      <c r="E1232" s="757">
        <v>0.8</v>
      </c>
      <c r="F1232" s="750">
        <v>11.07</v>
      </c>
      <c r="G1232" s="493">
        <f t="shared" ref="G1232" si="66">TRUNC(E1232*F1232,2)</f>
        <v>8.85</v>
      </c>
    </row>
    <row r="1233" spans="1:8" ht="18" customHeight="1">
      <c r="A1233" s="1470" t="s">
        <v>1839</v>
      </c>
      <c r="B1233" s="1416" t="s">
        <v>1843</v>
      </c>
      <c r="C1233" s="489" t="s">
        <v>117</v>
      </c>
      <c r="D1233" s="1574" t="s">
        <v>1359</v>
      </c>
      <c r="E1233" s="1578">
        <v>0.5</v>
      </c>
      <c r="F1233" s="766">
        <f>G1254</f>
        <v>14.81</v>
      </c>
      <c r="G1233" s="493">
        <f>TRUNC(E1233*F1233,2)</f>
        <v>7.4</v>
      </c>
    </row>
    <row r="1234" spans="1:8" ht="18" customHeight="1">
      <c r="A1234" s="1454"/>
      <c r="B1234" s="1417"/>
      <c r="C1234" s="489" t="s">
        <v>99</v>
      </c>
      <c r="D1234" s="1575"/>
      <c r="E1234" s="1579"/>
      <c r="F1234" s="766">
        <f>G1255</f>
        <v>51.930000000000007</v>
      </c>
      <c r="G1234" s="493">
        <f>TRUNC(E1233*F1234,2)</f>
        <v>25.96</v>
      </c>
    </row>
    <row r="1235" spans="1:8" ht="18" customHeight="1">
      <c r="A1235" s="1470" t="s">
        <v>1840</v>
      </c>
      <c r="B1235" s="1416" t="s">
        <v>1844</v>
      </c>
      <c r="C1235" s="489" t="s">
        <v>117</v>
      </c>
      <c r="D1235" s="1574" t="s">
        <v>1338</v>
      </c>
      <c r="E1235" s="1578">
        <v>1</v>
      </c>
      <c r="F1235" s="766">
        <f>G1267</f>
        <v>14.81</v>
      </c>
      <c r="G1235" s="493">
        <f>TRUNC(E1235*F1235,2)</f>
        <v>14.81</v>
      </c>
    </row>
    <row r="1236" spans="1:8" ht="18" customHeight="1">
      <c r="A1236" s="1454"/>
      <c r="B1236" s="1466"/>
      <c r="C1236" s="489" t="s">
        <v>99</v>
      </c>
      <c r="D1236" s="1575"/>
      <c r="E1236" s="1579"/>
      <c r="F1236" s="766">
        <f>G1268</f>
        <v>12.700000000000001</v>
      </c>
      <c r="G1236" s="493">
        <f>TRUNC(E1235*F1236,2)</f>
        <v>12.7</v>
      </c>
    </row>
    <row r="1237" spans="1:8" ht="18" customHeight="1">
      <c r="A1237" s="1470" t="s">
        <v>1841</v>
      </c>
      <c r="B1237" s="1416" t="s">
        <v>1842</v>
      </c>
      <c r="C1237" s="489" t="s">
        <v>117</v>
      </c>
      <c r="D1237" s="1580" t="s">
        <v>410</v>
      </c>
      <c r="E1237" s="1578">
        <v>3</v>
      </c>
      <c r="F1237" s="766">
        <f>G878</f>
        <v>14.81</v>
      </c>
      <c r="G1237" s="493">
        <f>TRUNC(E1237*F1237,2)</f>
        <v>44.43</v>
      </c>
    </row>
    <row r="1238" spans="1:8" ht="18" customHeight="1">
      <c r="A1238" s="1454"/>
      <c r="B1238" s="1417"/>
      <c r="C1238" s="433" t="s">
        <v>99</v>
      </c>
      <c r="D1238" s="1456"/>
      <c r="E1238" s="1456"/>
      <c r="F1238" s="452">
        <f>G879</f>
        <v>4.5600000000000005</v>
      </c>
      <c r="G1238" s="493">
        <f>TRUNC(E1237*F1238,2)</f>
        <v>13.68</v>
      </c>
    </row>
    <row r="1239" spans="1:8" ht="14.1" customHeight="1">
      <c r="D1239" s="463"/>
      <c r="E1239" s="464"/>
      <c r="F1239" s="465" t="s">
        <v>103</v>
      </c>
      <c r="G1239" s="456">
        <f>G1233+G1235+G1237</f>
        <v>66.64</v>
      </c>
    </row>
    <row r="1240" spans="1:8" ht="14.1" customHeight="1">
      <c r="A1240" s="439"/>
      <c r="D1240" s="436"/>
      <c r="E1240" s="437"/>
      <c r="F1240" s="438" t="s">
        <v>105</v>
      </c>
      <c r="G1240" s="456">
        <f>G1232+G1234+G1236+G1238</f>
        <v>61.190000000000005</v>
      </c>
      <c r="H1240" s="421"/>
    </row>
    <row r="1241" spans="1:8" ht="14.1" customHeight="1">
      <c r="A1241" s="439"/>
      <c r="D1241" s="216"/>
      <c r="E1241" s="171"/>
      <c r="F1241" s="438" t="s">
        <v>106</v>
      </c>
      <c r="G1241" s="457">
        <f>SUM(G1239:G1240)</f>
        <v>127.83000000000001</v>
      </c>
      <c r="H1241" s="441"/>
    </row>
    <row r="1242" spans="1:8">
      <c r="A1242" s="442"/>
      <c r="B1242" s="443"/>
      <c r="C1242" s="444"/>
      <c r="D1242" s="445"/>
      <c r="E1242" s="442"/>
      <c r="F1242" s="443"/>
      <c r="G1242" s="443"/>
      <c r="H1242" s="443"/>
    </row>
    <row r="1244" spans="1:8">
      <c r="A1244" s="170" t="s">
        <v>1258</v>
      </c>
    </row>
    <row r="1245" spans="1:8">
      <c r="A1245" s="170" t="s">
        <v>1259</v>
      </c>
      <c r="B1245" s="220" t="s">
        <v>1845</v>
      </c>
      <c r="C1245" s="426"/>
    </row>
    <row r="1246" spans="1:8" ht="30" customHeight="1">
      <c r="A1246" s="170" t="s">
        <v>80</v>
      </c>
      <c r="B1246" s="1429" t="s">
        <v>1846</v>
      </c>
      <c r="C1246" s="1429"/>
      <c r="D1246" s="1429"/>
      <c r="E1246" s="462" t="s">
        <v>1359</v>
      </c>
      <c r="F1246" s="425"/>
      <c r="G1246" s="425"/>
    </row>
    <row r="1247" spans="1:8" ht="22.5">
      <c r="A1247" s="428" t="s">
        <v>30</v>
      </c>
      <c r="B1247" s="429" t="s">
        <v>19</v>
      </c>
      <c r="C1247" s="430" t="s">
        <v>92</v>
      </c>
      <c r="D1247" s="430" t="s">
        <v>88</v>
      </c>
      <c r="E1247" s="739" t="s">
        <v>93</v>
      </c>
      <c r="F1247" s="432" t="s">
        <v>94</v>
      </c>
      <c r="G1247" s="433" t="s">
        <v>95</v>
      </c>
    </row>
    <row r="1248" spans="1:8" ht="15.95" customHeight="1">
      <c r="A1248" s="1470">
        <v>88317</v>
      </c>
      <c r="B1248" s="1416" t="s">
        <v>1842</v>
      </c>
      <c r="C1248" s="430" t="s">
        <v>117</v>
      </c>
      <c r="D1248" s="1574" t="s">
        <v>410</v>
      </c>
      <c r="E1248" s="1578">
        <v>1</v>
      </c>
      <c r="F1248" s="729">
        <f>G878</f>
        <v>14.81</v>
      </c>
      <c r="G1248" s="493">
        <f>TRUNC(E1248*F1248,2)</f>
        <v>14.81</v>
      </c>
    </row>
    <row r="1249" spans="1:8" ht="15.95" customHeight="1">
      <c r="A1249" s="1536"/>
      <c r="B1249" s="1417"/>
      <c r="C1249" s="739" t="s">
        <v>99</v>
      </c>
      <c r="D1249" s="1575"/>
      <c r="E1249" s="1579"/>
      <c r="F1249" s="729">
        <f>G879</f>
        <v>4.5600000000000005</v>
      </c>
      <c r="G1249" s="493">
        <f>TRUNC(E1248*F1249,2)</f>
        <v>4.5599999999999996</v>
      </c>
    </row>
    <row r="1250" spans="1:8" ht="33.75">
      <c r="A1250" s="494" t="s">
        <v>1847</v>
      </c>
      <c r="B1250" s="752" t="s">
        <v>1851</v>
      </c>
      <c r="C1250" s="739" t="s">
        <v>1342</v>
      </c>
      <c r="D1250" s="430" t="s">
        <v>410</v>
      </c>
      <c r="E1250" s="495">
        <v>1</v>
      </c>
      <c r="F1250" s="452">
        <f>G1279</f>
        <v>6.65</v>
      </c>
      <c r="G1250" s="456">
        <f t="shared" ref="G1250:G1253" si="67">TRUNC(E1250*F1250,2)</f>
        <v>6.65</v>
      </c>
    </row>
    <row r="1251" spans="1:8" ht="33.75">
      <c r="A1251" s="494" t="s">
        <v>1848</v>
      </c>
      <c r="B1251" s="752" t="s">
        <v>1852</v>
      </c>
      <c r="C1251" s="739" t="s">
        <v>1342</v>
      </c>
      <c r="D1251" s="430" t="s">
        <v>410</v>
      </c>
      <c r="E1251" s="495">
        <v>1</v>
      </c>
      <c r="F1251" s="452">
        <f>G1289</f>
        <v>8.31</v>
      </c>
      <c r="G1251" s="456">
        <f t="shared" si="67"/>
        <v>8.31</v>
      </c>
    </row>
    <row r="1252" spans="1:8" ht="33.75">
      <c r="A1252" s="494" t="s">
        <v>1849</v>
      </c>
      <c r="B1252" s="752" t="s">
        <v>1853</v>
      </c>
      <c r="C1252" s="739" t="s">
        <v>1342</v>
      </c>
      <c r="D1252" s="430" t="s">
        <v>410</v>
      </c>
      <c r="E1252" s="495">
        <v>1</v>
      </c>
      <c r="F1252" s="452">
        <f>G1299</f>
        <v>30.92</v>
      </c>
      <c r="G1252" s="456">
        <f t="shared" si="67"/>
        <v>30.92</v>
      </c>
    </row>
    <row r="1253" spans="1:8" ht="33.75">
      <c r="A1253" s="494" t="s">
        <v>1850</v>
      </c>
      <c r="B1253" s="752" t="s">
        <v>1854</v>
      </c>
      <c r="C1253" s="739" t="s">
        <v>1342</v>
      </c>
      <c r="D1253" s="430" t="s">
        <v>410</v>
      </c>
      <c r="E1253" s="495">
        <v>1</v>
      </c>
      <c r="F1253" s="452">
        <f>G1309</f>
        <v>1.49</v>
      </c>
      <c r="G1253" s="456">
        <f t="shared" si="67"/>
        <v>1.49</v>
      </c>
    </row>
    <row r="1254" spans="1:8" ht="15" customHeight="1">
      <c r="D1254" s="463"/>
      <c r="E1254" s="464"/>
      <c r="F1254" s="465" t="s">
        <v>103</v>
      </c>
      <c r="G1254" s="466">
        <f>G1248</f>
        <v>14.81</v>
      </c>
    </row>
    <row r="1255" spans="1:8" ht="15" customHeight="1">
      <c r="A1255" s="439"/>
      <c r="D1255" s="436"/>
      <c r="E1255" s="437"/>
      <c r="F1255" s="438" t="s">
        <v>105</v>
      </c>
      <c r="G1255" s="456">
        <f>G1249+G1250+G1251+G1252+G1253</f>
        <v>51.930000000000007</v>
      </c>
      <c r="H1255" s="421"/>
    </row>
    <row r="1256" spans="1:8" ht="15" customHeight="1">
      <c r="A1256" s="439"/>
      <c r="D1256" s="216"/>
      <c r="E1256" s="171"/>
      <c r="F1256" s="438" t="s">
        <v>106</v>
      </c>
      <c r="G1256" s="457">
        <f>SUM(G1254:G1255)</f>
        <v>66.740000000000009</v>
      </c>
      <c r="H1256" s="441"/>
    </row>
    <row r="1257" spans="1:8">
      <c r="A1257" s="442"/>
      <c r="B1257" s="443"/>
      <c r="C1257" s="444"/>
      <c r="D1257" s="445"/>
      <c r="E1257" s="442"/>
      <c r="F1257" s="443"/>
      <c r="G1257" s="443"/>
      <c r="H1257" s="443"/>
    </row>
    <row r="1259" spans="1:8">
      <c r="A1259" s="170" t="s">
        <v>1258</v>
      </c>
    </row>
    <row r="1260" spans="1:8">
      <c r="A1260" s="170" t="s">
        <v>1259</v>
      </c>
      <c r="B1260" s="220" t="s">
        <v>1855</v>
      </c>
      <c r="C1260" s="426"/>
    </row>
    <row r="1261" spans="1:8" ht="27.75" customHeight="1">
      <c r="A1261" s="170" t="s">
        <v>80</v>
      </c>
      <c r="B1261" s="1429" t="s">
        <v>1844</v>
      </c>
      <c r="C1261" s="1429"/>
      <c r="D1261" s="1429"/>
      <c r="E1261" s="462" t="s">
        <v>1359</v>
      </c>
      <c r="F1261" s="425"/>
      <c r="G1261" s="425"/>
    </row>
    <row r="1262" spans="1:8" ht="22.5">
      <c r="A1262" s="428" t="s">
        <v>30</v>
      </c>
      <c r="B1262" s="752" t="s">
        <v>19</v>
      </c>
      <c r="C1262" s="430" t="s">
        <v>92</v>
      </c>
      <c r="D1262" s="430" t="s">
        <v>88</v>
      </c>
      <c r="E1262" s="739" t="s">
        <v>93</v>
      </c>
      <c r="F1262" s="432" t="s">
        <v>94</v>
      </c>
      <c r="G1262" s="433" t="s">
        <v>95</v>
      </c>
    </row>
    <row r="1263" spans="1:8" ht="15" customHeight="1">
      <c r="A1263" s="1470">
        <v>88317</v>
      </c>
      <c r="B1263" s="1416" t="s">
        <v>1842</v>
      </c>
      <c r="C1263" s="430" t="s">
        <v>117</v>
      </c>
      <c r="D1263" s="1574" t="s">
        <v>410</v>
      </c>
      <c r="E1263" s="1578">
        <v>1</v>
      </c>
      <c r="F1263" s="729">
        <f>G878</f>
        <v>14.81</v>
      </c>
      <c r="G1263" s="493">
        <f>TRUNC(E1263*F1263,2)</f>
        <v>14.81</v>
      </c>
    </row>
    <row r="1264" spans="1:8" ht="15" customHeight="1">
      <c r="A1264" s="1536"/>
      <c r="B1264" s="1417"/>
      <c r="C1264" s="739" t="s">
        <v>99</v>
      </c>
      <c r="D1264" s="1575"/>
      <c r="E1264" s="1579"/>
      <c r="F1264" s="729">
        <f>G879</f>
        <v>4.5600000000000005</v>
      </c>
      <c r="G1264" s="493">
        <f>TRUNC(E1263*F1264,2)</f>
        <v>4.5599999999999996</v>
      </c>
    </row>
    <row r="1265" spans="1:8" ht="33.75">
      <c r="A1265" s="494" t="s">
        <v>1847</v>
      </c>
      <c r="B1265" s="752" t="s">
        <v>1851</v>
      </c>
      <c r="C1265" s="739" t="s">
        <v>1342</v>
      </c>
      <c r="D1265" s="430" t="s">
        <v>410</v>
      </c>
      <c r="E1265" s="495">
        <v>1</v>
      </c>
      <c r="F1265" s="452">
        <f>G1279</f>
        <v>6.65</v>
      </c>
      <c r="G1265" s="456">
        <f t="shared" ref="G1265:G1266" si="68">TRUNC(E1265*F1265,2)</f>
        <v>6.65</v>
      </c>
    </row>
    <row r="1266" spans="1:8" ht="33.75">
      <c r="A1266" s="494" t="s">
        <v>1850</v>
      </c>
      <c r="B1266" s="752" t="s">
        <v>1854</v>
      </c>
      <c r="C1266" s="739" t="s">
        <v>1342</v>
      </c>
      <c r="D1266" s="430" t="s">
        <v>410</v>
      </c>
      <c r="E1266" s="495">
        <v>1</v>
      </c>
      <c r="F1266" s="452">
        <f>G1309</f>
        <v>1.49</v>
      </c>
      <c r="G1266" s="456">
        <f t="shared" si="68"/>
        <v>1.49</v>
      </c>
    </row>
    <row r="1267" spans="1:8" ht="15" customHeight="1">
      <c r="D1267" s="463"/>
      <c r="E1267" s="464"/>
      <c r="F1267" s="465" t="s">
        <v>103</v>
      </c>
      <c r="G1267" s="466">
        <f>G1263</f>
        <v>14.81</v>
      </c>
    </row>
    <row r="1268" spans="1:8" ht="15" customHeight="1">
      <c r="A1268" s="439"/>
      <c r="D1268" s="436"/>
      <c r="E1268" s="437"/>
      <c r="F1268" s="438" t="s">
        <v>105</v>
      </c>
      <c r="G1268" s="456">
        <f>G1264+G1265+G1266</f>
        <v>12.700000000000001</v>
      </c>
      <c r="H1268" s="421"/>
    </row>
    <row r="1269" spans="1:8" ht="15" customHeight="1">
      <c r="A1269" s="439"/>
      <c r="D1269" s="216"/>
      <c r="E1269" s="171"/>
      <c r="F1269" s="438" t="s">
        <v>106</v>
      </c>
      <c r="G1269" s="457">
        <f>SUM(G1267:G1268)</f>
        <v>27.51</v>
      </c>
      <c r="H1269" s="441"/>
    </row>
    <row r="1270" spans="1:8">
      <c r="A1270" s="442"/>
      <c r="B1270" s="443"/>
      <c r="C1270" s="444"/>
      <c r="D1270" s="445"/>
      <c r="E1270" s="442"/>
      <c r="F1270" s="443"/>
      <c r="G1270" s="443"/>
      <c r="H1270" s="443"/>
    </row>
    <row r="1272" spans="1:8" ht="13.5" customHeight="1">
      <c r="A1272" s="170" t="s">
        <v>1258</v>
      </c>
      <c r="H1272" s="421"/>
    </row>
    <row r="1273" spans="1:8" ht="13.5" customHeight="1">
      <c r="A1273" s="170" t="s">
        <v>1259</v>
      </c>
      <c r="B1273" s="220" t="s">
        <v>1861</v>
      </c>
      <c r="C1273" s="426"/>
      <c r="H1273" s="421"/>
    </row>
    <row r="1274" spans="1:8" ht="25.5" customHeight="1">
      <c r="A1274" s="170" t="s">
        <v>80</v>
      </c>
      <c r="B1274" s="1429" t="s">
        <v>1851</v>
      </c>
      <c r="C1274" s="1429"/>
      <c r="D1274" s="1429"/>
      <c r="E1274" s="723" t="s">
        <v>410</v>
      </c>
      <c r="F1274" s="425"/>
      <c r="G1274" s="425"/>
      <c r="H1274" s="421"/>
    </row>
    <row r="1275" spans="1:8" ht="22.5">
      <c r="A1275" s="428" t="s">
        <v>30</v>
      </c>
      <c r="B1275" s="429" t="s">
        <v>19</v>
      </c>
      <c r="C1275" s="430" t="s">
        <v>92</v>
      </c>
      <c r="D1275" s="430" t="s">
        <v>88</v>
      </c>
      <c r="E1275" s="739" t="s">
        <v>93</v>
      </c>
      <c r="F1275" s="432" t="s">
        <v>94</v>
      </c>
      <c r="G1275" s="433" t="s">
        <v>95</v>
      </c>
      <c r="H1275" s="421"/>
    </row>
    <row r="1276" spans="1:8" ht="33.75">
      <c r="A1276" s="741" t="s">
        <v>1862</v>
      </c>
      <c r="B1276" s="449" t="s">
        <v>1863</v>
      </c>
      <c r="C1276" s="450" t="s">
        <v>1342</v>
      </c>
      <c r="D1276" s="430" t="s">
        <v>88</v>
      </c>
      <c r="E1276" s="451">
        <v>6.3999999999999997E-5</v>
      </c>
      <c r="F1276" s="478">
        <v>103996.26</v>
      </c>
      <c r="G1276" s="433">
        <f>TRUNC(E1276*F1276,2)</f>
        <v>6.65</v>
      </c>
    </row>
    <row r="1277" spans="1:8" ht="15" customHeight="1">
      <c r="D1277" s="436"/>
      <c r="E1277" s="437"/>
      <c r="F1277" s="438" t="s">
        <v>103</v>
      </c>
      <c r="G1277" s="433"/>
    </row>
    <row r="1278" spans="1:8" ht="15" customHeight="1">
      <c r="D1278" s="436"/>
      <c r="E1278" s="437"/>
      <c r="F1278" s="438" t="s">
        <v>105</v>
      </c>
      <c r="G1278" s="433">
        <f>G1276</f>
        <v>6.65</v>
      </c>
    </row>
    <row r="1279" spans="1:8" ht="15" customHeight="1">
      <c r="A1279" s="439"/>
      <c r="D1279" s="436"/>
      <c r="E1279" s="437"/>
      <c r="F1279" s="438" t="s">
        <v>106</v>
      </c>
      <c r="G1279" s="440">
        <f>SUM(G1277:G1278)</f>
        <v>6.65</v>
      </c>
      <c r="H1279" s="441"/>
    </row>
    <row r="1280" spans="1:8">
      <c r="A1280" s="442"/>
      <c r="B1280" s="443"/>
      <c r="C1280" s="444"/>
      <c r="D1280" s="445"/>
      <c r="E1280" s="442"/>
      <c r="F1280" s="443"/>
      <c r="G1280" s="443"/>
      <c r="H1280" s="443"/>
    </row>
    <row r="1282" spans="1:8">
      <c r="A1282" s="170" t="s">
        <v>1258</v>
      </c>
      <c r="H1282" s="421"/>
    </row>
    <row r="1283" spans="1:8">
      <c r="A1283" s="170" t="s">
        <v>1259</v>
      </c>
      <c r="B1283" s="220" t="s">
        <v>1864</v>
      </c>
      <c r="C1283" s="426"/>
      <c r="H1283" s="421"/>
    </row>
    <row r="1284" spans="1:8" ht="27.75" customHeight="1">
      <c r="A1284" s="170" t="s">
        <v>80</v>
      </c>
      <c r="B1284" s="1429" t="s">
        <v>1865</v>
      </c>
      <c r="C1284" s="1429"/>
      <c r="D1284" s="1429"/>
      <c r="E1284" s="723" t="s">
        <v>410</v>
      </c>
      <c r="F1284" s="425"/>
      <c r="G1284" s="425"/>
      <c r="H1284" s="421"/>
    </row>
    <row r="1285" spans="1:8" ht="22.5">
      <c r="A1285" s="428" t="s">
        <v>30</v>
      </c>
      <c r="B1285" s="429" t="s">
        <v>19</v>
      </c>
      <c r="C1285" s="430" t="s">
        <v>92</v>
      </c>
      <c r="D1285" s="430" t="s">
        <v>88</v>
      </c>
      <c r="E1285" s="739" t="s">
        <v>93</v>
      </c>
      <c r="F1285" s="432" t="s">
        <v>94</v>
      </c>
      <c r="G1285" s="433" t="s">
        <v>95</v>
      </c>
      <c r="H1285" s="421"/>
    </row>
    <row r="1286" spans="1:8" ht="33.75">
      <c r="A1286" s="741" t="s">
        <v>1862</v>
      </c>
      <c r="B1286" s="449" t="s">
        <v>1863</v>
      </c>
      <c r="C1286" s="450" t="s">
        <v>1342</v>
      </c>
      <c r="D1286" s="430" t="s">
        <v>88</v>
      </c>
      <c r="E1286" s="451">
        <v>8.0000000000000007E-5</v>
      </c>
      <c r="F1286" s="478">
        <v>103996.26</v>
      </c>
      <c r="G1286" s="433">
        <f>TRUNC(E1286*F1286,2)</f>
        <v>8.31</v>
      </c>
    </row>
    <row r="1287" spans="1:8" ht="15" customHeight="1">
      <c r="D1287" s="436"/>
      <c r="E1287" s="437"/>
      <c r="F1287" s="438" t="s">
        <v>103</v>
      </c>
      <c r="G1287" s="433"/>
    </row>
    <row r="1288" spans="1:8" ht="15" customHeight="1">
      <c r="D1288" s="436"/>
      <c r="E1288" s="437"/>
      <c r="F1288" s="438" t="s">
        <v>105</v>
      </c>
      <c r="G1288" s="433">
        <f>G1286</f>
        <v>8.31</v>
      </c>
    </row>
    <row r="1289" spans="1:8" ht="15" customHeight="1">
      <c r="A1289" s="439"/>
      <c r="D1289" s="436"/>
      <c r="E1289" s="437"/>
      <c r="F1289" s="438" t="s">
        <v>106</v>
      </c>
      <c r="G1289" s="440">
        <f>SUM(G1287:G1288)</f>
        <v>8.31</v>
      </c>
      <c r="H1289" s="441"/>
    </row>
    <row r="1290" spans="1:8">
      <c r="A1290" s="442"/>
      <c r="B1290" s="443"/>
      <c r="C1290" s="444"/>
      <c r="D1290" s="445"/>
      <c r="E1290" s="442"/>
      <c r="F1290" s="443"/>
      <c r="G1290" s="443"/>
      <c r="H1290" s="443"/>
    </row>
    <row r="1292" spans="1:8">
      <c r="A1292" s="170" t="s">
        <v>1258</v>
      </c>
      <c r="H1292" s="421"/>
    </row>
    <row r="1293" spans="1:8">
      <c r="A1293" s="170" t="s">
        <v>1259</v>
      </c>
      <c r="B1293" s="220" t="s">
        <v>1866</v>
      </c>
      <c r="C1293" s="426"/>
      <c r="H1293" s="421"/>
    </row>
    <row r="1294" spans="1:8" ht="33.75" customHeight="1">
      <c r="A1294" s="170" t="s">
        <v>80</v>
      </c>
      <c r="B1294" s="1429" t="s">
        <v>1853</v>
      </c>
      <c r="C1294" s="1429"/>
      <c r="D1294" s="1429"/>
      <c r="E1294" s="723" t="s">
        <v>410</v>
      </c>
      <c r="F1294" s="425"/>
      <c r="G1294" s="425"/>
      <c r="H1294" s="421"/>
    </row>
    <row r="1295" spans="1:8" ht="22.5">
      <c r="A1295" s="428" t="s">
        <v>30</v>
      </c>
      <c r="B1295" s="429" t="s">
        <v>19</v>
      </c>
      <c r="C1295" s="430" t="s">
        <v>92</v>
      </c>
      <c r="D1295" s="430" t="s">
        <v>88</v>
      </c>
      <c r="E1295" s="739" t="s">
        <v>93</v>
      </c>
      <c r="F1295" s="432" t="s">
        <v>94</v>
      </c>
      <c r="G1295" s="433" t="s">
        <v>95</v>
      </c>
      <c r="H1295" s="421"/>
    </row>
    <row r="1296" spans="1:8" ht="16.5" customHeight="1">
      <c r="A1296" s="741" t="s">
        <v>1867</v>
      </c>
      <c r="B1296" s="449" t="s">
        <v>1868</v>
      </c>
      <c r="C1296" s="450" t="s">
        <v>99</v>
      </c>
      <c r="D1296" s="430" t="s">
        <v>1276</v>
      </c>
      <c r="E1296" s="524">
        <v>7.95</v>
      </c>
      <c r="F1296" s="478">
        <v>3.89</v>
      </c>
      <c r="G1296" s="433">
        <f>TRUNC(E1296*F1296,2)</f>
        <v>30.92</v>
      </c>
    </row>
    <row r="1297" spans="1:8" ht="15" customHeight="1">
      <c r="D1297" s="436"/>
      <c r="E1297" s="437"/>
      <c r="F1297" s="438" t="s">
        <v>103</v>
      </c>
      <c r="G1297" s="433"/>
    </row>
    <row r="1298" spans="1:8" ht="15" customHeight="1">
      <c r="D1298" s="436"/>
      <c r="E1298" s="437"/>
      <c r="F1298" s="438" t="s">
        <v>105</v>
      </c>
      <c r="G1298" s="433">
        <f>G1296</f>
        <v>30.92</v>
      </c>
    </row>
    <row r="1299" spans="1:8" ht="15" customHeight="1">
      <c r="A1299" s="439"/>
      <c r="D1299" s="436"/>
      <c r="E1299" s="437"/>
      <c r="F1299" s="438" t="s">
        <v>106</v>
      </c>
      <c r="G1299" s="440">
        <f>SUM(G1297:G1298)</f>
        <v>30.92</v>
      </c>
      <c r="H1299" s="441"/>
    </row>
    <row r="1300" spans="1:8">
      <c r="A1300" s="442"/>
      <c r="B1300" s="443"/>
      <c r="C1300" s="444"/>
      <c r="D1300" s="445"/>
      <c r="E1300" s="442"/>
      <c r="F1300" s="443"/>
      <c r="G1300" s="443"/>
      <c r="H1300" s="443"/>
    </row>
    <row r="1302" spans="1:8">
      <c r="A1302" s="170" t="s">
        <v>1258</v>
      </c>
      <c r="H1302" s="421"/>
    </row>
    <row r="1303" spans="1:8">
      <c r="A1303" s="170" t="s">
        <v>1259</v>
      </c>
      <c r="B1303" s="220" t="s">
        <v>1869</v>
      </c>
      <c r="C1303" s="426"/>
      <c r="H1303" s="421"/>
    </row>
    <row r="1304" spans="1:8" ht="26.25" customHeight="1">
      <c r="A1304" s="170" t="s">
        <v>80</v>
      </c>
      <c r="B1304" s="1429" t="s">
        <v>1854</v>
      </c>
      <c r="C1304" s="1429"/>
      <c r="D1304" s="1429"/>
      <c r="E1304" s="723" t="s">
        <v>410</v>
      </c>
      <c r="F1304" s="425"/>
      <c r="G1304" s="425"/>
      <c r="H1304" s="421"/>
    </row>
    <row r="1305" spans="1:8" ht="22.5">
      <c r="A1305" s="428" t="s">
        <v>30</v>
      </c>
      <c r="B1305" s="429" t="s">
        <v>19</v>
      </c>
      <c r="C1305" s="430" t="s">
        <v>92</v>
      </c>
      <c r="D1305" s="430" t="s">
        <v>88</v>
      </c>
      <c r="E1305" s="739" t="s">
        <v>93</v>
      </c>
      <c r="F1305" s="432" t="s">
        <v>94</v>
      </c>
      <c r="G1305" s="433" t="s">
        <v>95</v>
      </c>
      <c r="H1305" s="421"/>
    </row>
    <row r="1306" spans="1:8" ht="33.75">
      <c r="A1306" s="741" t="s">
        <v>1862</v>
      </c>
      <c r="B1306" s="449" t="s">
        <v>1863</v>
      </c>
      <c r="C1306" s="450" t="s">
        <v>1342</v>
      </c>
      <c r="D1306" s="430" t="s">
        <v>88</v>
      </c>
      <c r="E1306" s="451">
        <v>1.4399999999999999E-5</v>
      </c>
      <c r="F1306" s="478">
        <v>103996.26</v>
      </c>
      <c r="G1306" s="433">
        <f>TRUNC(E1306*F1306,2)</f>
        <v>1.49</v>
      </c>
    </row>
    <row r="1307" spans="1:8" ht="15" customHeight="1">
      <c r="D1307" s="436"/>
      <c r="E1307" s="437"/>
      <c r="F1307" s="438" t="s">
        <v>103</v>
      </c>
      <c r="G1307" s="433"/>
    </row>
    <row r="1308" spans="1:8" ht="15" customHeight="1">
      <c r="D1308" s="436"/>
      <c r="E1308" s="437"/>
      <c r="F1308" s="438" t="s">
        <v>105</v>
      </c>
      <c r="G1308" s="433">
        <f>G1306</f>
        <v>1.49</v>
      </c>
    </row>
    <row r="1309" spans="1:8" ht="15" customHeight="1">
      <c r="A1309" s="439"/>
      <c r="D1309" s="436"/>
      <c r="E1309" s="437"/>
      <c r="F1309" s="438" t="s">
        <v>106</v>
      </c>
      <c r="G1309" s="440">
        <f>SUM(G1307:G1308)</f>
        <v>1.49</v>
      </c>
      <c r="H1309" s="441"/>
    </row>
    <row r="1310" spans="1:8">
      <c r="A1310" s="442"/>
      <c r="B1310" s="443"/>
      <c r="C1310" s="444"/>
      <c r="D1310" s="445"/>
      <c r="E1310" s="442"/>
      <c r="F1310" s="443"/>
      <c r="G1310" s="443"/>
      <c r="H1310" s="443"/>
    </row>
    <row r="1312" spans="1:8">
      <c r="A1312" s="170" t="s">
        <v>1258</v>
      </c>
    </row>
    <row r="1313" spans="1:9">
      <c r="A1313" s="170" t="s">
        <v>1259</v>
      </c>
      <c r="B1313" s="220" t="s">
        <v>2859</v>
      </c>
      <c r="C1313" s="426"/>
    </row>
    <row r="1314" spans="1:9" ht="25.5" customHeight="1">
      <c r="A1314" s="170" t="s">
        <v>80</v>
      </c>
      <c r="B1314" s="1429" t="s">
        <v>1490</v>
      </c>
      <c r="C1314" s="1429"/>
      <c r="D1314" s="723" t="s">
        <v>1359</v>
      </c>
      <c r="F1314" s="425"/>
      <c r="G1314" s="425"/>
    </row>
    <row r="1315" spans="1:9" ht="22.5">
      <c r="A1315" s="428" t="s">
        <v>30</v>
      </c>
      <c r="B1315" s="429" t="s">
        <v>19</v>
      </c>
      <c r="C1315" s="430" t="s">
        <v>92</v>
      </c>
      <c r="D1315" s="430" t="s">
        <v>88</v>
      </c>
      <c r="E1315" s="431" t="s">
        <v>93</v>
      </c>
      <c r="F1315" s="432" t="s">
        <v>94</v>
      </c>
      <c r="G1315" s="433" t="s">
        <v>95</v>
      </c>
    </row>
    <row r="1316" spans="1:9" ht="14.1" customHeight="1">
      <c r="A1316" s="1470" t="s">
        <v>1491</v>
      </c>
      <c r="B1316" s="1416" t="s">
        <v>1492</v>
      </c>
      <c r="C1316" s="430" t="s">
        <v>117</v>
      </c>
      <c r="D1316" s="1574" t="s">
        <v>410</v>
      </c>
      <c r="E1316" s="1578">
        <v>1</v>
      </c>
      <c r="F1316" s="501">
        <f>G1338</f>
        <v>10.680000000000001</v>
      </c>
      <c r="G1316" s="493">
        <f>TRUNC(E1316*F1316,2)</f>
        <v>10.68</v>
      </c>
    </row>
    <row r="1317" spans="1:9" ht="14.1" customHeight="1">
      <c r="A1317" s="1536"/>
      <c r="B1317" s="1417"/>
      <c r="C1317" s="431" t="s">
        <v>99</v>
      </c>
      <c r="D1317" s="1575"/>
      <c r="E1317" s="1579"/>
      <c r="F1317" s="501">
        <f>G1339</f>
        <v>4.12</v>
      </c>
      <c r="G1317" s="493">
        <f>TRUNC(E1316*F1317,2)</f>
        <v>4.12</v>
      </c>
    </row>
    <row r="1318" spans="1:9" ht="33.75">
      <c r="A1318" s="494" t="s">
        <v>1493</v>
      </c>
      <c r="B1318" s="434" t="s">
        <v>1494</v>
      </c>
      <c r="C1318" s="431" t="s">
        <v>1342</v>
      </c>
      <c r="D1318" s="430" t="s">
        <v>410</v>
      </c>
      <c r="E1318" s="495">
        <v>1</v>
      </c>
      <c r="F1318" s="435">
        <f>G1360</f>
        <v>0.27</v>
      </c>
      <c r="G1318" s="456">
        <f t="shared" ref="G1318:G1321" si="69">TRUNC(E1318*F1318,2)</f>
        <v>0.27</v>
      </c>
    </row>
    <row r="1319" spans="1:9" ht="33.75">
      <c r="A1319" s="494" t="s">
        <v>1495</v>
      </c>
      <c r="B1319" s="434" t="s">
        <v>1496</v>
      </c>
      <c r="C1319" s="431" t="s">
        <v>1342</v>
      </c>
      <c r="D1319" s="430" t="s">
        <v>410</v>
      </c>
      <c r="E1319" s="495">
        <v>2</v>
      </c>
      <c r="F1319" s="435">
        <f>G1370</f>
        <v>0.06</v>
      </c>
      <c r="G1319" s="456">
        <f t="shared" si="69"/>
        <v>0.12</v>
      </c>
    </row>
    <row r="1320" spans="1:9" ht="33.75">
      <c r="A1320" s="494" t="s">
        <v>1497</v>
      </c>
      <c r="B1320" s="434" t="s">
        <v>1498</v>
      </c>
      <c r="C1320" s="431" t="s">
        <v>1342</v>
      </c>
      <c r="D1320" s="430" t="s">
        <v>410</v>
      </c>
      <c r="E1320" s="495">
        <v>3</v>
      </c>
      <c r="F1320" s="435">
        <f>G1380</f>
        <v>0.25</v>
      </c>
      <c r="G1320" s="456">
        <f t="shared" si="69"/>
        <v>0.75</v>
      </c>
    </row>
    <row r="1321" spans="1:9" ht="33.75">
      <c r="A1321" s="494" t="s">
        <v>1499</v>
      </c>
      <c r="B1321" s="434" t="s">
        <v>1500</v>
      </c>
      <c r="C1321" s="431" t="s">
        <v>1342</v>
      </c>
      <c r="D1321" s="430" t="s">
        <v>410</v>
      </c>
      <c r="E1321" s="495">
        <v>4</v>
      </c>
      <c r="F1321" s="435">
        <f>G1390</f>
        <v>0.36</v>
      </c>
      <c r="G1321" s="456">
        <f t="shared" si="69"/>
        <v>1.44</v>
      </c>
    </row>
    <row r="1322" spans="1:9" ht="14.1" customHeight="1">
      <c r="D1322" s="463"/>
      <c r="E1322" s="464"/>
      <c r="F1322" s="465" t="s">
        <v>103</v>
      </c>
      <c r="G1322" s="466">
        <f>G1316</f>
        <v>10.68</v>
      </c>
    </row>
    <row r="1323" spans="1:9" ht="14.1" customHeight="1">
      <c r="A1323" s="439"/>
      <c r="D1323" s="436"/>
      <c r="E1323" s="437"/>
      <c r="F1323" s="438" t="s">
        <v>105</v>
      </c>
      <c r="G1323" s="456">
        <f>G1317+G1318+G1319+G1320+G1321</f>
        <v>6.7000000000000011</v>
      </c>
      <c r="H1323" s="421"/>
    </row>
    <row r="1324" spans="1:9" ht="14.1" customHeight="1">
      <c r="A1324" s="439"/>
      <c r="D1324" s="216"/>
      <c r="E1324" s="171"/>
      <c r="F1324" s="438" t="s">
        <v>106</v>
      </c>
      <c r="G1324" s="457">
        <f>SUM(G1322:G1323)</f>
        <v>17.380000000000003</v>
      </c>
      <c r="H1324" s="441"/>
    </row>
    <row r="1325" spans="1:9">
      <c r="A1325" s="442"/>
      <c r="B1325" s="443"/>
      <c r="C1325" s="444"/>
      <c r="D1325" s="445"/>
      <c r="E1325" s="442"/>
      <c r="F1325" s="443"/>
      <c r="G1325" s="443"/>
      <c r="H1325" s="443"/>
      <c r="I1325" s="442"/>
    </row>
    <row r="1327" spans="1:9">
      <c r="A1327" s="170" t="s">
        <v>1369</v>
      </c>
      <c r="C1327" s="173"/>
      <c r="D1327" s="170"/>
      <c r="E1327" s="193"/>
      <c r="H1327" s="170"/>
    </row>
    <row r="1328" spans="1:9">
      <c r="A1328" s="170" t="s">
        <v>33</v>
      </c>
      <c r="B1328" s="221" t="s">
        <v>1501</v>
      </c>
      <c r="C1328" s="173"/>
      <c r="D1328" s="170"/>
      <c r="E1328" s="193"/>
      <c r="H1328" s="170"/>
    </row>
    <row r="1329" spans="1:9">
      <c r="A1329" s="170" t="s">
        <v>80</v>
      </c>
      <c r="B1329" s="1573" t="s">
        <v>1492</v>
      </c>
      <c r="C1329" s="1573"/>
      <c r="D1329" s="222" t="s">
        <v>410</v>
      </c>
      <c r="H1329" s="170"/>
    </row>
    <row r="1330" spans="1:9" ht="22.5">
      <c r="A1330" s="515" t="s">
        <v>30</v>
      </c>
      <c r="B1330" s="434" t="s">
        <v>19</v>
      </c>
      <c r="C1330" s="430" t="s">
        <v>92</v>
      </c>
      <c r="D1330" s="430" t="s">
        <v>88</v>
      </c>
      <c r="E1330" s="431" t="s">
        <v>93</v>
      </c>
      <c r="F1330" s="432" t="s">
        <v>94</v>
      </c>
      <c r="G1330" s="469" t="s">
        <v>95</v>
      </c>
      <c r="H1330" s="170"/>
    </row>
    <row r="1331" spans="1:9" ht="14.1" customHeight="1">
      <c r="A1331" s="448">
        <v>4253</v>
      </c>
      <c r="B1331" s="449" t="s">
        <v>1502</v>
      </c>
      <c r="C1331" s="430" t="s">
        <v>117</v>
      </c>
      <c r="D1331" s="470" t="s">
        <v>410</v>
      </c>
      <c r="E1331" s="471">
        <v>1</v>
      </c>
      <c r="F1331" s="472">
        <f>10.55</f>
        <v>10.55</v>
      </c>
      <c r="G1331" s="473">
        <f>TRUNC(E1331*F1331,2)</f>
        <v>10.55</v>
      </c>
      <c r="H1331" s="170"/>
    </row>
    <row r="1332" spans="1:9" ht="22.5">
      <c r="A1332" s="502" t="s">
        <v>1372</v>
      </c>
      <c r="B1332" s="434" t="s">
        <v>1373</v>
      </c>
      <c r="C1332" s="430" t="s">
        <v>1374</v>
      </c>
      <c r="D1332" s="430" t="s">
        <v>410</v>
      </c>
      <c r="E1332" s="474">
        <v>1</v>
      </c>
      <c r="F1332" s="475">
        <v>2.15</v>
      </c>
      <c r="G1332" s="433">
        <f t="shared" ref="G1332:G1337" si="70">TRUNC(E1332*F1332,2)</f>
        <v>2.15</v>
      </c>
      <c r="H1332" s="170"/>
    </row>
    <row r="1333" spans="1:9" ht="22.5">
      <c r="A1333" s="502" t="s">
        <v>1375</v>
      </c>
      <c r="B1333" s="434" t="s">
        <v>1376</v>
      </c>
      <c r="C1333" s="430" t="s">
        <v>1374</v>
      </c>
      <c r="D1333" s="430" t="s">
        <v>410</v>
      </c>
      <c r="E1333" s="474">
        <v>1</v>
      </c>
      <c r="F1333" s="475">
        <v>0.6</v>
      </c>
      <c r="G1333" s="456">
        <f t="shared" si="70"/>
        <v>0.6</v>
      </c>
      <c r="H1333" s="170"/>
    </row>
    <row r="1334" spans="1:9" ht="22.5">
      <c r="A1334" s="502" t="s">
        <v>1377</v>
      </c>
      <c r="B1334" s="434" t="s">
        <v>1378</v>
      </c>
      <c r="C1334" s="430" t="s">
        <v>1374</v>
      </c>
      <c r="D1334" s="430" t="s">
        <v>410</v>
      </c>
      <c r="E1334" s="474">
        <v>1</v>
      </c>
      <c r="F1334" s="475">
        <v>0.37</v>
      </c>
      <c r="G1334" s="433">
        <f t="shared" si="70"/>
        <v>0.37</v>
      </c>
      <c r="H1334" s="170"/>
    </row>
    <row r="1335" spans="1:9" ht="22.5">
      <c r="A1335" s="502" t="s">
        <v>1379</v>
      </c>
      <c r="B1335" s="434" t="s">
        <v>1380</v>
      </c>
      <c r="C1335" s="430" t="s">
        <v>1374</v>
      </c>
      <c r="D1335" s="430" t="s">
        <v>410</v>
      </c>
      <c r="E1335" s="474">
        <v>1</v>
      </c>
      <c r="F1335" s="475">
        <v>0.02</v>
      </c>
      <c r="G1335" s="433">
        <f t="shared" si="70"/>
        <v>0.02</v>
      </c>
      <c r="H1335" s="170"/>
    </row>
    <row r="1336" spans="1:9" ht="14.1" customHeight="1">
      <c r="A1336" s="502" t="s">
        <v>1381</v>
      </c>
      <c r="B1336" s="434" t="s">
        <v>1300</v>
      </c>
      <c r="C1336" s="430" t="s">
        <v>99</v>
      </c>
      <c r="D1336" s="430" t="s">
        <v>410</v>
      </c>
      <c r="E1336" s="474">
        <v>1</v>
      </c>
      <c r="F1336" s="475">
        <f>'COMP AUX'!G38</f>
        <v>0.98</v>
      </c>
      <c r="G1336" s="456">
        <f t="shared" si="70"/>
        <v>0.98</v>
      </c>
      <c r="H1336" s="170"/>
    </row>
    <row r="1337" spans="1:9" ht="22.5">
      <c r="A1337" s="448">
        <v>95358</v>
      </c>
      <c r="B1337" s="449" t="s">
        <v>1503</v>
      </c>
      <c r="C1337" s="430" t="s">
        <v>117</v>
      </c>
      <c r="D1337" s="430" t="s">
        <v>410</v>
      </c>
      <c r="E1337" s="474">
        <v>1</v>
      </c>
      <c r="F1337" s="475">
        <f>G1350</f>
        <v>0.13</v>
      </c>
      <c r="G1337" s="456">
        <f t="shared" si="70"/>
        <v>0.13</v>
      </c>
      <c r="H1337" s="170"/>
    </row>
    <row r="1338" spans="1:9" ht="14.1" customHeight="1">
      <c r="C1338" s="173"/>
      <c r="D1338" s="476"/>
      <c r="E1338" s="437"/>
      <c r="F1338" s="438" t="s">
        <v>103</v>
      </c>
      <c r="G1338" s="456">
        <f>G1331+G1337</f>
        <v>10.680000000000001</v>
      </c>
      <c r="H1338" s="170"/>
    </row>
    <row r="1339" spans="1:9" ht="14.1" customHeight="1">
      <c r="C1339" s="173"/>
      <c r="D1339" s="216"/>
      <c r="E1339" s="437"/>
      <c r="F1339" s="438" t="s">
        <v>105</v>
      </c>
      <c r="G1339" s="456">
        <f>SUM(G1332:G1336)</f>
        <v>4.12</v>
      </c>
      <c r="H1339" s="170"/>
    </row>
    <row r="1340" spans="1:9" ht="14.1" customHeight="1">
      <c r="A1340" s="477"/>
      <c r="B1340" s="215"/>
      <c r="C1340" s="173"/>
      <c r="D1340" s="463"/>
      <c r="E1340" s="437"/>
      <c r="F1340" s="438" t="s">
        <v>106</v>
      </c>
      <c r="G1340" s="440">
        <f>SUM(G1338:G1339)</f>
        <v>14.8</v>
      </c>
      <c r="H1340" s="170"/>
    </row>
    <row r="1341" spans="1:9">
      <c r="A1341" s="442"/>
      <c r="B1341" s="443"/>
      <c r="C1341" s="445"/>
      <c r="D1341" s="442"/>
      <c r="E1341" s="443"/>
      <c r="F1341" s="443"/>
      <c r="G1341" s="443"/>
      <c r="H1341" s="442"/>
      <c r="I1341" s="442"/>
    </row>
    <row r="1343" spans="1:9">
      <c r="A1343" s="170" t="s">
        <v>1258</v>
      </c>
    </row>
    <row r="1344" spans="1:9">
      <c r="A1344" s="170" t="s">
        <v>1259</v>
      </c>
      <c r="B1344" s="446" t="s">
        <v>1504</v>
      </c>
      <c r="C1344" s="447"/>
    </row>
    <row r="1345" spans="1:9" ht="22.5">
      <c r="A1345" s="170" t="s">
        <v>80</v>
      </c>
      <c r="B1345" s="427" t="s">
        <v>1503</v>
      </c>
      <c r="C1345" s="222" t="s">
        <v>410</v>
      </c>
      <c r="E1345" s="425" t="s">
        <v>2</v>
      </c>
      <c r="F1345" s="425"/>
      <c r="G1345" s="425"/>
    </row>
    <row r="1346" spans="1:9" ht="22.5">
      <c r="A1346" s="428" t="s">
        <v>30</v>
      </c>
      <c r="B1346" s="429" t="s">
        <v>19</v>
      </c>
      <c r="C1346" s="454" t="s">
        <v>1505</v>
      </c>
      <c r="D1346" s="430" t="s">
        <v>88</v>
      </c>
      <c r="E1346" s="431" t="s">
        <v>93</v>
      </c>
      <c r="F1346" s="432" t="s">
        <v>94</v>
      </c>
      <c r="G1346" s="433" t="s">
        <v>95</v>
      </c>
    </row>
    <row r="1347" spans="1:9" ht="14.1" customHeight="1">
      <c r="A1347" s="448">
        <v>4253</v>
      </c>
      <c r="B1347" s="449" t="s">
        <v>1502</v>
      </c>
      <c r="C1347" s="450" t="s">
        <v>117</v>
      </c>
      <c r="D1347" s="430" t="s">
        <v>410</v>
      </c>
      <c r="E1347" s="451">
        <v>1.32E-2</v>
      </c>
      <c r="F1347" s="452">
        <f>10.55</f>
        <v>10.55</v>
      </c>
      <c r="G1347" s="433">
        <f>TRUNC(E1347*F1347,2)</f>
        <v>0.13</v>
      </c>
    </row>
    <row r="1348" spans="1:9" ht="14.1" customHeight="1">
      <c r="D1348" s="436"/>
      <c r="E1348" s="437"/>
      <c r="F1348" s="438" t="s">
        <v>103</v>
      </c>
      <c r="G1348" s="433">
        <f>G1347</f>
        <v>0.13</v>
      </c>
    </row>
    <row r="1349" spans="1:9" ht="14.1" customHeight="1">
      <c r="D1349" s="436"/>
      <c r="E1349" s="437"/>
      <c r="F1349" s="438" t="s">
        <v>105</v>
      </c>
      <c r="G1349" s="433"/>
    </row>
    <row r="1350" spans="1:9" ht="14.1" customHeight="1">
      <c r="A1350" s="439"/>
      <c r="D1350" s="436"/>
      <c r="E1350" s="437"/>
      <c r="F1350" s="438" t="s">
        <v>106</v>
      </c>
      <c r="G1350" s="440">
        <f>SUM(G1348:G1349)</f>
        <v>0.13</v>
      </c>
      <c r="H1350" s="441"/>
    </row>
    <row r="1351" spans="1:9">
      <c r="A1351" s="442"/>
      <c r="B1351" s="443"/>
      <c r="C1351" s="444"/>
      <c r="D1351" s="445"/>
      <c r="E1351" s="442"/>
      <c r="F1351" s="443"/>
      <c r="G1351" s="443"/>
      <c r="H1351" s="443"/>
      <c r="I1351" s="442"/>
    </row>
    <row r="1353" spans="1:9">
      <c r="A1353" s="170" t="s">
        <v>1258</v>
      </c>
    </row>
    <row r="1354" spans="1:9" ht="13.5" customHeight="1">
      <c r="A1354" s="170" t="s">
        <v>1259</v>
      </c>
      <c r="B1354" s="446" t="s">
        <v>2860</v>
      </c>
      <c r="C1354" s="447"/>
    </row>
    <row r="1355" spans="1:9" ht="21.75" customHeight="1">
      <c r="A1355" s="170" t="s">
        <v>80</v>
      </c>
      <c r="B1355" s="1429" t="s">
        <v>1506</v>
      </c>
      <c r="C1355" s="1429"/>
      <c r="D1355" s="724" t="s">
        <v>410</v>
      </c>
      <c r="F1355" s="425"/>
      <c r="G1355" s="425"/>
    </row>
    <row r="1356" spans="1:9" ht="22.5">
      <c r="A1356" s="428" t="s">
        <v>30</v>
      </c>
      <c r="B1356" s="434" t="s">
        <v>19</v>
      </c>
      <c r="C1356" s="432" t="s">
        <v>1505</v>
      </c>
      <c r="D1356" s="430" t="s">
        <v>88</v>
      </c>
      <c r="E1356" s="431" t="s">
        <v>93</v>
      </c>
      <c r="F1356" s="432" t="s">
        <v>94</v>
      </c>
      <c r="G1356" s="433" t="s">
        <v>95</v>
      </c>
    </row>
    <row r="1357" spans="1:9" ht="22.5">
      <c r="A1357" s="448" t="s">
        <v>1507</v>
      </c>
      <c r="B1357" s="449" t="s">
        <v>1508</v>
      </c>
      <c r="C1357" s="450" t="s">
        <v>1342</v>
      </c>
      <c r="D1357" s="430" t="s">
        <v>88</v>
      </c>
      <c r="E1357" s="451">
        <v>6.3999999999999997E-5</v>
      </c>
      <c r="F1357" s="478">
        <v>4279.5600000000004</v>
      </c>
      <c r="G1357" s="433">
        <f>TRUNC(E1357*F1357,2)</f>
        <v>0.27</v>
      </c>
    </row>
    <row r="1358" spans="1:9" ht="14.1" customHeight="1">
      <c r="D1358" s="436"/>
      <c r="E1358" s="437"/>
      <c r="F1358" s="438" t="s">
        <v>103</v>
      </c>
      <c r="G1358" s="433"/>
    </row>
    <row r="1359" spans="1:9" ht="14.1" customHeight="1">
      <c r="D1359" s="436"/>
      <c r="E1359" s="437"/>
      <c r="F1359" s="438" t="s">
        <v>105</v>
      </c>
      <c r="G1359" s="433">
        <f>G1357</f>
        <v>0.27</v>
      </c>
    </row>
    <row r="1360" spans="1:9" ht="14.1" customHeight="1">
      <c r="A1360" s="439"/>
      <c r="D1360" s="436"/>
      <c r="E1360" s="437"/>
      <c r="F1360" s="438" t="s">
        <v>106</v>
      </c>
      <c r="G1360" s="440">
        <f>SUM(G1358:G1359)</f>
        <v>0.27</v>
      </c>
      <c r="H1360" s="441"/>
    </row>
    <row r="1361" spans="1:9">
      <c r="A1361" s="442"/>
      <c r="B1361" s="443"/>
      <c r="C1361" s="444"/>
      <c r="D1361" s="445"/>
      <c r="E1361" s="442"/>
      <c r="F1361" s="443"/>
      <c r="G1361" s="443"/>
      <c r="H1361" s="443"/>
      <c r="I1361" s="442"/>
    </row>
    <row r="1363" spans="1:9">
      <c r="A1363" s="170" t="s">
        <v>1258</v>
      </c>
    </row>
    <row r="1364" spans="1:9" ht="13.5" customHeight="1">
      <c r="A1364" s="170" t="s">
        <v>1259</v>
      </c>
      <c r="B1364" s="446" t="s">
        <v>2861</v>
      </c>
      <c r="C1364" s="447"/>
    </row>
    <row r="1365" spans="1:9" ht="21" customHeight="1">
      <c r="A1365" s="170" t="s">
        <v>80</v>
      </c>
      <c r="B1365" s="1429" t="s">
        <v>1509</v>
      </c>
      <c r="C1365" s="1429"/>
      <c r="D1365" s="724" t="s">
        <v>410</v>
      </c>
      <c r="F1365" s="425"/>
      <c r="G1365" s="425"/>
    </row>
    <row r="1366" spans="1:9" ht="22.5">
      <c r="A1366" s="428" t="s">
        <v>30</v>
      </c>
      <c r="B1366" s="434" t="s">
        <v>19</v>
      </c>
      <c r="C1366" s="432" t="s">
        <v>1505</v>
      </c>
      <c r="D1366" s="430" t="s">
        <v>88</v>
      </c>
      <c r="E1366" s="431" t="s">
        <v>93</v>
      </c>
      <c r="F1366" s="432" t="s">
        <v>94</v>
      </c>
      <c r="G1366" s="433" t="s">
        <v>95</v>
      </c>
    </row>
    <row r="1367" spans="1:9" ht="22.5">
      <c r="A1367" s="448" t="s">
        <v>1507</v>
      </c>
      <c r="B1367" s="449" t="s">
        <v>1508</v>
      </c>
      <c r="C1367" s="450" t="s">
        <v>1342</v>
      </c>
      <c r="D1367" s="430" t="s">
        <v>88</v>
      </c>
      <c r="E1367" s="451">
        <v>1.4399999999999999E-5</v>
      </c>
      <c r="F1367" s="478">
        <v>4279.5600000000004</v>
      </c>
      <c r="G1367" s="433">
        <f>TRUNC(E1367*F1367,2)</f>
        <v>0.06</v>
      </c>
    </row>
    <row r="1368" spans="1:9" ht="14.1" customHeight="1">
      <c r="D1368" s="436"/>
      <c r="E1368" s="437"/>
      <c r="F1368" s="438" t="s">
        <v>103</v>
      </c>
      <c r="G1368" s="433"/>
    </row>
    <row r="1369" spans="1:9" ht="14.1" customHeight="1">
      <c r="D1369" s="436"/>
      <c r="E1369" s="437"/>
      <c r="F1369" s="438" t="s">
        <v>105</v>
      </c>
      <c r="G1369" s="433">
        <f>G1367</f>
        <v>0.06</v>
      </c>
    </row>
    <row r="1370" spans="1:9" ht="14.1" customHeight="1">
      <c r="A1370" s="439"/>
      <c r="D1370" s="436"/>
      <c r="E1370" s="437"/>
      <c r="F1370" s="438" t="s">
        <v>106</v>
      </c>
      <c r="G1370" s="440">
        <f>SUM(G1368:G1369)</f>
        <v>0.06</v>
      </c>
      <c r="H1370" s="441"/>
    </row>
    <row r="1371" spans="1:9">
      <c r="A1371" s="442"/>
      <c r="B1371" s="443"/>
      <c r="C1371" s="444"/>
      <c r="D1371" s="445"/>
      <c r="E1371" s="442"/>
      <c r="F1371" s="443"/>
      <c r="G1371" s="443"/>
      <c r="H1371" s="443"/>
      <c r="I1371" s="442"/>
    </row>
    <row r="1373" spans="1:9">
      <c r="A1373" s="170" t="s">
        <v>1258</v>
      </c>
    </row>
    <row r="1374" spans="1:9" ht="12.75" customHeight="1">
      <c r="A1374" s="170" t="s">
        <v>1259</v>
      </c>
      <c r="B1374" s="446" t="s">
        <v>2862</v>
      </c>
      <c r="C1374" s="447"/>
    </row>
    <row r="1375" spans="1:9" ht="21" customHeight="1">
      <c r="A1375" s="170" t="s">
        <v>80</v>
      </c>
      <c r="B1375" s="1429" t="s">
        <v>1510</v>
      </c>
      <c r="C1375" s="1429"/>
      <c r="D1375" s="723" t="s">
        <v>410</v>
      </c>
      <c r="F1375" s="425"/>
      <c r="G1375" s="425"/>
    </row>
    <row r="1376" spans="1:9" ht="22.5">
      <c r="A1376" s="428" t="s">
        <v>30</v>
      </c>
      <c r="B1376" s="434" t="s">
        <v>19</v>
      </c>
      <c r="C1376" s="432" t="s">
        <v>1505</v>
      </c>
      <c r="D1376" s="430" t="s">
        <v>88</v>
      </c>
      <c r="E1376" s="431" t="s">
        <v>93</v>
      </c>
      <c r="F1376" s="432" t="s">
        <v>94</v>
      </c>
      <c r="G1376" s="433" t="s">
        <v>95</v>
      </c>
    </row>
    <row r="1377" spans="1:9" ht="22.5">
      <c r="A1377" s="448" t="s">
        <v>1507</v>
      </c>
      <c r="B1377" s="449" t="s">
        <v>1508</v>
      </c>
      <c r="C1377" s="450" t="s">
        <v>1342</v>
      </c>
      <c r="D1377" s="430" t="s">
        <v>88</v>
      </c>
      <c r="E1377" s="451">
        <v>6.0000000000000002E-5</v>
      </c>
      <c r="F1377" s="478">
        <v>4279.5600000000004</v>
      </c>
      <c r="G1377" s="433">
        <f>TRUNC(E1377*F1377,2)</f>
        <v>0.25</v>
      </c>
    </row>
    <row r="1378" spans="1:9" ht="14.1" customHeight="1">
      <c r="D1378" s="436"/>
      <c r="E1378" s="437"/>
      <c r="F1378" s="438" t="s">
        <v>103</v>
      </c>
      <c r="G1378" s="433"/>
    </row>
    <row r="1379" spans="1:9" ht="14.1" customHeight="1">
      <c r="D1379" s="436"/>
      <c r="E1379" s="437"/>
      <c r="F1379" s="438" t="s">
        <v>105</v>
      </c>
      <c r="G1379" s="433">
        <f>G1377</f>
        <v>0.25</v>
      </c>
    </row>
    <row r="1380" spans="1:9" ht="14.1" customHeight="1">
      <c r="A1380" s="439"/>
      <c r="D1380" s="436"/>
      <c r="E1380" s="437"/>
      <c r="F1380" s="438" t="s">
        <v>106</v>
      </c>
      <c r="G1380" s="440">
        <f>SUM(G1378:G1379)</f>
        <v>0.25</v>
      </c>
      <c r="H1380" s="441"/>
    </row>
    <row r="1381" spans="1:9">
      <c r="A1381" s="442"/>
      <c r="B1381" s="443"/>
      <c r="C1381" s="444"/>
      <c r="D1381" s="445"/>
      <c r="E1381" s="442"/>
      <c r="F1381" s="443"/>
      <c r="G1381" s="443"/>
      <c r="H1381" s="443"/>
      <c r="I1381" s="442"/>
    </row>
    <row r="1383" spans="1:9">
      <c r="A1383" s="170" t="s">
        <v>1258</v>
      </c>
    </row>
    <row r="1384" spans="1:9">
      <c r="A1384" s="170" t="s">
        <v>1259</v>
      </c>
      <c r="B1384" s="446" t="s">
        <v>2863</v>
      </c>
      <c r="C1384" s="447"/>
    </row>
    <row r="1385" spans="1:9" ht="21" customHeight="1">
      <c r="A1385" s="170" t="s">
        <v>80</v>
      </c>
      <c r="B1385" s="1429" t="s">
        <v>1511</v>
      </c>
      <c r="C1385" s="1429"/>
      <c r="D1385" s="723" t="s">
        <v>410</v>
      </c>
      <c r="F1385" s="425"/>
      <c r="G1385" s="425"/>
    </row>
    <row r="1386" spans="1:9" ht="22.5">
      <c r="A1386" s="428" t="s">
        <v>30</v>
      </c>
      <c r="B1386" s="434" t="s">
        <v>19</v>
      </c>
      <c r="C1386" s="432" t="s">
        <v>1505</v>
      </c>
      <c r="D1386" s="430" t="s">
        <v>88</v>
      </c>
      <c r="E1386" s="431" t="s">
        <v>93</v>
      </c>
      <c r="F1386" s="432" t="s">
        <v>94</v>
      </c>
      <c r="G1386" s="433" t="s">
        <v>95</v>
      </c>
    </row>
    <row r="1387" spans="1:9" ht="22.5">
      <c r="A1387" s="448" t="s">
        <v>1433</v>
      </c>
      <c r="B1387" s="449" t="s">
        <v>1434</v>
      </c>
      <c r="C1387" s="450" t="s">
        <v>99</v>
      </c>
      <c r="D1387" s="430" t="s">
        <v>1435</v>
      </c>
      <c r="E1387" s="451">
        <v>0.78</v>
      </c>
      <c r="F1387" s="478">
        <v>0.47</v>
      </c>
      <c r="G1387" s="433">
        <f>TRUNC(E1387*F1387,2)</f>
        <v>0.36</v>
      </c>
    </row>
    <row r="1388" spans="1:9" ht="14.1" customHeight="1">
      <c r="D1388" s="436"/>
      <c r="E1388" s="437"/>
      <c r="F1388" s="438" t="s">
        <v>103</v>
      </c>
      <c r="G1388" s="433"/>
    </row>
    <row r="1389" spans="1:9" ht="14.1" customHeight="1">
      <c r="D1389" s="436"/>
      <c r="E1389" s="437"/>
      <c r="F1389" s="438" t="s">
        <v>105</v>
      </c>
      <c r="G1389" s="433">
        <f>G1387</f>
        <v>0.36</v>
      </c>
    </row>
    <row r="1390" spans="1:9" ht="14.1" customHeight="1">
      <c r="A1390" s="439"/>
      <c r="D1390" s="436"/>
      <c r="E1390" s="437"/>
      <c r="F1390" s="438" t="s">
        <v>106</v>
      </c>
      <c r="G1390" s="440">
        <f>SUM(G1388:G1389)</f>
        <v>0.36</v>
      </c>
      <c r="H1390" s="441"/>
    </row>
    <row r="1391" spans="1:9">
      <c r="A1391" s="442"/>
      <c r="B1391" s="443"/>
      <c r="C1391" s="444"/>
      <c r="D1391" s="445"/>
      <c r="E1391" s="442"/>
      <c r="F1391" s="443"/>
      <c r="G1391" s="443"/>
      <c r="H1391" s="443"/>
      <c r="I1391" s="442"/>
    </row>
    <row r="1393" spans="1:9">
      <c r="A1393" s="170" t="s">
        <v>1258</v>
      </c>
    </row>
    <row r="1394" spans="1:9">
      <c r="A1394" s="170" t="s">
        <v>1259</v>
      </c>
      <c r="B1394" s="220" t="s">
        <v>1512</v>
      </c>
      <c r="C1394" s="426"/>
    </row>
    <row r="1395" spans="1:9" ht="23.25" customHeight="1">
      <c r="A1395" s="170" t="s">
        <v>80</v>
      </c>
      <c r="B1395" s="1429" t="s">
        <v>1513</v>
      </c>
      <c r="C1395" s="1429"/>
      <c r="D1395" s="1429"/>
      <c r="E1395" s="222" t="s">
        <v>1338</v>
      </c>
      <c r="F1395" s="425"/>
      <c r="G1395" s="425"/>
    </row>
    <row r="1396" spans="1:9" ht="22.5">
      <c r="A1396" s="428" t="s">
        <v>30</v>
      </c>
      <c r="B1396" s="434" t="s">
        <v>19</v>
      </c>
      <c r="C1396" s="430" t="s">
        <v>92</v>
      </c>
      <c r="D1396" s="430" t="s">
        <v>88</v>
      </c>
      <c r="E1396" s="431" t="s">
        <v>93</v>
      </c>
      <c r="F1396" s="432" t="s">
        <v>94</v>
      </c>
      <c r="G1396" s="433" t="s">
        <v>95</v>
      </c>
    </row>
    <row r="1397" spans="1:9" ht="14.1" customHeight="1">
      <c r="A1397" s="1470" t="s">
        <v>1491</v>
      </c>
      <c r="B1397" s="1416" t="s">
        <v>1492</v>
      </c>
      <c r="C1397" s="430" t="s">
        <v>117</v>
      </c>
      <c r="D1397" s="1574" t="s">
        <v>410</v>
      </c>
      <c r="E1397" s="1578">
        <v>1</v>
      </c>
      <c r="F1397" s="501">
        <f>G1338</f>
        <v>10.680000000000001</v>
      </c>
      <c r="G1397" s="493">
        <f>TRUNC(E1397*F1397,2)</f>
        <v>10.68</v>
      </c>
    </row>
    <row r="1398" spans="1:9" ht="14.1" customHeight="1">
      <c r="A1398" s="1536"/>
      <c r="B1398" s="1417"/>
      <c r="C1398" s="431" t="s">
        <v>99</v>
      </c>
      <c r="D1398" s="1575"/>
      <c r="E1398" s="1579"/>
      <c r="F1398" s="501">
        <f>G1339</f>
        <v>4.12</v>
      </c>
      <c r="G1398" s="493">
        <f>TRUNC(E1397*F1398,2)</f>
        <v>4.12</v>
      </c>
    </row>
    <row r="1399" spans="1:9" ht="33.75">
      <c r="A1399" s="494" t="s">
        <v>1493</v>
      </c>
      <c r="B1399" s="434" t="s">
        <v>1494</v>
      </c>
      <c r="C1399" s="431" t="s">
        <v>1342</v>
      </c>
      <c r="D1399" s="430" t="s">
        <v>410</v>
      </c>
      <c r="E1399" s="495">
        <v>1</v>
      </c>
      <c r="F1399" s="435">
        <f>G1360</f>
        <v>0.27</v>
      </c>
      <c r="G1399" s="456">
        <f t="shared" ref="G1399:G1400" si="71">TRUNC(E1399*F1399,2)</f>
        <v>0.27</v>
      </c>
    </row>
    <row r="1400" spans="1:9" ht="33.75">
      <c r="A1400" s="494" t="s">
        <v>1495</v>
      </c>
      <c r="B1400" s="434" t="s">
        <v>1496</v>
      </c>
      <c r="C1400" s="431" t="s">
        <v>1342</v>
      </c>
      <c r="D1400" s="430" t="s">
        <v>410</v>
      </c>
      <c r="E1400" s="495">
        <v>1</v>
      </c>
      <c r="F1400" s="435">
        <f>G1370</f>
        <v>0.06</v>
      </c>
      <c r="G1400" s="456">
        <f t="shared" si="71"/>
        <v>0.06</v>
      </c>
    </row>
    <row r="1401" spans="1:9" ht="14.1" customHeight="1">
      <c r="D1401" s="436"/>
      <c r="E1401" s="437"/>
      <c r="F1401" s="438" t="s">
        <v>103</v>
      </c>
      <c r="G1401" s="456">
        <f>G1397</f>
        <v>10.68</v>
      </c>
    </row>
    <row r="1402" spans="1:9" ht="14.1" customHeight="1">
      <c r="D1402" s="436"/>
      <c r="E1402" s="437"/>
      <c r="F1402" s="438" t="s">
        <v>105</v>
      </c>
      <c r="G1402" s="456">
        <f>G1398+G1399+G1400</f>
        <v>4.45</v>
      </c>
    </row>
    <row r="1403" spans="1:9" ht="14.1" customHeight="1">
      <c r="A1403" s="439"/>
      <c r="D1403" s="436"/>
      <c r="E1403" s="437"/>
      <c r="F1403" s="438" t="s">
        <v>106</v>
      </c>
      <c r="G1403" s="440">
        <f>SUM(G1401:G1402)</f>
        <v>15.129999999999999</v>
      </c>
      <c r="H1403" s="441"/>
    </row>
    <row r="1404" spans="1:9">
      <c r="A1404" s="442"/>
      <c r="B1404" s="443"/>
      <c r="C1404" s="444"/>
      <c r="D1404" s="445"/>
      <c r="E1404" s="442"/>
      <c r="F1404" s="443"/>
      <c r="G1404" s="443"/>
      <c r="H1404" s="443"/>
      <c r="I1404" s="442"/>
    </row>
    <row r="1406" spans="1:9">
      <c r="A1406" s="170" t="s">
        <v>1258</v>
      </c>
    </row>
    <row r="1407" spans="1:9">
      <c r="A1407" s="170" t="s">
        <v>1259</v>
      </c>
      <c r="B1407" s="446" t="s">
        <v>1514</v>
      </c>
      <c r="C1407" s="447"/>
    </row>
    <row r="1408" spans="1:9" ht="22.5">
      <c r="A1408" s="170" t="s">
        <v>80</v>
      </c>
      <c r="B1408" s="427" t="s">
        <v>1515</v>
      </c>
      <c r="C1408" s="222" t="s">
        <v>410</v>
      </c>
      <c r="E1408" s="425" t="s">
        <v>2</v>
      </c>
      <c r="F1408" s="425"/>
      <c r="G1408" s="425"/>
    </row>
    <row r="1409" spans="1:9" ht="22.5">
      <c r="A1409" s="428" t="s">
        <v>30</v>
      </c>
      <c r="B1409" s="434" t="s">
        <v>19</v>
      </c>
      <c r="C1409" s="432" t="s">
        <v>1505</v>
      </c>
      <c r="D1409" s="430" t="s">
        <v>88</v>
      </c>
      <c r="E1409" s="431" t="s">
        <v>93</v>
      </c>
      <c r="F1409" s="432" t="s">
        <v>94</v>
      </c>
      <c r="G1409" s="433" t="s">
        <v>95</v>
      </c>
    </row>
    <row r="1410" spans="1:9" ht="14.1" customHeight="1">
      <c r="A1410" s="448">
        <v>12869</v>
      </c>
      <c r="B1410" s="449" t="s">
        <v>1516</v>
      </c>
      <c r="C1410" s="450" t="s">
        <v>117</v>
      </c>
      <c r="D1410" s="430" t="s">
        <v>410</v>
      </c>
      <c r="E1410" s="451">
        <v>9.2999999999999992E-3</v>
      </c>
      <c r="F1410" s="452">
        <f>16.02/118.57%</f>
        <v>13.511006156700683</v>
      </c>
      <c r="G1410" s="433">
        <f>TRUNC(E1410*F1410,2)</f>
        <v>0.12</v>
      </c>
    </row>
    <row r="1411" spans="1:9" ht="14.1" customHeight="1">
      <c r="D1411" s="436"/>
      <c r="E1411" s="437"/>
      <c r="F1411" s="438" t="s">
        <v>103</v>
      </c>
      <c r="G1411" s="433">
        <f>G1410</f>
        <v>0.12</v>
      </c>
    </row>
    <row r="1412" spans="1:9" ht="14.1" customHeight="1">
      <c r="D1412" s="436"/>
      <c r="E1412" s="437"/>
      <c r="F1412" s="438" t="s">
        <v>105</v>
      </c>
      <c r="G1412" s="433"/>
    </row>
    <row r="1413" spans="1:9" ht="14.1" customHeight="1">
      <c r="A1413" s="439"/>
      <c r="D1413" s="436"/>
      <c r="E1413" s="437"/>
      <c r="F1413" s="438" t="s">
        <v>106</v>
      </c>
      <c r="G1413" s="440">
        <f>SUM(G1411:G1412)</f>
        <v>0.12</v>
      </c>
      <c r="H1413" s="441"/>
    </row>
    <row r="1414" spans="1:9">
      <c r="A1414" s="442"/>
      <c r="B1414" s="443"/>
      <c r="C1414" s="444"/>
      <c r="D1414" s="445"/>
      <c r="E1414" s="442"/>
      <c r="F1414" s="443"/>
      <c r="G1414" s="443"/>
      <c r="H1414" s="443"/>
      <c r="I1414" s="442"/>
    </row>
    <row r="1416" spans="1:9">
      <c r="A1416" s="170" t="s">
        <v>1258</v>
      </c>
    </row>
    <row r="1417" spans="1:9">
      <c r="A1417" s="170" t="s">
        <v>1259</v>
      </c>
      <c r="B1417" s="446" t="s">
        <v>1517</v>
      </c>
      <c r="C1417" s="447"/>
    </row>
    <row r="1418" spans="1:9" ht="33.75">
      <c r="A1418" s="170" t="s">
        <v>80</v>
      </c>
      <c r="B1418" s="427" t="s">
        <v>1518</v>
      </c>
      <c r="C1418" s="222" t="s">
        <v>410</v>
      </c>
      <c r="E1418" s="425" t="s">
        <v>2</v>
      </c>
      <c r="F1418" s="425"/>
      <c r="G1418" s="425"/>
    </row>
    <row r="1419" spans="1:9" ht="22.5">
      <c r="A1419" s="428" t="s">
        <v>30</v>
      </c>
      <c r="B1419" s="434" t="s">
        <v>19</v>
      </c>
      <c r="C1419" s="432" t="s">
        <v>1505</v>
      </c>
      <c r="D1419" s="430" t="s">
        <v>88</v>
      </c>
      <c r="E1419" s="431" t="s">
        <v>93</v>
      </c>
      <c r="F1419" s="432" t="s">
        <v>94</v>
      </c>
      <c r="G1419" s="433" t="s">
        <v>95</v>
      </c>
    </row>
    <row r="1420" spans="1:9" ht="14.1" customHeight="1">
      <c r="A1420" s="448">
        <v>6117</v>
      </c>
      <c r="B1420" s="449" t="s">
        <v>1519</v>
      </c>
      <c r="C1420" s="450" t="s">
        <v>117</v>
      </c>
      <c r="D1420" s="430" t="s">
        <v>410</v>
      </c>
      <c r="E1420" s="451">
        <v>1.1900000000000001E-2</v>
      </c>
      <c r="F1420" s="452">
        <f>13.74</f>
        <v>13.74</v>
      </c>
      <c r="G1420" s="433">
        <f>TRUNC(E1420*F1420,2)</f>
        <v>0.16</v>
      </c>
    </row>
    <row r="1421" spans="1:9" ht="14.1" customHeight="1">
      <c r="D1421" s="436"/>
      <c r="E1421" s="437"/>
      <c r="F1421" s="438" t="s">
        <v>103</v>
      </c>
      <c r="G1421" s="433">
        <f>G1420</f>
        <v>0.16</v>
      </c>
    </row>
    <row r="1422" spans="1:9" ht="14.1" customHeight="1">
      <c r="D1422" s="436"/>
      <c r="E1422" s="437"/>
      <c r="F1422" s="438" t="s">
        <v>105</v>
      </c>
      <c r="G1422" s="433"/>
    </row>
    <row r="1423" spans="1:9" ht="14.1" customHeight="1">
      <c r="A1423" s="439"/>
      <c r="D1423" s="436"/>
      <c r="E1423" s="437"/>
      <c r="F1423" s="438" t="s">
        <v>106</v>
      </c>
      <c r="G1423" s="440">
        <f>SUM(G1421:G1422)</f>
        <v>0.16</v>
      </c>
      <c r="H1423" s="441"/>
    </row>
    <row r="1424" spans="1:9">
      <c r="A1424" s="442"/>
      <c r="B1424" s="443"/>
      <c r="C1424" s="444"/>
      <c r="D1424" s="445"/>
      <c r="E1424" s="442"/>
      <c r="F1424" s="443"/>
      <c r="G1424" s="443"/>
      <c r="H1424" s="443"/>
      <c r="I1424" s="442"/>
    </row>
    <row r="1426" spans="1:9">
      <c r="A1426" s="170" t="s">
        <v>1258</v>
      </c>
    </row>
    <row r="1427" spans="1:9">
      <c r="A1427" s="170" t="s">
        <v>1259</v>
      </c>
      <c r="B1427" s="446" t="s">
        <v>1520</v>
      </c>
      <c r="C1427" s="447"/>
    </row>
    <row r="1428" spans="1:9" ht="22.5">
      <c r="A1428" s="170" t="s">
        <v>80</v>
      </c>
      <c r="B1428" s="427" t="s">
        <v>1521</v>
      </c>
      <c r="C1428" s="222" t="s">
        <v>410</v>
      </c>
      <c r="E1428" s="425" t="s">
        <v>2</v>
      </c>
      <c r="F1428" s="425"/>
      <c r="G1428" s="425"/>
    </row>
    <row r="1429" spans="1:9" ht="22.5">
      <c r="A1429" s="428" t="s">
        <v>30</v>
      </c>
      <c r="B1429" s="434" t="s">
        <v>19</v>
      </c>
      <c r="C1429" s="432" t="s">
        <v>1505</v>
      </c>
      <c r="D1429" s="430" t="s">
        <v>88</v>
      </c>
      <c r="E1429" s="431" t="s">
        <v>93</v>
      </c>
      <c r="F1429" s="432" t="s">
        <v>94</v>
      </c>
      <c r="G1429" s="433" t="s">
        <v>95</v>
      </c>
    </row>
    <row r="1430" spans="1:9" ht="14.1" customHeight="1">
      <c r="A1430" s="448">
        <v>4783</v>
      </c>
      <c r="B1430" s="449" t="s">
        <v>1522</v>
      </c>
      <c r="C1430" s="450" t="s">
        <v>117</v>
      </c>
      <c r="D1430" s="430" t="s">
        <v>410</v>
      </c>
      <c r="E1430" s="451">
        <v>1.1900000000000001E-2</v>
      </c>
      <c r="F1430" s="452">
        <f>14.68</f>
        <v>14.68</v>
      </c>
      <c r="G1430" s="433">
        <f>TRUNC(E1430*F1430,2)</f>
        <v>0.17</v>
      </c>
    </row>
    <row r="1431" spans="1:9" ht="14.1" customHeight="1">
      <c r="D1431" s="436"/>
      <c r="E1431" s="437"/>
      <c r="F1431" s="438" t="s">
        <v>103</v>
      </c>
      <c r="G1431" s="433">
        <f>G1430</f>
        <v>0.17</v>
      </c>
    </row>
    <row r="1432" spans="1:9" ht="14.1" customHeight="1">
      <c r="D1432" s="436"/>
      <c r="E1432" s="437"/>
      <c r="F1432" s="438" t="s">
        <v>105</v>
      </c>
      <c r="G1432" s="433"/>
    </row>
    <row r="1433" spans="1:9" ht="14.1" customHeight="1">
      <c r="A1433" s="439"/>
      <c r="D1433" s="436"/>
      <c r="E1433" s="437"/>
      <c r="F1433" s="438" t="s">
        <v>106</v>
      </c>
      <c r="G1433" s="440">
        <f>SUM(G1431:G1432)</f>
        <v>0.17</v>
      </c>
      <c r="H1433" s="441"/>
    </row>
    <row r="1434" spans="1:9">
      <c r="A1434" s="442"/>
      <c r="B1434" s="443"/>
      <c r="C1434" s="444"/>
      <c r="D1434" s="445"/>
      <c r="E1434" s="442"/>
      <c r="F1434" s="443"/>
      <c r="G1434" s="443"/>
      <c r="H1434" s="443"/>
      <c r="I1434" s="442"/>
    </row>
    <row r="1436" spans="1:9">
      <c r="A1436" s="170" t="s">
        <v>1258</v>
      </c>
    </row>
    <row r="1437" spans="1:9">
      <c r="A1437" s="170" t="s">
        <v>1259</v>
      </c>
      <c r="B1437" s="446" t="s">
        <v>1523</v>
      </c>
      <c r="C1437" s="447"/>
    </row>
    <row r="1438" spans="1:9" ht="33.75">
      <c r="A1438" s="170" t="s">
        <v>80</v>
      </c>
      <c r="B1438" s="427" t="s">
        <v>1524</v>
      </c>
      <c r="C1438" s="222" t="s">
        <v>410</v>
      </c>
      <c r="E1438" s="425" t="s">
        <v>2</v>
      </c>
      <c r="F1438" s="425"/>
      <c r="G1438" s="425"/>
    </row>
    <row r="1439" spans="1:9" ht="22.5">
      <c r="A1439" s="428" t="s">
        <v>30</v>
      </c>
      <c r="B1439" s="434" t="s">
        <v>19</v>
      </c>
      <c r="C1439" s="432" t="s">
        <v>1505</v>
      </c>
      <c r="D1439" s="430" t="s">
        <v>88</v>
      </c>
      <c r="E1439" s="431" t="s">
        <v>93</v>
      </c>
      <c r="F1439" s="432" t="s">
        <v>94</v>
      </c>
      <c r="G1439" s="433" t="s">
        <v>95</v>
      </c>
    </row>
    <row r="1440" spans="1:9" ht="14.1" customHeight="1">
      <c r="A1440" s="448">
        <v>247</v>
      </c>
      <c r="B1440" s="449" t="s">
        <v>1525</v>
      </c>
      <c r="C1440" s="450" t="s">
        <v>117</v>
      </c>
      <c r="D1440" s="430" t="s">
        <v>410</v>
      </c>
      <c r="E1440" s="451">
        <v>3.0099999999999998E-2</v>
      </c>
      <c r="F1440" s="452">
        <f>10.66</f>
        <v>10.66</v>
      </c>
      <c r="G1440" s="433">
        <f>TRUNC(E1440*F1440,2)</f>
        <v>0.32</v>
      </c>
    </row>
    <row r="1441" spans="1:9" ht="14.1" customHeight="1">
      <c r="D1441" s="436"/>
      <c r="E1441" s="437"/>
      <c r="F1441" s="438" t="s">
        <v>103</v>
      </c>
      <c r="G1441" s="433">
        <f>G1440</f>
        <v>0.32</v>
      </c>
    </row>
    <row r="1442" spans="1:9" ht="14.1" customHeight="1">
      <c r="D1442" s="436"/>
      <c r="E1442" s="437"/>
      <c r="F1442" s="438" t="s">
        <v>105</v>
      </c>
      <c r="G1442" s="433"/>
    </row>
    <row r="1443" spans="1:9" ht="14.1" customHeight="1">
      <c r="A1443" s="439"/>
      <c r="D1443" s="436"/>
      <c r="E1443" s="437"/>
      <c r="F1443" s="438" t="s">
        <v>106</v>
      </c>
      <c r="G1443" s="440">
        <f>SUM(G1441:G1442)</f>
        <v>0.32</v>
      </c>
      <c r="H1443" s="441"/>
    </row>
    <row r="1444" spans="1:9">
      <c r="A1444" s="442"/>
      <c r="B1444" s="443"/>
      <c r="C1444" s="444"/>
      <c r="D1444" s="445"/>
      <c r="E1444" s="442"/>
      <c r="F1444" s="443"/>
      <c r="G1444" s="443"/>
      <c r="H1444" s="443"/>
      <c r="I1444" s="442"/>
    </row>
    <row r="1446" spans="1:9">
      <c r="A1446" s="170" t="s">
        <v>1258</v>
      </c>
    </row>
    <row r="1447" spans="1:9">
      <c r="A1447" s="170" t="s">
        <v>1259</v>
      </c>
      <c r="B1447" s="446" t="s">
        <v>1526</v>
      </c>
      <c r="C1447" s="447"/>
    </row>
    <row r="1448" spans="1:9" ht="22.5">
      <c r="A1448" s="170" t="s">
        <v>80</v>
      </c>
      <c r="B1448" s="427" t="s">
        <v>1527</v>
      </c>
      <c r="C1448" s="222" t="s">
        <v>410</v>
      </c>
      <c r="E1448" s="425" t="s">
        <v>2</v>
      </c>
      <c r="F1448" s="425"/>
      <c r="G1448" s="425"/>
    </row>
    <row r="1449" spans="1:9" ht="22.5">
      <c r="A1449" s="428" t="s">
        <v>30</v>
      </c>
      <c r="B1449" s="434" t="s">
        <v>19</v>
      </c>
      <c r="C1449" s="432" t="s">
        <v>1505</v>
      </c>
      <c r="D1449" s="430" t="s">
        <v>88</v>
      </c>
      <c r="E1449" s="431" t="s">
        <v>93</v>
      </c>
      <c r="F1449" s="432" t="s">
        <v>94</v>
      </c>
      <c r="G1449" s="433" t="s">
        <v>95</v>
      </c>
    </row>
    <row r="1450" spans="1:9" ht="14.1" customHeight="1">
      <c r="A1450" s="448">
        <v>2436</v>
      </c>
      <c r="B1450" s="449" t="s">
        <v>1528</v>
      </c>
      <c r="C1450" s="450" t="s">
        <v>117</v>
      </c>
      <c r="D1450" s="430" t="s">
        <v>410</v>
      </c>
      <c r="E1450" s="451">
        <v>3.0099999999999998E-2</v>
      </c>
      <c r="F1450" s="452">
        <f>15.19</f>
        <v>15.19</v>
      </c>
      <c r="G1450" s="433">
        <f>TRUNC(E1450*F1450,2)</f>
        <v>0.45</v>
      </c>
    </row>
    <row r="1451" spans="1:9" ht="14.1" customHeight="1">
      <c r="D1451" s="436"/>
      <c r="E1451" s="437"/>
      <c r="F1451" s="438" t="s">
        <v>103</v>
      </c>
      <c r="G1451" s="433">
        <f>G1450</f>
        <v>0.45</v>
      </c>
    </row>
    <row r="1452" spans="1:9" ht="14.1" customHeight="1">
      <c r="D1452" s="436"/>
      <c r="E1452" s="437"/>
      <c r="F1452" s="438" t="s">
        <v>105</v>
      </c>
      <c r="G1452" s="433"/>
    </row>
    <row r="1453" spans="1:9" ht="14.1" customHeight="1">
      <c r="A1453" s="439"/>
      <c r="D1453" s="436"/>
      <c r="E1453" s="437"/>
      <c r="F1453" s="438" t="s">
        <v>106</v>
      </c>
      <c r="G1453" s="440">
        <f>SUM(G1451:G1452)</f>
        <v>0.45</v>
      </c>
      <c r="H1453" s="441"/>
    </row>
    <row r="1454" spans="1:9">
      <c r="A1454" s="442"/>
      <c r="B1454" s="443"/>
      <c r="C1454" s="444"/>
      <c r="D1454" s="445"/>
      <c r="E1454" s="442"/>
      <c r="F1454" s="443"/>
      <c r="G1454" s="443"/>
      <c r="H1454" s="443"/>
      <c r="I1454" s="442"/>
    </row>
    <row r="1456" spans="1:9">
      <c r="A1456" s="170" t="s">
        <v>1258</v>
      </c>
    </row>
    <row r="1457" spans="1:9">
      <c r="A1457" s="170" t="s">
        <v>1259</v>
      </c>
      <c r="B1457" s="446" t="s">
        <v>1529</v>
      </c>
      <c r="C1457" s="447"/>
    </row>
    <row r="1458" spans="1:9" ht="27.75" customHeight="1">
      <c r="A1458" s="170" t="s">
        <v>80</v>
      </c>
      <c r="B1458" s="1429" t="s">
        <v>1530</v>
      </c>
      <c r="C1458" s="1429"/>
      <c r="D1458" s="1429"/>
      <c r="E1458" s="462" t="s">
        <v>410</v>
      </c>
      <c r="F1458" s="425"/>
      <c r="G1458" s="425"/>
    </row>
    <row r="1459" spans="1:9" ht="22.5">
      <c r="A1459" s="428" t="s">
        <v>30</v>
      </c>
      <c r="B1459" s="434" t="s">
        <v>19</v>
      </c>
      <c r="C1459" s="432" t="s">
        <v>1505</v>
      </c>
      <c r="D1459" s="430" t="s">
        <v>88</v>
      </c>
      <c r="E1459" s="431" t="s">
        <v>93</v>
      </c>
      <c r="F1459" s="432" t="s">
        <v>94</v>
      </c>
      <c r="G1459" s="433" t="s">
        <v>95</v>
      </c>
    </row>
    <row r="1460" spans="1:9" ht="14.1" customHeight="1">
      <c r="A1460" s="448">
        <v>246</v>
      </c>
      <c r="B1460" s="449" t="s">
        <v>1531</v>
      </c>
      <c r="C1460" s="450" t="s">
        <v>117</v>
      </c>
      <c r="D1460" s="430" t="s">
        <v>410</v>
      </c>
      <c r="E1460" s="451">
        <v>1.4500000000000001E-2</v>
      </c>
      <c r="F1460" s="452">
        <f>10.75</f>
        <v>10.75</v>
      </c>
      <c r="G1460" s="433">
        <f>TRUNC(E1460*F1460,2)</f>
        <v>0.15</v>
      </c>
    </row>
    <row r="1461" spans="1:9" ht="14.1" customHeight="1">
      <c r="D1461" s="436"/>
      <c r="E1461" s="437"/>
      <c r="F1461" s="438" t="s">
        <v>103</v>
      </c>
      <c r="G1461" s="433">
        <f>G1460</f>
        <v>0.15</v>
      </c>
    </row>
    <row r="1462" spans="1:9" ht="14.1" customHeight="1">
      <c r="D1462" s="436"/>
      <c r="E1462" s="437"/>
      <c r="F1462" s="438" t="s">
        <v>105</v>
      </c>
      <c r="G1462" s="433"/>
    </row>
    <row r="1463" spans="1:9" ht="14.1" customHeight="1">
      <c r="A1463" s="439"/>
      <c r="D1463" s="436"/>
      <c r="E1463" s="437"/>
      <c r="F1463" s="438" t="s">
        <v>106</v>
      </c>
      <c r="G1463" s="440">
        <f>SUM(G1461:G1462)</f>
        <v>0.15</v>
      </c>
      <c r="H1463" s="441"/>
    </row>
    <row r="1464" spans="1:9">
      <c r="A1464" s="442"/>
      <c r="B1464" s="443"/>
      <c r="C1464" s="444"/>
      <c r="D1464" s="445"/>
      <c r="E1464" s="442"/>
      <c r="F1464" s="443"/>
      <c r="G1464" s="443"/>
      <c r="H1464" s="443"/>
      <c r="I1464" s="442"/>
    </row>
    <row r="1466" spans="1:9">
      <c r="A1466" s="170" t="s">
        <v>1258</v>
      </c>
    </row>
    <row r="1467" spans="1:9">
      <c r="A1467" s="170" t="s">
        <v>1259</v>
      </c>
      <c r="B1467" s="446" t="s">
        <v>1532</v>
      </c>
      <c r="C1467" s="447"/>
    </row>
    <row r="1468" spans="1:9" ht="26.25" customHeight="1">
      <c r="A1468" s="170" t="s">
        <v>80</v>
      </c>
      <c r="B1468" s="1429" t="s">
        <v>1533</v>
      </c>
      <c r="C1468" s="1429"/>
      <c r="D1468" s="222" t="s">
        <v>410</v>
      </c>
      <c r="E1468" s="425" t="s">
        <v>2</v>
      </c>
      <c r="F1468" s="425"/>
      <c r="G1468" s="425"/>
    </row>
    <row r="1469" spans="1:9" ht="22.5">
      <c r="A1469" s="428" t="s">
        <v>30</v>
      </c>
      <c r="B1469" s="434" t="s">
        <v>19</v>
      </c>
      <c r="C1469" s="432" t="s">
        <v>1505</v>
      </c>
      <c r="D1469" s="430" t="s">
        <v>88</v>
      </c>
      <c r="E1469" s="431" t="s">
        <v>93</v>
      </c>
      <c r="F1469" s="432" t="s">
        <v>94</v>
      </c>
      <c r="G1469" s="433" t="s">
        <v>95</v>
      </c>
    </row>
    <row r="1470" spans="1:9" ht="14.1" customHeight="1">
      <c r="A1470" s="448">
        <v>2696</v>
      </c>
      <c r="B1470" s="449" t="s">
        <v>1534</v>
      </c>
      <c r="C1470" s="450" t="s">
        <v>117</v>
      </c>
      <c r="D1470" s="430" t="s">
        <v>410</v>
      </c>
      <c r="E1470" s="451">
        <v>1.4500000000000001E-2</v>
      </c>
      <c r="F1470" s="452">
        <f>15.19</f>
        <v>15.19</v>
      </c>
      <c r="G1470" s="433">
        <f>TRUNC(E1470*F1470,2)</f>
        <v>0.22</v>
      </c>
    </row>
    <row r="1471" spans="1:9" ht="14.1" customHeight="1">
      <c r="D1471" s="436"/>
      <c r="E1471" s="437"/>
      <c r="F1471" s="438" t="s">
        <v>103</v>
      </c>
      <c r="G1471" s="433">
        <f>G1470</f>
        <v>0.22</v>
      </c>
    </row>
    <row r="1472" spans="1:9" ht="14.1" customHeight="1">
      <c r="D1472" s="436"/>
      <c r="E1472" s="437"/>
      <c r="F1472" s="438" t="s">
        <v>105</v>
      </c>
      <c r="G1472" s="433"/>
    </row>
    <row r="1473" spans="1:9" ht="14.1" customHeight="1">
      <c r="A1473" s="439"/>
      <c r="D1473" s="436"/>
      <c r="E1473" s="437"/>
      <c r="F1473" s="438" t="s">
        <v>106</v>
      </c>
      <c r="G1473" s="440">
        <f>SUM(G1471:G1472)</f>
        <v>0.22</v>
      </c>
      <c r="H1473" s="441"/>
    </row>
    <row r="1474" spans="1:9">
      <c r="A1474" s="442"/>
      <c r="B1474" s="443"/>
      <c r="C1474" s="444"/>
      <c r="D1474" s="445"/>
      <c r="E1474" s="442"/>
      <c r="F1474" s="443"/>
      <c r="G1474" s="443"/>
      <c r="H1474" s="443"/>
      <c r="I1474" s="442"/>
    </row>
    <row r="1476" spans="1:9">
      <c r="A1476" s="170" t="s">
        <v>1258</v>
      </c>
      <c r="C1476" s="173"/>
      <c r="D1476" s="170"/>
      <c r="E1476" s="193"/>
      <c r="H1476" s="424"/>
    </row>
    <row r="1477" spans="1:9">
      <c r="A1477" s="170" t="s">
        <v>1804</v>
      </c>
      <c r="C1477" s="173"/>
      <c r="D1477" s="170"/>
      <c r="E1477" s="193"/>
      <c r="H1477" s="424"/>
    </row>
    <row r="1478" spans="1:9" ht="26.25" customHeight="1">
      <c r="A1478" s="505" t="s">
        <v>1536</v>
      </c>
      <c r="B1478" s="1429" t="s">
        <v>1790</v>
      </c>
      <c r="C1478" s="1429"/>
      <c r="D1478" s="506" t="s">
        <v>418</v>
      </c>
      <c r="G1478" s="506"/>
      <c r="H1478" s="424"/>
    </row>
    <row r="1479" spans="1:9" ht="22.5">
      <c r="A1479" s="711" t="s">
        <v>30</v>
      </c>
      <c r="B1479" s="507" t="s">
        <v>19</v>
      </c>
      <c r="C1479" s="430" t="s">
        <v>92</v>
      </c>
      <c r="D1479" s="690" t="s">
        <v>88</v>
      </c>
      <c r="E1479" s="690" t="s">
        <v>93</v>
      </c>
      <c r="F1479" s="432" t="s">
        <v>94</v>
      </c>
      <c r="G1479" s="508" t="s">
        <v>95</v>
      </c>
      <c r="H1479" s="424"/>
    </row>
    <row r="1480" spans="1:9" ht="18" customHeight="1">
      <c r="A1480" s="1422">
        <v>88248</v>
      </c>
      <c r="B1480" s="1416" t="s">
        <v>334</v>
      </c>
      <c r="C1480" s="430" t="s">
        <v>117</v>
      </c>
      <c r="D1480" s="1424" t="s">
        <v>410</v>
      </c>
      <c r="E1480" s="1471">
        <v>7.0000000000000007E-2</v>
      </c>
      <c r="F1480" s="435">
        <f>G321</f>
        <v>10.9</v>
      </c>
      <c r="G1480" s="511">
        <f>TRUNC(E1480*F1480,2)</f>
        <v>0.76</v>
      </c>
      <c r="H1480" s="424"/>
    </row>
    <row r="1481" spans="1:9" ht="18" customHeight="1">
      <c r="A1481" s="1423"/>
      <c r="B1481" s="1417"/>
      <c r="C1481" s="430" t="s">
        <v>99</v>
      </c>
      <c r="D1481" s="1424"/>
      <c r="E1481" s="1472"/>
      <c r="F1481" s="435">
        <f>G322</f>
        <v>4.5600000000000005</v>
      </c>
      <c r="G1481" s="456">
        <f>TRUNC(E1480*F1481,2)</f>
        <v>0.31</v>
      </c>
      <c r="H1481" s="424"/>
    </row>
    <row r="1482" spans="1:9" ht="18" customHeight="1">
      <c r="A1482" s="1422">
        <v>88267</v>
      </c>
      <c r="B1482" s="1468" t="s">
        <v>298</v>
      </c>
      <c r="C1482" s="430" t="s">
        <v>117</v>
      </c>
      <c r="D1482" s="1424" t="s">
        <v>410</v>
      </c>
      <c r="E1482" s="1471">
        <v>0.44900000000000001</v>
      </c>
      <c r="F1482" s="435">
        <f>G338</f>
        <v>15.41</v>
      </c>
      <c r="G1482" s="456">
        <f>TRUNC(E1482*F1482,2)</f>
        <v>6.91</v>
      </c>
      <c r="H1482" s="424"/>
    </row>
    <row r="1483" spans="1:9" ht="18" customHeight="1">
      <c r="A1483" s="1423"/>
      <c r="B1483" s="1469"/>
      <c r="C1483" s="430" t="s">
        <v>99</v>
      </c>
      <c r="D1483" s="1424"/>
      <c r="E1483" s="1472"/>
      <c r="F1483" s="435">
        <f>G339</f>
        <v>4.5600000000000005</v>
      </c>
      <c r="G1483" s="456">
        <f>TRUNC(E1482*F1483,2)</f>
        <v>2.04</v>
      </c>
      <c r="H1483" s="424"/>
    </row>
    <row r="1484" spans="1:9" ht="15" customHeight="1">
      <c r="C1484" s="173"/>
      <c r="D1484" s="437"/>
      <c r="E1484" s="513"/>
      <c r="F1484" s="514" t="s">
        <v>103</v>
      </c>
      <c r="G1484" s="466">
        <f>G1480+G1482</f>
        <v>7.67</v>
      </c>
      <c r="H1484" s="170"/>
    </row>
    <row r="1485" spans="1:9" ht="15" customHeight="1">
      <c r="C1485" s="173"/>
      <c r="D1485" s="437"/>
      <c r="E1485" s="515"/>
      <c r="F1485" s="438" t="s">
        <v>105</v>
      </c>
      <c r="G1485" s="456">
        <f>G1481+G1483</f>
        <v>2.35</v>
      </c>
      <c r="H1485" s="170"/>
    </row>
    <row r="1486" spans="1:9" ht="15" customHeight="1">
      <c r="C1486" s="173"/>
      <c r="D1486" s="437"/>
      <c r="E1486" s="515"/>
      <c r="F1486" s="438" t="s">
        <v>106</v>
      </c>
      <c r="G1486" s="457">
        <f>SUM(G1484:G1485)</f>
        <v>10.02</v>
      </c>
      <c r="H1486" s="170"/>
    </row>
    <row r="1487" spans="1:9">
      <c r="A1487" s="516"/>
      <c r="B1487" s="517"/>
      <c r="C1487" s="518"/>
      <c r="D1487" s="516"/>
      <c r="E1487" s="517"/>
      <c r="F1487" s="517"/>
      <c r="G1487" s="517"/>
      <c r="H1487" s="516"/>
    </row>
    <row r="1489" spans="1:8">
      <c r="A1489" s="170" t="s">
        <v>1258</v>
      </c>
      <c r="C1489" s="173"/>
      <c r="D1489" s="170"/>
      <c r="E1489" s="193"/>
      <c r="H1489" s="424"/>
    </row>
    <row r="1490" spans="1:8">
      <c r="A1490" s="170" t="s">
        <v>1717</v>
      </c>
      <c r="C1490" s="173"/>
      <c r="D1490" s="170"/>
      <c r="E1490" s="193"/>
      <c r="H1490" s="424"/>
    </row>
    <row r="1491" spans="1:8" ht="21" customHeight="1">
      <c r="A1491" s="505" t="s">
        <v>1536</v>
      </c>
      <c r="B1491" s="1429" t="s">
        <v>1718</v>
      </c>
      <c r="C1491" s="1429"/>
      <c r="D1491" s="1429"/>
      <c r="E1491" s="506" t="s">
        <v>418</v>
      </c>
      <c r="G1491" s="506"/>
      <c r="H1491" s="424"/>
    </row>
    <row r="1492" spans="1:8" ht="22.5">
      <c r="A1492" s="711" t="s">
        <v>30</v>
      </c>
      <c r="B1492" s="507" t="s">
        <v>19</v>
      </c>
      <c r="C1492" s="430" t="s">
        <v>92</v>
      </c>
      <c r="D1492" s="690" t="s">
        <v>88</v>
      </c>
      <c r="E1492" s="690" t="s">
        <v>93</v>
      </c>
      <c r="F1492" s="432" t="s">
        <v>94</v>
      </c>
      <c r="G1492" s="508" t="s">
        <v>95</v>
      </c>
      <c r="H1492" s="424"/>
    </row>
    <row r="1493" spans="1:8" ht="14.1" customHeight="1">
      <c r="A1493" s="1422">
        <v>88247</v>
      </c>
      <c r="B1493" s="1416" t="s">
        <v>1068</v>
      </c>
      <c r="C1493" s="430" t="s">
        <v>117</v>
      </c>
      <c r="D1493" s="1424" t="s">
        <v>410</v>
      </c>
      <c r="E1493" s="1471">
        <v>3.4000000000000002E-2</v>
      </c>
      <c r="F1493" s="435">
        <f>G287</f>
        <v>10.98</v>
      </c>
      <c r="G1493" s="511">
        <f>TRUNC(E1493*F1493,2)</f>
        <v>0.37</v>
      </c>
      <c r="H1493" s="424"/>
    </row>
    <row r="1494" spans="1:8" ht="14.1" customHeight="1">
      <c r="A1494" s="1423"/>
      <c r="B1494" s="1417"/>
      <c r="C1494" s="430" t="s">
        <v>99</v>
      </c>
      <c r="D1494" s="1424"/>
      <c r="E1494" s="1472"/>
      <c r="F1494" s="435">
        <f>G288</f>
        <v>4.5600000000000005</v>
      </c>
      <c r="G1494" s="456">
        <f>TRUNC(E1493*F1494,2)</f>
        <v>0.15</v>
      </c>
      <c r="H1494" s="424"/>
    </row>
    <row r="1495" spans="1:8" ht="14.1" customHeight="1">
      <c r="A1495" s="1422">
        <v>88264</v>
      </c>
      <c r="B1495" s="1468" t="s">
        <v>306</v>
      </c>
      <c r="C1495" s="430" t="s">
        <v>117</v>
      </c>
      <c r="D1495" s="1424" t="s">
        <v>410</v>
      </c>
      <c r="E1495" s="1471">
        <v>0.216</v>
      </c>
      <c r="F1495" s="435">
        <f>G253</f>
        <v>15.639999999999999</v>
      </c>
      <c r="G1495" s="456">
        <f>TRUNC(E1495*F1495,2)</f>
        <v>3.37</v>
      </c>
      <c r="H1495" s="424"/>
    </row>
    <row r="1496" spans="1:8" ht="14.1" customHeight="1">
      <c r="A1496" s="1423"/>
      <c r="B1496" s="1469"/>
      <c r="C1496" s="430" t="s">
        <v>99</v>
      </c>
      <c r="D1496" s="1424"/>
      <c r="E1496" s="1472"/>
      <c r="F1496" s="435">
        <f>G254</f>
        <v>4.5600000000000005</v>
      </c>
      <c r="G1496" s="456">
        <f>TRUNC(E1495*F1496,2)</f>
        <v>0.98</v>
      </c>
      <c r="H1496" s="424"/>
    </row>
    <row r="1497" spans="1:8" ht="14.1" customHeight="1">
      <c r="C1497" s="173"/>
      <c r="D1497" s="437"/>
      <c r="E1497" s="513"/>
      <c r="F1497" s="514" t="s">
        <v>103</v>
      </c>
      <c r="G1497" s="466">
        <f>G1493+G1495</f>
        <v>3.74</v>
      </c>
      <c r="H1497" s="170"/>
    </row>
    <row r="1498" spans="1:8" ht="14.1" customHeight="1">
      <c r="C1498" s="173"/>
      <c r="D1498" s="437"/>
      <c r="E1498" s="515"/>
      <c r="F1498" s="438" t="s">
        <v>105</v>
      </c>
      <c r="G1498" s="456">
        <f>G1494+G1496</f>
        <v>1.1299999999999999</v>
      </c>
      <c r="H1498" s="170"/>
    </row>
    <row r="1499" spans="1:8" ht="14.1" customHeight="1">
      <c r="C1499" s="173"/>
      <c r="D1499" s="437"/>
      <c r="E1499" s="515"/>
      <c r="F1499" s="438" t="s">
        <v>106</v>
      </c>
      <c r="G1499" s="457">
        <f>SUM(G1497:G1498)</f>
        <v>4.87</v>
      </c>
      <c r="H1499" s="170"/>
    </row>
    <row r="1500" spans="1:8">
      <c r="A1500" s="516"/>
      <c r="B1500" s="517"/>
      <c r="C1500" s="518"/>
      <c r="D1500" s="516"/>
      <c r="E1500" s="517"/>
      <c r="F1500" s="517"/>
      <c r="G1500" s="517"/>
      <c r="H1500" s="516"/>
    </row>
    <row r="1502" spans="1:8">
      <c r="A1502" s="170" t="s">
        <v>1258</v>
      </c>
      <c r="C1502" s="173"/>
      <c r="D1502" s="170"/>
      <c r="E1502" s="193"/>
      <c r="H1502" s="424"/>
    </row>
    <row r="1503" spans="1:8">
      <c r="A1503" s="170" t="s">
        <v>1719</v>
      </c>
      <c r="C1503" s="173"/>
      <c r="D1503" s="170"/>
      <c r="E1503" s="193"/>
      <c r="H1503" s="424"/>
    </row>
    <row r="1504" spans="1:8" ht="22.5">
      <c r="A1504" s="505" t="s">
        <v>1536</v>
      </c>
      <c r="B1504" s="505" t="s">
        <v>1614</v>
      </c>
      <c r="C1504" s="506" t="s">
        <v>1538</v>
      </c>
      <c r="D1504" s="505"/>
      <c r="G1504" s="506"/>
      <c r="H1504" s="424"/>
    </row>
    <row r="1505" spans="1:8" ht="22.5">
      <c r="A1505" s="711" t="s">
        <v>30</v>
      </c>
      <c r="B1505" s="507" t="s">
        <v>19</v>
      </c>
      <c r="C1505" s="430" t="s">
        <v>92</v>
      </c>
      <c r="D1505" s="690" t="s">
        <v>88</v>
      </c>
      <c r="E1505" s="690" t="s">
        <v>93</v>
      </c>
      <c r="F1505" s="432" t="s">
        <v>94</v>
      </c>
      <c r="G1505" s="508" t="s">
        <v>95</v>
      </c>
      <c r="H1505" s="424"/>
    </row>
    <row r="1506" spans="1:8" ht="14.1" customHeight="1">
      <c r="A1506" s="1422">
        <v>88248</v>
      </c>
      <c r="B1506" s="1416" t="s">
        <v>334</v>
      </c>
      <c r="C1506" s="430" t="s">
        <v>117</v>
      </c>
      <c r="D1506" s="1424" t="s">
        <v>410</v>
      </c>
      <c r="E1506" s="1471">
        <v>2.3E-2</v>
      </c>
      <c r="F1506" s="435">
        <f>G287</f>
        <v>10.98</v>
      </c>
      <c r="G1506" s="511">
        <f>TRUNC(E1506*F1506,2)</f>
        <v>0.25</v>
      </c>
      <c r="H1506" s="424"/>
    </row>
    <row r="1507" spans="1:8" ht="14.1" customHeight="1">
      <c r="A1507" s="1423"/>
      <c r="B1507" s="1417"/>
      <c r="C1507" s="430" t="s">
        <v>99</v>
      </c>
      <c r="D1507" s="1424"/>
      <c r="E1507" s="1472"/>
      <c r="F1507" s="435">
        <f>G288</f>
        <v>4.5600000000000005</v>
      </c>
      <c r="G1507" s="456">
        <f>TRUNC(E1506*F1507,2)</f>
        <v>0.1</v>
      </c>
      <c r="H1507" s="424"/>
    </row>
    <row r="1508" spans="1:8" ht="14.1" customHeight="1">
      <c r="A1508" s="1422">
        <v>88267</v>
      </c>
      <c r="B1508" s="1468" t="s">
        <v>298</v>
      </c>
      <c r="C1508" s="430" t="s">
        <v>117</v>
      </c>
      <c r="D1508" s="1424" t="s">
        <v>410</v>
      </c>
      <c r="E1508" s="1471">
        <v>0.14399999999999999</v>
      </c>
      <c r="F1508" s="435">
        <f>G253</f>
        <v>15.639999999999999</v>
      </c>
      <c r="G1508" s="456">
        <f>TRUNC(E1508*F1508,2)</f>
        <v>2.25</v>
      </c>
      <c r="H1508" s="424"/>
    </row>
    <row r="1509" spans="1:8" ht="14.1" customHeight="1">
      <c r="A1509" s="1423"/>
      <c r="B1509" s="1469"/>
      <c r="C1509" s="430" t="s">
        <v>99</v>
      </c>
      <c r="D1509" s="1424"/>
      <c r="E1509" s="1472"/>
      <c r="F1509" s="435">
        <f>G254</f>
        <v>4.5600000000000005</v>
      </c>
      <c r="G1509" s="456">
        <f>TRUNC(E1508*F1509,2)</f>
        <v>0.65</v>
      </c>
      <c r="H1509" s="424"/>
    </row>
    <row r="1510" spans="1:8" ht="14.1" customHeight="1">
      <c r="C1510" s="173"/>
      <c r="D1510" s="437"/>
      <c r="E1510" s="513"/>
      <c r="F1510" s="514" t="s">
        <v>103</v>
      </c>
      <c r="G1510" s="466">
        <f>G1506+G1508</f>
        <v>2.5</v>
      </c>
      <c r="H1510" s="170"/>
    </row>
    <row r="1511" spans="1:8" ht="14.1" customHeight="1">
      <c r="C1511" s="173"/>
      <c r="D1511" s="437"/>
      <c r="E1511" s="515"/>
      <c r="F1511" s="438" t="s">
        <v>105</v>
      </c>
      <c r="G1511" s="456">
        <f>G1507+G1509</f>
        <v>0.75</v>
      </c>
      <c r="H1511" s="170"/>
    </row>
    <row r="1512" spans="1:8" ht="14.1" customHeight="1">
      <c r="C1512" s="173"/>
      <c r="D1512" s="437"/>
      <c r="E1512" s="515"/>
      <c r="F1512" s="438" t="s">
        <v>106</v>
      </c>
      <c r="G1512" s="457">
        <f>SUM(G1510:G1511)</f>
        <v>3.25</v>
      </c>
      <c r="H1512" s="170"/>
    </row>
    <row r="1513" spans="1:8">
      <c r="A1513" s="516"/>
      <c r="B1513" s="517"/>
      <c r="C1513" s="518"/>
      <c r="D1513" s="516"/>
      <c r="E1513" s="517"/>
      <c r="F1513" s="517"/>
      <c r="G1513" s="517"/>
      <c r="H1513" s="516"/>
    </row>
    <row r="1515" spans="1:8">
      <c r="A1515" s="170" t="s">
        <v>1258</v>
      </c>
      <c r="C1515" s="173"/>
      <c r="D1515" s="170"/>
      <c r="E1515" s="193"/>
      <c r="H1515" s="424"/>
    </row>
    <row r="1516" spans="1:8">
      <c r="A1516" s="170" t="s">
        <v>1720</v>
      </c>
      <c r="C1516" s="173"/>
      <c r="D1516" s="170"/>
      <c r="E1516" s="193"/>
      <c r="H1516" s="424"/>
    </row>
    <row r="1517" spans="1:8" ht="22.5" customHeight="1">
      <c r="A1517" s="505" t="s">
        <v>1536</v>
      </c>
      <c r="B1517" s="1429" t="s">
        <v>1615</v>
      </c>
      <c r="C1517" s="1429"/>
      <c r="D1517" s="1429"/>
      <c r="E1517" s="714" t="s">
        <v>418</v>
      </c>
      <c r="G1517" s="506"/>
      <c r="H1517" s="424"/>
    </row>
    <row r="1518" spans="1:8" ht="22.5">
      <c r="A1518" s="711" t="s">
        <v>30</v>
      </c>
      <c r="B1518" s="507" t="s">
        <v>19</v>
      </c>
      <c r="C1518" s="430" t="s">
        <v>92</v>
      </c>
      <c r="D1518" s="690" t="s">
        <v>88</v>
      </c>
      <c r="E1518" s="690" t="s">
        <v>93</v>
      </c>
      <c r="F1518" s="432" t="s">
        <v>94</v>
      </c>
      <c r="G1518" s="508" t="s">
        <v>95</v>
      </c>
      <c r="H1518" s="424"/>
    </row>
    <row r="1519" spans="1:8" ht="15" customHeight="1">
      <c r="A1519" s="1422">
        <v>88248</v>
      </c>
      <c r="B1519" s="1416" t="s">
        <v>334</v>
      </c>
      <c r="C1519" s="430" t="s">
        <v>117</v>
      </c>
      <c r="D1519" s="1424" t="s">
        <v>410</v>
      </c>
      <c r="E1519" s="1471">
        <v>5.5E-2</v>
      </c>
      <c r="F1519" s="435">
        <f>G321</f>
        <v>10.9</v>
      </c>
      <c r="G1519" s="511">
        <f>TRUNC(E1519*F1519,2)</f>
        <v>0.59</v>
      </c>
      <c r="H1519" s="424"/>
    </row>
    <row r="1520" spans="1:8" ht="15" customHeight="1">
      <c r="A1520" s="1423"/>
      <c r="B1520" s="1417"/>
      <c r="C1520" s="430" t="s">
        <v>99</v>
      </c>
      <c r="D1520" s="1424"/>
      <c r="E1520" s="1472"/>
      <c r="F1520" s="435">
        <f>G322</f>
        <v>4.5600000000000005</v>
      </c>
      <c r="G1520" s="456">
        <f>TRUNC(E1519*F1520,2)</f>
        <v>0.25</v>
      </c>
      <c r="H1520" s="424"/>
    </row>
    <row r="1521" spans="1:8" ht="15" customHeight="1">
      <c r="A1521" s="1422">
        <v>88267</v>
      </c>
      <c r="B1521" s="1468" t="s">
        <v>298</v>
      </c>
      <c r="C1521" s="430" t="s">
        <v>117</v>
      </c>
      <c r="D1521" s="1424" t="s">
        <v>410</v>
      </c>
      <c r="E1521" s="1471">
        <v>0.39100000000000001</v>
      </c>
      <c r="F1521" s="435">
        <f>G338</f>
        <v>15.41</v>
      </c>
      <c r="G1521" s="456">
        <f>TRUNC(E1521*F1521,2)</f>
        <v>6.02</v>
      </c>
      <c r="H1521" s="424"/>
    </row>
    <row r="1522" spans="1:8" ht="15" customHeight="1">
      <c r="A1522" s="1423"/>
      <c r="B1522" s="1469"/>
      <c r="C1522" s="430" t="s">
        <v>99</v>
      </c>
      <c r="D1522" s="1424"/>
      <c r="E1522" s="1472"/>
      <c r="F1522" s="435">
        <f>G339</f>
        <v>4.5600000000000005</v>
      </c>
      <c r="G1522" s="456">
        <f>TRUNC(E1521*F1522,2)</f>
        <v>1.78</v>
      </c>
      <c r="H1522" s="424"/>
    </row>
    <row r="1523" spans="1:8" ht="15" customHeight="1">
      <c r="A1523" s="1422">
        <v>88629</v>
      </c>
      <c r="B1523" s="1468" t="s">
        <v>1721</v>
      </c>
      <c r="C1523" s="430" t="s">
        <v>117</v>
      </c>
      <c r="D1523" s="1427" t="s">
        <v>1398</v>
      </c>
      <c r="E1523" s="1471">
        <v>3.0000000000000001E-3</v>
      </c>
      <c r="F1523" s="435">
        <f>G1538</f>
        <v>94.12</v>
      </c>
      <c r="G1523" s="456">
        <f>TRUNC(E1523*F1523,2)</f>
        <v>0.28000000000000003</v>
      </c>
      <c r="H1523" s="424"/>
    </row>
    <row r="1524" spans="1:8" ht="15" customHeight="1">
      <c r="A1524" s="1423"/>
      <c r="B1524" s="1469"/>
      <c r="C1524" s="430" t="s">
        <v>99</v>
      </c>
      <c r="D1524" s="1428"/>
      <c r="E1524" s="1472"/>
      <c r="F1524" s="435">
        <f>G1539</f>
        <v>319.67</v>
      </c>
      <c r="G1524" s="456">
        <f t="shared" ref="G1524" si="72">TRUNC(E1523*F1524,2)</f>
        <v>0.95</v>
      </c>
      <c r="H1524" s="424"/>
    </row>
    <row r="1525" spans="1:8" ht="15" customHeight="1">
      <c r="C1525" s="173"/>
      <c r="D1525" s="437"/>
      <c r="E1525" s="513"/>
      <c r="F1525" s="514" t="s">
        <v>103</v>
      </c>
      <c r="G1525" s="466">
        <f>G1519+G1521+G1523</f>
        <v>6.89</v>
      </c>
      <c r="H1525" s="170"/>
    </row>
    <row r="1526" spans="1:8" ht="15" customHeight="1">
      <c r="C1526" s="173"/>
      <c r="D1526" s="437"/>
      <c r="E1526" s="515"/>
      <c r="F1526" s="438" t="s">
        <v>105</v>
      </c>
      <c r="G1526" s="456">
        <f>G1520+G1522+G1524</f>
        <v>2.9800000000000004</v>
      </c>
      <c r="H1526" s="170"/>
    </row>
    <row r="1527" spans="1:8" ht="15" customHeight="1">
      <c r="C1527" s="173"/>
      <c r="D1527" s="437"/>
      <c r="E1527" s="515"/>
      <c r="F1527" s="438" t="s">
        <v>106</v>
      </c>
      <c r="G1527" s="457">
        <f>SUM(G1525:G1526)</f>
        <v>9.870000000000001</v>
      </c>
      <c r="H1527" s="170"/>
    </row>
    <row r="1528" spans="1:8">
      <c r="A1528" s="516"/>
      <c r="B1528" s="517"/>
      <c r="C1528" s="518"/>
      <c r="D1528" s="516"/>
      <c r="E1528" s="517"/>
      <c r="F1528" s="517"/>
      <c r="G1528" s="517"/>
      <c r="H1528" s="516"/>
    </row>
    <row r="1530" spans="1:8">
      <c r="A1530" s="170" t="s">
        <v>1258</v>
      </c>
      <c r="C1530" s="173"/>
      <c r="D1530" s="170"/>
      <c r="E1530" s="193"/>
      <c r="H1530" s="424"/>
    </row>
    <row r="1531" spans="1:8">
      <c r="A1531" s="220" t="s">
        <v>1722</v>
      </c>
      <c r="C1531" s="173"/>
      <c r="D1531" s="170"/>
      <c r="E1531" s="193"/>
      <c r="H1531" s="424"/>
    </row>
    <row r="1532" spans="1:8" ht="15.75" customHeight="1">
      <c r="A1532" s="505" t="s">
        <v>1536</v>
      </c>
      <c r="B1532" s="1429" t="s">
        <v>1723</v>
      </c>
      <c r="C1532" s="1429"/>
      <c r="D1532" s="1429"/>
      <c r="E1532" s="506" t="s">
        <v>1398</v>
      </c>
      <c r="G1532" s="506"/>
      <c r="H1532" s="424"/>
    </row>
    <row r="1533" spans="1:8" ht="22.5">
      <c r="A1533" s="711" t="s">
        <v>30</v>
      </c>
      <c r="B1533" s="507" t="s">
        <v>19</v>
      </c>
      <c r="C1533" s="430" t="s">
        <v>92</v>
      </c>
      <c r="D1533" s="690" t="s">
        <v>88</v>
      </c>
      <c r="E1533" s="690" t="s">
        <v>93</v>
      </c>
      <c r="F1533" s="432" t="s">
        <v>94</v>
      </c>
      <c r="G1533" s="508" t="s">
        <v>95</v>
      </c>
      <c r="H1533" s="424"/>
    </row>
    <row r="1534" spans="1:8" ht="15" customHeight="1">
      <c r="A1534" s="1422">
        <v>88262</v>
      </c>
      <c r="B1534" s="1416" t="s">
        <v>1724</v>
      </c>
      <c r="C1534" s="430" t="s">
        <v>117</v>
      </c>
      <c r="D1534" s="1424" t="s">
        <v>118</v>
      </c>
      <c r="E1534" s="1471">
        <v>8.48</v>
      </c>
      <c r="F1534" s="435">
        <f>G104</f>
        <v>11.1</v>
      </c>
      <c r="G1534" s="511">
        <f>TRUNC(E1534*F1534,2)</f>
        <v>94.12</v>
      </c>
      <c r="H1534" s="424"/>
    </row>
    <row r="1535" spans="1:8" ht="15" customHeight="1">
      <c r="A1535" s="1423"/>
      <c r="B1535" s="1417"/>
      <c r="C1535" s="430" t="s">
        <v>99</v>
      </c>
      <c r="D1535" s="1424"/>
      <c r="E1535" s="1472"/>
      <c r="F1535" s="435">
        <f>G105</f>
        <v>4.5600000000000005</v>
      </c>
      <c r="G1535" s="511">
        <f>TRUNC(E1534*F1535,2)</f>
        <v>38.659999999999997</v>
      </c>
      <c r="H1535" s="424"/>
    </row>
    <row r="1536" spans="1:8" ht="25.5" customHeight="1">
      <c r="A1536" s="711" t="s">
        <v>1399</v>
      </c>
      <c r="B1536" s="726" t="s">
        <v>1400</v>
      </c>
      <c r="C1536" s="430" t="s">
        <v>99</v>
      </c>
      <c r="D1536" s="690" t="s">
        <v>1398</v>
      </c>
      <c r="E1536" s="690">
        <v>1.1499999999999999</v>
      </c>
      <c r="F1536" s="690">
        <v>56.25</v>
      </c>
      <c r="G1536" s="511">
        <f t="shared" ref="G1536" si="73">TRUNC(E1536*F1536,2)</f>
        <v>64.680000000000007</v>
      </c>
      <c r="H1536" s="424"/>
    </row>
    <row r="1537" spans="1:8" ht="15" customHeight="1">
      <c r="A1537" s="711" t="s">
        <v>1072</v>
      </c>
      <c r="B1537" s="727" t="s">
        <v>1073</v>
      </c>
      <c r="C1537" s="430" t="s">
        <v>99</v>
      </c>
      <c r="D1537" s="690" t="s">
        <v>1401</v>
      </c>
      <c r="E1537" s="690">
        <v>441.51</v>
      </c>
      <c r="F1537" s="690">
        <v>0.49</v>
      </c>
      <c r="G1537" s="433">
        <f>TRUNC(E1537*F1537,2)</f>
        <v>216.33</v>
      </c>
      <c r="H1537" s="424"/>
    </row>
    <row r="1538" spans="1:8" ht="15" customHeight="1">
      <c r="C1538" s="173"/>
      <c r="D1538" s="170"/>
      <c r="E1538" s="513"/>
      <c r="F1538" s="514" t="s">
        <v>103</v>
      </c>
      <c r="G1538" s="466">
        <f>G1534</f>
        <v>94.12</v>
      </c>
      <c r="H1538" s="170"/>
    </row>
    <row r="1539" spans="1:8" ht="15" customHeight="1">
      <c r="C1539" s="173"/>
      <c r="D1539" s="170"/>
      <c r="E1539" s="515"/>
      <c r="F1539" s="438" t="s">
        <v>105</v>
      </c>
      <c r="G1539" s="456">
        <f>G1535+G1536+G1537</f>
        <v>319.67</v>
      </c>
      <c r="H1539" s="170"/>
    </row>
    <row r="1540" spans="1:8" ht="15" customHeight="1">
      <c r="C1540" s="173"/>
      <c r="D1540" s="170"/>
      <c r="E1540" s="515"/>
      <c r="F1540" s="438" t="s">
        <v>106</v>
      </c>
      <c r="G1540" s="457">
        <f>SUM(G1538:G1539)</f>
        <v>413.79</v>
      </c>
      <c r="H1540" s="170"/>
    </row>
    <row r="1541" spans="1:8">
      <c r="A1541" s="516"/>
      <c r="B1541" s="517"/>
      <c r="C1541" s="518"/>
      <c r="D1541" s="516"/>
      <c r="E1541" s="517"/>
      <c r="F1541" s="517"/>
      <c r="G1541" s="517"/>
      <c r="H1541" s="516"/>
    </row>
    <row r="1543" spans="1:8">
      <c r="A1543" s="170" t="s">
        <v>1258</v>
      </c>
      <c r="C1543" s="173"/>
      <c r="D1543" s="170"/>
      <c r="E1543" s="193"/>
      <c r="H1543" s="424"/>
    </row>
    <row r="1544" spans="1:8">
      <c r="A1544" s="220" t="s">
        <v>2590</v>
      </c>
      <c r="C1544" s="173"/>
      <c r="D1544" s="170"/>
      <c r="E1544" s="193"/>
      <c r="H1544" s="424"/>
    </row>
    <row r="1545" spans="1:8" ht="35.25" customHeight="1">
      <c r="A1545" s="505" t="s">
        <v>1536</v>
      </c>
      <c r="B1545" s="1429" t="s">
        <v>2589</v>
      </c>
      <c r="C1545" s="1429"/>
      <c r="D1545" s="1429"/>
      <c r="E1545" s="714" t="s">
        <v>1398</v>
      </c>
      <c r="G1545" s="506"/>
      <c r="H1545" s="424"/>
    </row>
    <row r="1546" spans="1:8" ht="22.5">
      <c r="A1546" s="1003" t="s">
        <v>30</v>
      </c>
      <c r="B1546" s="507" t="s">
        <v>19</v>
      </c>
      <c r="C1546" s="430" t="s">
        <v>92</v>
      </c>
      <c r="D1546" s="1005" t="s">
        <v>88</v>
      </c>
      <c r="E1546" s="1005" t="s">
        <v>93</v>
      </c>
      <c r="F1546" s="432" t="s">
        <v>94</v>
      </c>
      <c r="G1546" s="508" t="s">
        <v>95</v>
      </c>
      <c r="H1546" s="424"/>
    </row>
    <row r="1547" spans="1:8">
      <c r="A1547" s="1422">
        <v>88377</v>
      </c>
      <c r="B1547" s="1416" t="s">
        <v>2593</v>
      </c>
      <c r="C1547" s="430" t="s">
        <v>117</v>
      </c>
      <c r="D1547" s="1424" t="s">
        <v>118</v>
      </c>
      <c r="E1547" s="1471">
        <v>4.75</v>
      </c>
      <c r="F1547" s="435">
        <f>G861</f>
        <v>10.58</v>
      </c>
      <c r="G1547" s="511">
        <f>TRUNC(E1547*F1547,2)</f>
        <v>50.25</v>
      </c>
      <c r="H1547" s="424"/>
    </row>
    <row r="1548" spans="1:8">
      <c r="A1548" s="1423"/>
      <c r="B1548" s="1417"/>
      <c r="C1548" s="430" t="s">
        <v>99</v>
      </c>
      <c r="D1548" s="1424"/>
      <c r="E1548" s="1472"/>
      <c r="F1548" s="435">
        <f>G862</f>
        <v>4.12</v>
      </c>
      <c r="G1548" s="511">
        <f>TRUNC(E1547*F1548,2)</f>
        <v>19.57</v>
      </c>
      <c r="H1548" s="424"/>
    </row>
    <row r="1549" spans="1:8" ht="22.5">
      <c r="A1549" s="1003" t="s">
        <v>1399</v>
      </c>
      <c r="B1549" s="726" t="s">
        <v>1400</v>
      </c>
      <c r="C1549" s="430" t="s">
        <v>99</v>
      </c>
      <c r="D1549" s="1005" t="s">
        <v>1398</v>
      </c>
      <c r="E1549" s="1006">
        <v>1.29</v>
      </c>
      <c r="F1549" s="1005">
        <v>56.25</v>
      </c>
      <c r="G1549" s="511">
        <f t="shared" ref="G1549:G1550" si="74">TRUNC(E1549*F1549,2)</f>
        <v>72.56</v>
      </c>
      <c r="H1549" s="424"/>
    </row>
    <row r="1550" spans="1:8">
      <c r="A1550" s="1003" t="s">
        <v>2591</v>
      </c>
      <c r="B1550" s="726" t="s">
        <v>2592</v>
      </c>
      <c r="C1550" s="430" t="s">
        <v>99</v>
      </c>
      <c r="D1550" s="1005" t="s">
        <v>1401</v>
      </c>
      <c r="E1550" s="435">
        <v>193.7</v>
      </c>
      <c r="F1550" s="1005">
        <v>0.56000000000000005</v>
      </c>
      <c r="G1550" s="511">
        <f t="shared" si="74"/>
        <v>108.47</v>
      </c>
      <c r="H1550" s="424"/>
    </row>
    <row r="1551" spans="1:8">
      <c r="A1551" s="1003" t="s">
        <v>1072</v>
      </c>
      <c r="B1551" s="727" t="s">
        <v>1073</v>
      </c>
      <c r="C1551" s="430" t="s">
        <v>99</v>
      </c>
      <c r="D1551" s="1005" t="s">
        <v>1401</v>
      </c>
      <c r="E1551" s="1005">
        <v>185.63</v>
      </c>
      <c r="F1551" s="1005">
        <v>0.49</v>
      </c>
      <c r="G1551" s="433">
        <f>TRUNC(E1551*F1551,2)</f>
        <v>90.95</v>
      </c>
      <c r="H1551" s="424"/>
    </row>
    <row r="1552" spans="1:8" ht="45">
      <c r="A1552" s="494" t="s">
        <v>1693</v>
      </c>
      <c r="B1552" s="1004" t="s">
        <v>1585</v>
      </c>
      <c r="C1552" s="1005" t="s">
        <v>1342</v>
      </c>
      <c r="D1552" s="430" t="s">
        <v>410</v>
      </c>
      <c r="E1552" s="495">
        <v>1.1100000000000001</v>
      </c>
      <c r="F1552" s="435">
        <f>G1121</f>
        <v>1.04</v>
      </c>
      <c r="G1552" s="456">
        <f t="shared" ref="G1552:G1553" si="75">TRUNC(E1552*F1552,2)</f>
        <v>1.1499999999999999</v>
      </c>
      <c r="H1552" s="424"/>
    </row>
    <row r="1553" spans="1:8" ht="45">
      <c r="A1553" s="494" t="s">
        <v>2594</v>
      </c>
      <c r="B1553" s="1004" t="s">
        <v>1586</v>
      </c>
      <c r="C1553" s="1005" t="s">
        <v>1342</v>
      </c>
      <c r="D1553" s="430" t="s">
        <v>410</v>
      </c>
      <c r="E1553" s="495">
        <v>3.64</v>
      </c>
      <c r="F1553" s="435">
        <f>G1172</f>
        <v>0.04</v>
      </c>
      <c r="G1553" s="456">
        <f t="shared" si="75"/>
        <v>0.14000000000000001</v>
      </c>
      <c r="H1553" s="424"/>
    </row>
    <row r="1554" spans="1:8">
      <c r="C1554" s="173"/>
      <c r="D1554" s="170"/>
      <c r="E1554" s="513"/>
      <c r="F1554" s="514" t="s">
        <v>103</v>
      </c>
      <c r="G1554" s="466">
        <f>G1547</f>
        <v>50.25</v>
      </c>
      <c r="H1554" s="170"/>
    </row>
    <row r="1555" spans="1:8">
      <c r="C1555" s="173"/>
      <c r="D1555" s="170"/>
      <c r="E1555" s="515"/>
      <c r="F1555" s="438" t="s">
        <v>105</v>
      </c>
      <c r="G1555" s="456">
        <f>G1548+G1549+G1550+G1551+G1552+G1553</f>
        <v>292.83999999999997</v>
      </c>
      <c r="H1555" s="170"/>
    </row>
    <row r="1556" spans="1:8">
      <c r="C1556" s="173"/>
      <c r="D1556" s="170"/>
      <c r="E1556" s="515"/>
      <c r="F1556" s="438" t="s">
        <v>106</v>
      </c>
      <c r="G1556" s="457">
        <f>SUM(G1554:G1555)</f>
        <v>343.09</v>
      </c>
      <c r="H1556" s="170"/>
    </row>
    <row r="1557" spans="1:8">
      <c r="A1557" s="516"/>
      <c r="B1557" s="517"/>
      <c r="C1557" s="518"/>
      <c r="D1557" s="516"/>
      <c r="E1557" s="517"/>
      <c r="F1557" s="517"/>
      <c r="G1557" s="517"/>
      <c r="H1557" s="516"/>
    </row>
    <row r="1559" spans="1:8">
      <c r="A1559" s="170" t="s">
        <v>1258</v>
      </c>
      <c r="C1559" s="173"/>
      <c r="D1559" s="170"/>
      <c r="E1559" s="193"/>
      <c r="H1559" s="424"/>
    </row>
    <row r="1560" spans="1:8">
      <c r="A1560" s="220" t="s">
        <v>2598</v>
      </c>
      <c r="C1560" s="173"/>
      <c r="D1560" s="170"/>
      <c r="E1560" s="193"/>
      <c r="H1560" s="424"/>
    </row>
    <row r="1561" spans="1:8" ht="22.5" customHeight="1">
      <c r="A1561" s="505" t="s">
        <v>1536</v>
      </c>
      <c r="B1561" s="1429" t="s">
        <v>2597</v>
      </c>
      <c r="C1561" s="1429"/>
      <c r="D1561" s="714" t="s">
        <v>1398</v>
      </c>
      <c r="G1561" s="506"/>
      <c r="H1561" s="424"/>
    </row>
    <row r="1562" spans="1:8" ht="22.5">
      <c r="A1562" s="1003" t="s">
        <v>30</v>
      </c>
      <c r="B1562" s="507" t="s">
        <v>19</v>
      </c>
      <c r="C1562" s="430" t="s">
        <v>92</v>
      </c>
      <c r="D1562" s="1005" t="s">
        <v>88</v>
      </c>
      <c r="E1562" s="1005" t="s">
        <v>93</v>
      </c>
      <c r="F1562" s="432" t="s">
        <v>94</v>
      </c>
      <c r="G1562" s="508" t="s">
        <v>95</v>
      </c>
      <c r="H1562" s="424"/>
    </row>
    <row r="1563" spans="1:8" ht="22.5">
      <c r="A1563" s="1003" t="s">
        <v>1399</v>
      </c>
      <c r="B1563" s="726" t="s">
        <v>1400</v>
      </c>
      <c r="C1563" s="430" t="s">
        <v>99</v>
      </c>
      <c r="D1563" s="1005" t="s">
        <v>1398</v>
      </c>
      <c r="E1563" s="1006">
        <v>1.05</v>
      </c>
      <c r="F1563" s="1005">
        <v>56.25</v>
      </c>
      <c r="G1563" s="511">
        <f t="shared" ref="G1563" si="76">TRUNC(E1563*F1563,2)</f>
        <v>59.06</v>
      </c>
      <c r="H1563" s="424"/>
    </row>
    <row r="1564" spans="1:8" ht="14.1" customHeight="1">
      <c r="A1564" s="1003" t="s">
        <v>1072</v>
      </c>
      <c r="B1564" s="727" t="s">
        <v>1073</v>
      </c>
      <c r="C1564" s="430" t="s">
        <v>99</v>
      </c>
      <c r="D1564" s="1005" t="s">
        <v>1401</v>
      </c>
      <c r="E1564" s="1005">
        <v>401.09</v>
      </c>
      <c r="F1564" s="1005">
        <v>0.49</v>
      </c>
      <c r="G1564" s="433">
        <f>TRUNC(E1564*F1564,2)</f>
        <v>196.53</v>
      </c>
      <c r="H1564" s="424"/>
    </row>
    <row r="1565" spans="1:8" ht="14.1" customHeight="1">
      <c r="A1565" s="1436">
        <v>88316</v>
      </c>
      <c r="B1565" s="1416" t="s">
        <v>123</v>
      </c>
      <c r="C1565" s="430" t="s">
        <v>117</v>
      </c>
      <c r="D1565" s="1574" t="s">
        <v>410</v>
      </c>
      <c r="E1565" s="1427">
        <v>10.89</v>
      </c>
      <c r="F1565" s="435">
        <f>G104</f>
        <v>11.1</v>
      </c>
      <c r="G1565" s="433">
        <f>TRUNC(E1565*F1565,2)</f>
        <v>120.87</v>
      </c>
      <c r="H1565" s="424"/>
    </row>
    <row r="1566" spans="1:8" ht="14.1" customHeight="1">
      <c r="A1566" s="1437"/>
      <c r="B1566" s="1417"/>
      <c r="C1566" s="1005" t="s">
        <v>99</v>
      </c>
      <c r="D1566" s="1575"/>
      <c r="E1566" s="1428"/>
      <c r="F1566" s="435">
        <f>G105</f>
        <v>4.5600000000000005</v>
      </c>
      <c r="G1566" s="456">
        <f>TRUNC(E1565*F1566,2)</f>
        <v>49.65</v>
      </c>
      <c r="H1566" s="424"/>
    </row>
    <row r="1567" spans="1:8">
      <c r="C1567" s="173"/>
      <c r="D1567" s="170"/>
      <c r="E1567" s="513"/>
      <c r="F1567" s="514" t="s">
        <v>103</v>
      </c>
      <c r="G1567" s="466">
        <f>G1565</f>
        <v>120.87</v>
      </c>
      <c r="H1567" s="170"/>
    </row>
    <row r="1568" spans="1:8">
      <c r="C1568" s="173"/>
      <c r="D1568" s="170"/>
      <c r="E1568" s="515"/>
      <c r="F1568" s="438" t="s">
        <v>105</v>
      </c>
      <c r="G1568" s="456">
        <f>G1563+G1564+G1566</f>
        <v>305.24</v>
      </c>
      <c r="H1568" s="170"/>
    </row>
    <row r="1569" spans="1:8">
      <c r="C1569" s="173"/>
      <c r="D1569" s="170"/>
      <c r="E1569" s="515"/>
      <c r="F1569" s="438" t="s">
        <v>106</v>
      </c>
      <c r="G1569" s="457">
        <f>SUM(G1567:G1568)</f>
        <v>426.11</v>
      </c>
      <c r="H1569" s="170"/>
    </row>
    <row r="1570" spans="1:8">
      <c r="A1570" s="516"/>
      <c r="B1570" s="517"/>
      <c r="C1570" s="518"/>
      <c r="D1570" s="516"/>
      <c r="E1570" s="517"/>
      <c r="F1570" s="517"/>
      <c r="G1570" s="517"/>
      <c r="H1570" s="516"/>
    </row>
    <row r="1572" spans="1:8" ht="15" customHeight="1">
      <c r="A1572" s="170" t="s">
        <v>1258</v>
      </c>
      <c r="C1572" s="173"/>
      <c r="D1572" s="170"/>
      <c r="E1572" s="193"/>
      <c r="H1572" s="424"/>
    </row>
    <row r="1573" spans="1:8" ht="12.75" customHeight="1">
      <c r="A1573" s="220" t="s">
        <v>1725</v>
      </c>
      <c r="C1573" s="173"/>
      <c r="D1573" s="170"/>
      <c r="E1573" s="193"/>
      <c r="H1573" s="424"/>
    </row>
    <row r="1574" spans="1:8" ht="27" customHeight="1">
      <c r="A1574" s="505" t="s">
        <v>1536</v>
      </c>
      <c r="B1574" s="1429" t="s">
        <v>1616</v>
      </c>
      <c r="C1574" s="1429"/>
      <c r="D1574" s="1429"/>
      <c r="E1574" s="559" t="s">
        <v>418</v>
      </c>
      <c r="G1574" s="506"/>
      <c r="H1574" s="424"/>
    </row>
    <row r="1575" spans="1:8" ht="22.5">
      <c r="A1575" s="711" t="s">
        <v>30</v>
      </c>
      <c r="B1575" s="507" t="s">
        <v>19</v>
      </c>
      <c r="C1575" s="430" t="s">
        <v>92</v>
      </c>
      <c r="D1575" s="690" t="s">
        <v>88</v>
      </c>
      <c r="E1575" s="690" t="s">
        <v>93</v>
      </c>
      <c r="F1575" s="432" t="s">
        <v>94</v>
      </c>
      <c r="G1575" s="508" t="s">
        <v>95</v>
      </c>
      <c r="H1575" s="424"/>
    </row>
    <row r="1576" spans="1:8" ht="22.5">
      <c r="A1576" s="688" t="s">
        <v>1726</v>
      </c>
      <c r="B1576" s="686" t="s">
        <v>1727</v>
      </c>
      <c r="C1576" s="430" t="s">
        <v>99</v>
      </c>
      <c r="D1576" s="690" t="s">
        <v>418</v>
      </c>
      <c r="E1576" s="691">
        <v>1.1000000000000001</v>
      </c>
      <c r="F1576" s="501">
        <v>1</v>
      </c>
      <c r="G1576" s="511">
        <f t="shared" ref="G1576:G1577" si="77">TRUNC(E1576*F1576,2)</f>
        <v>1.1000000000000001</v>
      </c>
      <c r="H1576" s="424"/>
    </row>
    <row r="1577" spans="1:8" ht="15" customHeight="1">
      <c r="A1577" s="688" t="s">
        <v>1728</v>
      </c>
      <c r="B1577" s="728" t="s">
        <v>1729</v>
      </c>
      <c r="C1577" s="430" t="s">
        <v>99</v>
      </c>
      <c r="D1577" s="690" t="s">
        <v>1401</v>
      </c>
      <c r="E1577" s="687">
        <v>1.6000000000000001E-3</v>
      </c>
      <c r="F1577" s="432">
        <v>8.92</v>
      </c>
      <c r="G1577" s="511">
        <f t="shared" si="77"/>
        <v>0.01</v>
      </c>
      <c r="H1577" s="424"/>
    </row>
    <row r="1578" spans="1:8" ht="15" customHeight="1">
      <c r="A1578" s="1422">
        <v>88247</v>
      </c>
      <c r="B1578" s="1416" t="s">
        <v>1068</v>
      </c>
      <c r="C1578" s="430" t="s">
        <v>117</v>
      </c>
      <c r="D1578" s="1424" t="s">
        <v>410</v>
      </c>
      <c r="E1578" s="1471">
        <v>7.1999999999999995E-2</v>
      </c>
      <c r="F1578" s="435">
        <f>G287</f>
        <v>10.98</v>
      </c>
      <c r="G1578" s="511">
        <f>TRUNC(E1578*F1578,2)</f>
        <v>0.79</v>
      </c>
      <c r="H1578" s="424"/>
    </row>
    <row r="1579" spans="1:8" ht="15" customHeight="1">
      <c r="A1579" s="1423"/>
      <c r="B1579" s="1417"/>
      <c r="C1579" s="430" t="s">
        <v>99</v>
      </c>
      <c r="D1579" s="1424"/>
      <c r="E1579" s="1472"/>
      <c r="F1579" s="435">
        <f>G288</f>
        <v>4.5600000000000005</v>
      </c>
      <c r="G1579" s="456">
        <f>TRUNC(E1578*F1579,2)</f>
        <v>0.32</v>
      </c>
      <c r="H1579" s="424"/>
    </row>
    <row r="1580" spans="1:8" ht="15" customHeight="1">
      <c r="A1580" s="1422">
        <v>88264</v>
      </c>
      <c r="B1580" s="1468" t="s">
        <v>306</v>
      </c>
      <c r="C1580" s="430" t="s">
        <v>117</v>
      </c>
      <c r="D1580" s="1424" t="s">
        <v>410</v>
      </c>
      <c r="E1580" s="1471">
        <v>7.1999999999999995E-2</v>
      </c>
      <c r="F1580" s="435">
        <f>G253</f>
        <v>15.639999999999999</v>
      </c>
      <c r="G1580" s="456">
        <f>TRUNC(E1580*F1580,2)</f>
        <v>1.1200000000000001</v>
      </c>
      <c r="H1580" s="424"/>
    </row>
    <row r="1581" spans="1:8" ht="15" customHeight="1">
      <c r="A1581" s="1423"/>
      <c r="B1581" s="1469"/>
      <c r="C1581" s="430" t="s">
        <v>99</v>
      </c>
      <c r="D1581" s="1424"/>
      <c r="E1581" s="1472"/>
      <c r="F1581" s="435">
        <f>G254</f>
        <v>4.5600000000000005</v>
      </c>
      <c r="G1581" s="456">
        <f>TRUNC(E1580*F1581,2)</f>
        <v>0.32</v>
      </c>
      <c r="H1581" s="424"/>
    </row>
    <row r="1582" spans="1:8" ht="15" customHeight="1">
      <c r="C1582" s="173"/>
      <c r="D1582" s="170"/>
      <c r="E1582" s="513"/>
      <c r="F1582" s="514" t="s">
        <v>103</v>
      </c>
      <c r="G1582" s="466">
        <f>G1578+G1580</f>
        <v>1.9100000000000001</v>
      </c>
      <c r="H1582" s="170"/>
    </row>
    <row r="1583" spans="1:8" ht="15" customHeight="1">
      <c r="C1583" s="173"/>
      <c r="D1583" s="170"/>
      <c r="E1583" s="515"/>
      <c r="F1583" s="438" t="s">
        <v>105</v>
      </c>
      <c r="G1583" s="456">
        <f>G1576+G1577+G1579+G1581</f>
        <v>1.7500000000000002</v>
      </c>
      <c r="H1583" s="170"/>
    </row>
    <row r="1584" spans="1:8" ht="15" customHeight="1">
      <c r="C1584" s="173"/>
      <c r="D1584" s="170"/>
      <c r="E1584" s="515"/>
      <c r="F1584" s="438" t="s">
        <v>106</v>
      </c>
      <c r="G1584" s="457">
        <f>SUM(G1582:G1583)</f>
        <v>3.66</v>
      </c>
      <c r="H1584" s="170"/>
    </row>
    <row r="1585" spans="1:8">
      <c r="A1585" s="516"/>
      <c r="B1585" s="517"/>
      <c r="C1585" s="518"/>
      <c r="D1585" s="516"/>
      <c r="E1585" s="517"/>
      <c r="F1585" s="517"/>
      <c r="G1585" s="517"/>
      <c r="H1585" s="516"/>
    </row>
    <row r="1587" spans="1:8">
      <c r="A1587" s="170" t="s">
        <v>1258</v>
      </c>
      <c r="C1587" s="173"/>
      <c r="D1587" s="170"/>
      <c r="E1587" s="193"/>
      <c r="H1587" s="424"/>
    </row>
    <row r="1588" spans="1:8">
      <c r="A1588" s="220" t="s">
        <v>1730</v>
      </c>
      <c r="C1588" s="173"/>
      <c r="D1588" s="170"/>
      <c r="E1588" s="193"/>
      <c r="H1588" s="424"/>
    </row>
    <row r="1589" spans="1:8" ht="24.75" customHeight="1">
      <c r="A1589" s="505" t="s">
        <v>1536</v>
      </c>
      <c r="B1589" s="1429" t="s">
        <v>1617</v>
      </c>
      <c r="C1589" s="1429"/>
      <c r="D1589" s="1429"/>
      <c r="E1589" s="559" t="s">
        <v>418</v>
      </c>
      <c r="G1589" s="506"/>
      <c r="H1589" s="424"/>
    </row>
    <row r="1590" spans="1:8" ht="22.5">
      <c r="A1590" s="711" t="s">
        <v>30</v>
      </c>
      <c r="B1590" s="507" t="s">
        <v>19</v>
      </c>
      <c r="C1590" s="430" t="s">
        <v>92</v>
      </c>
      <c r="D1590" s="690" t="s">
        <v>88</v>
      </c>
      <c r="E1590" s="690" t="s">
        <v>93</v>
      </c>
      <c r="F1590" s="432" t="s">
        <v>94</v>
      </c>
      <c r="G1590" s="508" t="s">
        <v>95</v>
      </c>
      <c r="H1590" s="424"/>
    </row>
    <row r="1591" spans="1:8" ht="22.5">
      <c r="A1591" s="688" t="s">
        <v>1726</v>
      </c>
      <c r="B1591" s="686" t="s">
        <v>1727</v>
      </c>
      <c r="C1591" s="430" t="s">
        <v>99</v>
      </c>
      <c r="D1591" s="690" t="s">
        <v>418</v>
      </c>
      <c r="E1591" s="691">
        <v>1.0169999999999999</v>
      </c>
      <c r="F1591" s="501">
        <v>1</v>
      </c>
      <c r="G1591" s="511">
        <f t="shared" ref="G1591" si="78">TRUNC(E1591*F1591,2)</f>
        <v>1.01</v>
      </c>
      <c r="H1591" s="424"/>
    </row>
    <row r="1592" spans="1:8" ht="15" customHeight="1">
      <c r="A1592" s="1422">
        <v>88247</v>
      </c>
      <c r="B1592" s="1416" t="s">
        <v>1068</v>
      </c>
      <c r="C1592" s="430" t="s">
        <v>117</v>
      </c>
      <c r="D1592" s="1424" t="s">
        <v>410</v>
      </c>
      <c r="E1592" s="1425">
        <v>0.129</v>
      </c>
      <c r="F1592" s="435">
        <f>G287</f>
        <v>10.98</v>
      </c>
      <c r="G1592" s="511">
        <f>TRUNC(E1592*F1592,2)</f>
        <v>1.41</v>
      </c>
      <c r="H1592" s="424"/>
    </row>
    <row r="1593" spans="1:8" ht="15" customHeight="1">
      <c r="A1593" s="1423"/>
      <c r="B1593" s="1417"/>
      <c r="C1593" s="430" t="s">
        <v>99</v>
      </c>
      <c r="D1593" s="1424"/>
      <c r="E1593" s="1426"/>
      <c r="F1593" s="435">
        <f>G288</f>
        <v>4.5600000000000005</v>
      </c>
      <c r="G1593" s="456">
        <f>TRUNC(E1592*F1593,2)</f>
        <v>0.57999999999999996</v>
      </c>
      <c r="H1593" s="424"/>
    </row>
    <row r="1594" spans="1:8" ht="15" customHeight="1">
      <c r="A1594" s="1422">
        <v>88264</v>
      </c>
      <c r="B1594" s="1468" t="s">
        <v>306</v>
      </c>
      <c r="C1594" s="430" t="s">
        <v>117</v>
      </c>
      <c r="D1594" s="1424" t="s">
        <v>410</v>
      </c>
      <c r="E1594" s="1425">
        <v>0.129</v>
      </c>
      <c r="F1594" s="435">
        <f>G253</f>
        <v>15.639999999999999</v>
      </c>
      <c r="G1594" s="456">
        <f>TRUNC(E1594*F1594,2)</f>
        <v>2.0099999999999998</v>
      </c>
      <c r="H1594" s="424"/>
    </row>
    <row r="1595" spans="1:8" ht="15" customHeight="1">
      <c r="A1595" s="1423"/>
      <c r="B1595" s="1469"/>
      <c r="C1595" s="430" t="s">
        <v>99</v>
      </c>
      <c r="D1595" s="1424"/>
      <c r="E1595" s="1426"/>
      <c r="F1595" s="435">
        <f>G254</f>
        <v>4.5600000000000005</v>
      </c>
      <c r="G1595" s="456">
        <f>TRUNC(E1594*F1595,2)</f>
        <v>0.57999999999999996</v>
      </c>
      <c r="H1595" s="424"/>
    </row>
    <row r="1596" spans="1:8" ht="15" customHeight="1">
      <c r="C1596" s="173"/>
      <c r="D1596" s="170"/>
      <c r="E1596" s="513"/>
      <c r="F1596" s="514" t="s">
        <v>103</v>
      </c>
      <c r="G1596" s="466">
        <f>G1592+G1594</f>
        <v>3.42</v>
      </c>
      <c r="H1596" s="170"/>
    </row>
    <row r="1597" spans="1:8" ht="15" customHeight="1">
      <c r="C1597" s="173"/>
      <c r="D1597" s="170"/>
      <c r="E1597" s="515"/>
      <c r="F1597" s="438" t="s">
        <v>105</v>
      </c>
      <c r="G1597" s="456">
        <f>G1591+G1593+G1595</f>
        <v>2.17</v>
      </c>
      <c r="H1597" s="170"/>
    </row>
    <row r="1598" spans="1:8" ht="15" customHeight="1">
      <c r="C1598" s="173"/>
      <c r="D1598" s="170"/>
      <c r="E1598" s="515"/>
      <c r="F1598" s="438" t="s">
        <v>106</v>
      </c>
      <c r="G1598" s="457">
        <f>SUM(G1596:G1597)</f>
        <v>5.59</v>
      </c>
      <c r="H1598" s="170"/>
    </row>
    <row r="1599" spans="1:8">
      <c r="A1599" s="516"/>
      <c r="B1599" s="517"/>
      <c r="C1599" s="518"/>
      <c r="D1599" s="516"/>
      <c r="E1599" s="517"/>
      <c r="F1599" s="517"/>
      <c r="G1599" s="517"/>
      <c r="H1599" s="516"/>
    </row>
    <row r="1601" spans="1:8">
      <c r="A1601" s="170" t="s">
        <v>1258</v>
      </c>
      <c r="C1601" s="173"/>
      <c r="D1601" s="170"/>
      <c r="E1601" s="193"/>
      <c r="H1601" s="424"/>
    </row>
    <row r="1602" spans="1:8" ht="15" customHeight="1">
      <c r="A1602" s="220" t="s">
        <v>1731</v>
      </c>
      <c r="C1602" s="173"/>
      <c r="D1602" s="170"/>
      <c r="E1602" s="193"/>
      <c r="H1602" s="424"/>
    </row>
    <row r="1603" spans="1:8" ht="28.5" customHeight="1">
      <c r="A1603" s="505" t="s">
        <v>1536</v>
      </c>
      <c r="B1603" s="1429" t="s">
        <v>1618</v>
      </c>
      <c r="C1603" s="1429"/>
      <c r="D1603" s="1429"/>
      <c r="E1603" s="559" t="s">
        <v>418</v>
      </c>
      <c r="G1603" s="506"/>
      <c r="H1603" s="424"/>
    </row>
    <row r="1604" spans="1:8" ht="22.5">
      <c r="A1604" s="711" t="s">
        <v>30</v>
      </c>
      <c r="B1604" s="507" t="s">
        <v>19</v>
      </c>
      <c r="C1604" s="430" t="s">
        <v>92</v>
      </c>
      <c r="D1604" s="690" t="s">
        <v>88</v>
      </c>
      <c r="E1604" s="690" t="s">
        <v>93</v>
      </c>
      <c r="F1604" s="432" t="s">
        <v>94</v>
      </c>
      <c r="G1604" s="508" t="s">
        <v>95</v>
      </c>
      <c r="H1604" s="424"/>
    </row>
    <row r="1605" spans="1:8" ht="33.75">
      <c r="A1605" s="688" t="s">
        <v>1732</v>
      </c>
      <c r="B1605" s="686" t="s">
        <v>1733</v>
      </c>
      <c r="C1605" s="430" t="s">
        <v>99</v>
      </c>
      <c r="D1605" s="690" t="s">
        <v>418</v>
      </c>
      <c r="E1605" s="691">
        <v>1.19</v>
      </c>
      <c r="F1605" s="501">
        <v>0.68</v>
      </c>
      <c r="G1605" s="511">
        <f t="shared" ref="G1605:G1606" si="79">TRUNC(E1605*F1605,2)</f>
        <v>0.8</v>
      </c>
      <c r="H1605" s="424"/>
    </row>
    <row r="1606" spans="1:8" ht="22.5">
      <c r="A1606" s="688" t="s">
        <v>1065</v>
      </c>
      <c r="B1606" s="686" t="s">
        <v>1066</v>
      </c>
      <c r="C1606" s="430" t="s">
        <v>99</v>
      </c>
      <c r="D1606" s="690" t="s">
        <v>408</v>
      </c>
      <c r="E1606" s="687">
        <v>8.9999999999999993E-3</v>
      </c>
      <c r="F1606" s="501">
        <v>3.4</v>
      </c>
      <c r="G1606" s="511">
        <f t="shared" si="79"/>
        <v>0.03</v>
      </c>
      <c r="H1606" s="424"/>
    </row>
    <row r="1607" spans="1:8" ht="15" customHeight="1">
      <c r="A1607" s="1422">
        <v>88247</v>
      </c>
      <c r="B1607" s="1416" t="s">
        <v>1068</v>
      </c>
      <c r="C1607" s="430" t="s">
        <v>117</v>
      </c>
      <c r="D1607" s="1424" t="s">
        <v>410</v>
      </c>
      <c r="E1607" s="1471">
        <v>2.4E-2</v>
      </c>
      <c r="F1607" s="435">
        <f>G287</f>
        <v>10.98</v>
      </c>
      <c r="G1607" s="511">
        <f>TRUNC(E1607*F1607,2)</f>
        <v>0.26</v>
      </c>
      <c r="H1607" s="424"/>
    </row>
    <row r="1608" spans="1:8" ht="15" customHeight="1">
      <c r="A1608" s="1423"/>
      <c r="B1608" s="1417"/>
      <c r="C1608" s="430" t="s">
        <v>99</v>
      </c>
      <c r="D1608" s="1424"/>
      <c r="E1608" s="1472"/>
      <c r="F1608" s="435">
        <f>G288</f>
        <v>4.5600000000000005</v>
      </c>
      <c r="G1608" s="456">
        <f>TRUNC(E1607*F1608,2)</f>
        <v>0.1</v>
      </c>
      <c r="H1608" s="424"/>
    </row>
    <row r="1609" spans="1:8" ht="15" customHeight="1">
      <c r="A1609" s="1422">
        <v>88264</v>
      </c>
      <c r="B1609" s="1468" t="s">
        <v>306</v>
      </c>
      <c r="C1609" s="430" t="s">
        <v>117</v>
      </c>
      <c r="D1609" s="1424" t="s">
        <v>410</v>
      </c>
      <c r="E1609" s="1471">
        <v>2.4E-2</v>
      </c>
      <c r="F1609" s="435">
        <f>G253</f>
        <v>15.639999999999999</v>
      </c>
      <c r="G1609" s="456">
        <f>TRUNC(E1609*F1609,2)</f>
        <v>0.37</v>
      </c>
      <c r="H1609" s="424"/>
    </row>
    <row r="1610" spans="1:8" ht="15" customHeight="1">
      <c r="A1610" s="1423"/>
      <c r="B1610" s="1469"/>
      <c r="C1610" s="430" t="s">
        <v>99</v>
      </c>
      <c r="D1610" s="1424"/>
      <c r="E1610" s="1472"/>
      <c r="F1610" s="435">
        <f>G254</f>
        <v>4.5600000000000005</v>
      </c>
      <c r="G1610" s="456">
        <f>TRUNC(E1609*F1610,2)</f>
        <v>0.1</v>
      </c>
      <c r="H1610" s="424"/>
    </row>
    <row r="1611" spans="1:8" ht="15" customHeight="1">
      <c r="C1611" s="173"/>
      <c r="D1611" s="170"/>
      <c r="E1611" s="513"/>
      <c r="F1611" s="514" t="s">
        <v>103</v>
      </c>
      <c r="G1611" s="466">
        <f>G1607+G1609</f>
        <v>0.63</v>
      </c>
      <c r="H1611" s="170"/>
    </row>
    <row r="1612" spans="1:8" ht="15" customHeight="1">
      <c r="C1612" s="173"/>
      <c r="D1612" s="170"/>
      <c r="E1612" s="515"/>
      <c r="F1612" s="438" t="s">
        <v>105</v>
      </c>
      <c r="G1612" s="456">
        <f>G1605+G1606+G1608+G1610</f>
        <v>1.03</v>
      </c>
      <c r="H1612" s="170"/>
    </row>
    <row r="1613" spans="1:8" ht="15" customHeight="1">
      <c r="C1613" s="173"/>
      <c r="D1613" s="170"/>
      <c r="E1613" s="515"/>
      <c r="F1613" s="438" t="s">
        <v>106</v>
      </c>
      <c r="G1613" s="457">
        <f>SUM(G1611:G1612)</f>
        <v>1.6600000000000001</v>
      </c>
      <c r="H1613" s="170"/>
    </row>
    <row r="1614" spans="1:8">
      <c r="A1614" s="516"/>
      <c r="B1614" s="517"/>
      <c r="C1614" s="518"/>
      <c r="D1614" s="516"/>
      <c r="E1614" s="517"/>
      <c r="F1614" s="517"/>
      <c r="G1614" s="517"/>
      <c r="H1614" s="516"/>
    </row>
    <row r="1616" spans="1:8">
      <c r="A1616" s="170" t="s">
        <v>1258</v>
      </c>
      <c r="C1616" s="173"/>
      <c r="D1616" s="170"/>
      <c r="E1616" s="193"/>
      <c r="H1616" s="424"/>
    </row>
    <row r="1617" spans="1:8">
      <c r="A1617" s="220" t="s">
        <v>1734</v>
      </c>
      <c r="C1617" s="173"/>
      <c r="D1617" s="170"/>
      <c r="E1617" s="193"/>
      <c r="H1617" s="424"/>
    </row>
    <row r="1618" spans="1:8" ht="24" customHeight="1">
      <c r="A1618" s="505" t="s">
        <v>1536</v>
      </c>
      <c r="B1618" s="1429" t="s">
        <v>1619</v>
      </c>
      <c r="C1618" s="1429"/>
      <c r="D1618" s="1429"/>
      <c r="E1618" s="506" t="s">
        <v>418</v>
      </c>
      <c r="G1618" s="506"/>
      <c r="H1618" s="424"/>
    </row>
    <row r="1619" spans="1:8" ht="22.5">
      <c r="A1619" s="711" t="s">
        <v>30</v>
      </c>
      <c r="B1619" s="507" t="s">
        <v>19</v>
      </c>
      <c r="C1619" s="430" t="s">
        <v>92</v>
      </c>
      <c r="D1619" s="690" t="s">
        <v>88</v>
      </c>
      <c r="E1619" s="690" t="s">
        <v>93</v>
      </c>
      <c r="F1619" s="432" t="s">
        <v>94</v>
      </c>
      <c r="G1619" s="508" t="s">
        <v>95</v>
      </c>
      <c r="H1619" s="424"/>
    </row>
    <row r="1620" spans="1:8" ht="33.75">
      <c r="A1620" s="692">
        <v>1014</v>
      </c>
      <c r="B1620" s="686" t="s">
        <v>1735</v>
      </c>
      <c r="C1620" s="430" t="s">
        <v>99</v>
      </c>
      <c r="D1620" s="690" t="s">
        <v>418</v>
      </c>
      <c r="E1620" s="700">
        <v>1.19</v>
      </c>
      <c r="F1620" s="729">
        <v>1.1299999999999999</v>
      </c>
      <c r="G1620" s="511">
        <f t="shared" ref="G1620:G1621" si="80">TRUNC(E1620*F1620,2)</f>
        <v>1.34</v>
      </c>
      <c r="H1620" s="424"/>
    </row>
    <row r="1621" spans="1:8" ht="22.5">
      <c r="A1621" s="688" t="s">
        <v>1065</v>
      </c>
      <c r="B1621" s="686" t="s">
        <v>1066</v>
      </c>
      <c r="C1621" s="430" t="s">
        <v>99</v>
      </c>
      <c r="D1621" s="690" t="s">
        <v>408</v>
      </c>
      <c r="E1621" s="687">
        <v>8.9999999999999993E-3</v>
      </c>
      <c r="F1621" s="501">
        <v>3.4</v>
      </c>
      <c r="G1621" s="511">
        <f t="shared" si="80"/>
        <v>0.03</v>
      </c>
      <c r="H1621" s="424"/>
    </row>
    <row r="1622" spans="1:8" ht="15" customHeight="1">
      <c r="A1622" s="1422">
        <v>88247</v>
      </c>
      <c r="B1622" s="1416" t="s">
        <v>1068</v>
      </c>
      <c r="C1622" s="430" t="s">
        <v>117</v>
      </c>
      <c r="D1622" s="1424" t="s">
        <v>410</v>
      </c>
      <c r="E1622" s="1471">
        <v>0.03</v>
      </c>
      <c r="F1622" s="435">
        <f>G287</f>
        <v>10.98</v>
      </c>
      <c r="G1622" s="511">
        <f>TRUNC(E1622*F1622,2)</f>
        <v>0.32</v>
      </c>
      <c r="H1622" s="424"/>
    </row>
    <row r="1623" spans="1:8" ht="15" customHeight="1">
      <c r="A1623" s="1423"/>
      <c r="B1623" s="1417"/>
      <c r="C1623" s="430" t="s">
        <v>99</v>
      </c>
      <c r="D1623" s="1424"/>
      <c r="E1623" s="1472"/>
      <c r="F1623" s="435">
        <f>G288</f>
        <v>4.5600000000000005</v>
      </c>
      <c r="G1623" s="456">
        <f>TRUNC(E1622*F1623,2)</f>
        <v>0.13</v>
      </c>
      <c r="H1623" s="424"/>
    </row>
    <row r="1624" spans="1:8" ht="15" customHeight="1">
      <c r="A1624" s="1422">
        <v>88264</v>
      </c>
      <c r="B1624" s="1468" t="s">
        <v>306</v>
      </c>
      <c r="C1624" s="430" t="s">
        <v>117</v>
      </c>
      <c r="D1624" s="1424" t="s">
        <v>410</v>
      </c>
      <c r="E1624" s="1471">
        <v>0.03</v>
      </c>
      <c r="F1624" s="435">
        <f>G253</f>
        <v>15.639999999999999</v>
      </c>
      <c r="G1624" s="456">
        <f>TRUNC(E1624*F1624,2)</f>
        <v>0.46</v>
      </c>
      <c r="H1624" s="424"/>
    </row>
    <row r="1625" spans="1:8" ht="15" customHeight="1">
      <c r="A1625" s="1423"/>
      <c r="B1625" s="1469"/>
      <c r="C1625" s="430" t="s">
        <v>99</v>
      </c>
      <c r="D1625" s="1424"/>
      <c r="E1625" s="1472"/>
      <c r="F1625" s="435">
        <f>G254</f>
        <v>4.5600000000000005</v>
      </c>
      <c r="G1625" s="456">
        <f>TRUNC(E1624*F1625,2)</f>
        <v>0.13</v>
      </c>
      <c r="H1625" s="424"/>
    </row>
    <row r="1626" spans="1:8" ht="15" customHeight="1">
      <c r="C1626" s="173"/>
      <c r="D1626" s="170"/>
      <c r="E1626" s="513"/>
      <c r="F1626" s="514" t="s">
        <v>103</v>
      </c>
      <c r="G1626" s="466">
        <f>G1622+G1624</f>
        <v>0.78</v>
      </c>
      <c r="H1626" s="170"/>
    </row>
    <row r="1627" spans="1:8" ht="15" customHeight="1">
      <c r="C1627" s="173"/>
      <c r="D1627" s="170"/>
      <c r="E1627" s="515"/>
      <c r="F1627" s="438" t="s">
        <v>105</v>
      </c>
      <c r="G1627" s="456">
        <f>G1620+G1621+G1623+G1625</f>
        <v>1.63</v>
      </c>
      <c r="H1627" s="170"/>
    </row>
    <row r="1628" spans="1:8" ht="15" customHeight="1">
      <c r="C1628" s="173"/>
      <c r="D1628" s="170"/>
      <c r="E1628" s="515"/>
      <c r="F1628" s="438" t="s">
        <v>106</v>
      </c>
      <c r="G1628" s="457">
        <f>SUM(G1626:G1627)</f>
        <v>2.41</v>
      </c>
      <c r="H1628" s="170"/>
    </row>
    <row r="1629" spans="1:8">
      <c r="A1629" s="516"/>
      <c r="B1629" s="517"/>
      <c r="C1629" s="518"/>
      <c r="D1629" s="516"/>
      <c r="E1629" s="517"/>
      <c r="F1629" s="517"/>
      <c r="G1629" s="517"/>
      <c r="H1629" s="516"/>
    </row>
    <row r="1631" spans="1:8">
      <c r="A1631" s="170" t="s">
        <v>1258</v>
      </c>
      <c r="C1631" s="173"/>
      <c r="D1631" s="170"/>
      <c r="E1631" s="193"/>
      <c r="H1631" s="424"/>
    </row>
    <row r="1632" spans="1:8">
      <c r="A1632" s="220" t="s">
        <v>1736</v>
      </c>
      <c r="C1632" s="173"/>
      <c r="D1632" s="170"/>
      <c r="E1632" s="193"/>
      <c r="H1632" s="424"/>
    </row>
    <row r="1633" spans="1:8" ht="24.75" customHeight="1">
      <c r="A1633" s="505" t="s">
        <v>1536</v>
      </c>
      <c r="B1633" s="1429" t="s">
        <v>1620</v>
      </c>
      <c r="C1633" s="1429"/>
      <c r="D1633" s="1429"/>
      <c r="E1633" s="506" t="s">
        <v>1538</v>
      </c>
      <c r="G1633" s="506"/>
      <c r="H1633" s="424"/>
    </row>
    <row r="1634" spans="1:8" ht="22.5">
      <c r="A1634" s="711" t="s">
        <v>30</v>
      </c>
      <c r="B1634" s="507" t="s">
        <v>19</v>
      </c>
      <c r="C1634" s="430" t="s">
        <v>92</v>
      </c>
      <c r="D1634" s="690" t="s">
        <v>88</v>
      </c>
      <c r="E1634" s="690" t="s">
        <v>93</v>
      </c>
      <c r="F1634" s="432" t="s">
        <v>94</v>
      </c>
      <c r="G1634" s="508" t="s">
        <v>95</v>
      </c>
      <c r="H1634" s="424"/>
    </row>
    <row r="1635" spans="1:8" ht="22.5">
      <c r="A1635" s="688" t="s">
        <v>1737</v>
      </c>
      <c r="B1635" s="686" t="s">
        <v>1738</v>
      </c>
      <c r="C1635" s="430" t="s">
        <v>99</v>
      </c>
      <c r="D1635" s="690" t="s">
        <v>88</v>
      </c>
      <c r="E1635" s="691">
        <v>1</v>
      </c>
      <c r="F1635" s="501">
        <v>2.97</v>
      </c>
      <c r="G1635" s="511">
        <f t="shared" ref="G1635" si="81">TRUNC(E1635*F1635,2)</f>
        <v>2.97</v>
      </c>
      <c r="H1635" s="424"/>
    </row>
    <row r="1636" spans="1:8" ht="15" customHeight="1">
      <c r="A1636" s="1422">
        <v>88247</v>
      </c>
      <c r="B1636" s="1416" t="s">
        <v>1068</v>
      </c>
      <c r="C1636" s="430" t="s">
        <v>117</v>
      </c>
      <c r="D1636" s="1424" t="s">
        <v>410</v>
      </c>
      <c r="E1636" s="1425">
        <v>0.129</v>
      </c>
      <c r="F1636" s="435">
        <f>G287</f>
        <v>10.98</v>
      </c>
      <c r="G1636" s="511">
        <f>TRUNC(E1636*F1636,2)</f>
        <v>1.41</v>
      </c>
      <c r="H1636" s="424"/>
    </row>
    <row r="1637" spans="1:8" ht="15" customHeight="1">
      <c r="A1637" s="1423"/>
      <c r="B1637" s="1417"/>
      <c r="C1637" s="430" t="s">
        <v>99</v>
      </c>
      <c r="D1637" s="1424"/>
      <c r="E1637" s="1426"/>
      <c r="F1637" s="435">
        <f>G288</f>
        <v>4.5600000000000005</v>
      </c>
      <c r="G1637" s="456">
        <f>TRUNC(E1636*F1637,2)</f>
        <v>0.57999999999999996</v>
      </c>
      <c r="H1637" s="424"/>
    </row>
    <row r="1638" spans="1:8" ht="15" customHeight="1">
      <c r="A1638" s="1422">
        <v>88264</v>
      </c>
      <c r="B1638" s="1468" t="s">
        <v>306</v>
      </c>
      <c r="C1638" s="430" t="s">
        <v>117</v>
      </c>
      <c r="D1638" s="1424" t="s">
        <v>410</v>
      </c>
      <c r="E1638" s="1425">
        <v>0.129</v>
      </c>
      <c r="F1638" s="435">
        <f>G253</f>
        <v>15.639999999999999</v>
      </c>
      <c r="G1638" s="456">
        <f>TRUNC(E1638*F1638,2)</f>
        <v>2.0099999999999998</v>
      </c>
      <c r="H1638" s="424"/>
    </row>
    <row r="1639" spans="1:8" ht="15" customHeight="1">
      <c r="A1639" s="1423"/>
      <c r="B1639" s="1469"/>
      <c r="C1639" s="430" t="s">
        <v>99</v>
      </c>
      <c r="D1639" s="1424"/>
      <c r="E1639" s="1426"/>
      <c r="F1639" s="435">
        <f>G254</f>
        <v>4.5600000000000005</v>
      </c>
      <c r="G1639" s="456">
        <f>TRUNC(E1638*F1639,2)</f>
        <v>0.57999999999999996</v>
      </c>
      <c r="H1639" s="424"/>
    </row>
    <row r="1640" spans="1:8" ht="15" customHeight="1">
      <c r="C1640" s="173"/>
      <c r="D1640" s="170"/>
      <c r="E1640" s="513"/>
      <c r="F1640" s="514" t="s">
        <v>103</v>
      </c>
      <c r="G1640" s="466">
        <f>G1636+G1638</f>
        <v>3.42</v>
      </c>
      <c r="H1640" s="170"/>
    </row>
    <row r="1641" spans="1:8" ht="15" customHeight="1">
      <c r="C1641" s="173"/>
      <c r="D1641" s="170"/>
      <c r="E1641" s="515"/>
      <c r="F1641" s="438" t="s">
        <v>105</v>
      </c>
      <c r="G1641" s="456">
        <f>G1635+G1637+G1639</f>
        <v>4.13</v>
      </c>
      <c r="H1641" s="170"/>
    </row>
    <row r="1642" spans="1:8" ht="15" customHeight="1">
      <c r="C1642" s="173"/>
      <c r="D1642" s="170"/>
      <c r="E1642" s="515"/>
      <c r="F1642" s="438" t="s">
        <v>106</v>
      </c>
      <c r="G1642" s="457">
        <f>SUM(G1640:G1641)</f>
        <v>7.55</v>
      </c>
      <c r="H1642" s="170"/>
    </row>
    <row r="1643" spans="1:8">
      <c r="A1643" s="516"/>
      <c r="B1643" s="517"/>
      <c r="C1643" s="518"/>
      <c r="D1643" s="516"/>
      <c r="E1643" s="517"/>
      <c r="F1643" s="517"/>
      <c r="G1643" s="517"/>
      <c r="H1643" s="516"/>
    </row>
    <row r="1645" spans="1:8">
      <c r="A1645" s="170" t="s">
        <v>1258</v>
      </c>
      <c r="C1645" s="173"/>
      <c r="D1645" s="170"/>
      <c r="E1645" s="193"/>
      <c r="H1645" s="424"/>
    </row>
    <row r="1646" spans="1:8">
      <c r="A1646" s="220" t="s">
        <v>1739</v>
      </c>
      <c r="C1646" s="173"/>
      <c r="D1646" s="170"/>
      <c r="E1646" s="193"/>
      <c r="H1646" s="424"/>
    </row>
    <row r="1647" spans="1:8" ht="26.25" customHeight="1">
      <c r="A1647" s="505" t="s">
        <v>1536</v>
      </c>
      <c r="B1647" s="1429" t="s">
        <v>1621</v>
      </c>
      <c r="C1647" s="1429"/>
      <c r="D1647" s="1429"/>
      <c r="E1647" s="506" t="s">
        <v>1538</v>
      </c>
      <c r="G1647" s="506"/>
      <c r="H1647" s="424"/>
    </row>
    <row r="1648" spans="1:8" ht="22.5">
      <c r="A1648" s="711" t="s">
        <v>30</v>
      </c>
      <c r="B1648" s="507" t="s">
        <v>19</v>
      </c>
      <c r="C1648" s="430" t="s">
        <v>92</v>
      </c>
      <c r="D1648" s="690" t="s">
        <v>88</v>
      </c>
      <c r="E1648" s="690" t="s">
        <v>93</v>
      </c>
      <c r="F1648" s="432" t="s">
        <v>94</v>
      </c>
      <c r="G1648" s="508" t="s">
        <v>95</v>
      </c>
      <c r="H1648" s="424"/>
    </row>
    <row r="1649" spans="1:8" ht="22.5">
      <c r="A1649" s="688" t="s">
        <v>1740</v>
      </c>
      <c r="B1649" s="686" t="s">
        <v>1741</v>
      </c>
      <c r="C1649" s="430" t="s">
        <v>99</v>
      </c>
      <c r="D1649" s="690" t="s">
        <v>88</v>
      </c>
      <c r="E1649" s="689">
        <v>1</v>
      </c>
      <c r="F1649" s="432">
        <v>1.66</v>
      </c>
      <c r="G1649" s="508">
        <f>TRUNC(E1649*F1649,2)</f>
        <v>1.66</v>
      </c>
      <c r="H1649" s="424"/>
    </row>
    <row r="1650" spans="1:8" ht="15" customHeight="1">
      <c r="A1650" s="1422">
        <v>88247</v>
      </c>
      <c r="B1650" s="1416" t="s">
        <v>1068</v>
      </c>
      <c r="C1650" s="430" t="s">
        <v>117</v>
      </c>
      <c r="D1650" s="1424" t="s">
        <v>410</v>
      </c>
      <c r="E1650" s="1471">
        <v>0.247</v>
      </c>
      <c r="F1650" s="435">
        <f>G287</f>
        <v>10.98</v>
      </c>
      <c r="G1650" s="511">
        <f>TRUNC(E1650*F1650,2)</f>
        <v>2.71</v>
      </c>
      <c r="H1650" s="424"/>
    </row>
    <row r="1651" spans="1:8" ht="15" customHeight="1">
      <c r="A1651" s="1423"/>
      <c r="B1651" s="1417"/>
      <c r="C1651" s="430" t="s">
        <v>99</v>
      </c>
      <c r="D1651" s="1424"/>
      <c r="E1651" s="1472"/>
      <c r="F1651" s="435">
        <f>G288</f>
        <v>4.5600000000000005</v>
      </c>
      <c r="G1651" s="456">
        <f>TRUNC(E1650*F1651,2)</f>
        <v>1.1200000000000001</v>
      </c>
      <c r="H1651" s="424"/>
    </row>
    <row r="1652" spans="1:8" ht="15" customHeight="1">
      <c r="A1652" s="1422">
        <v>88264</v>
      </c>
      <c r="B1652" s="1468" t="s">
        <v>306</v>
      </c>
      <c r="C1652" s="430" t="s">
        <v>117</v>
      </c>
      <c r="D1652" s="1424" t="s">
        <v>410</v>
      </c>
      <c r="E1652" s="1471">
        <v>0.247</v>
      </c>
      <c r="F1652" s="435">
        <f>G253</f>
        <v>15.639999999999999</v>
      </c>
      <c r="G1652" s="456">
        <f>TRUNC(E1652*F1652,2)</f>
        <v>3.86</v>
      </c>
      <c r="H1652" s="424"/>
    </row>
    <row r="1653" spans="1:8" ht="15" customHeight="1">
      <c r="A1653" s="1423"/>
      <c r="B1653" s="1469"/>
      <c r="C1653" s="430" t="s">
        <v>99</v>
      </c>
      <c r="D1653" s="1424"/>
      <c r="E1653" s="1472"/>
      <c r="F1653" s="435">
        <f>G254</f>
        <v>4.5600000000000005</v>
      </c>
      <c r="G1653" s="456">
        <f>TRUNC(E1652*F1653,2)</f>
        <v>1.1200000000000001</v>
      </c>
      <c r="H1653" s="424"/>
    </row>
    <row r="1654" spans="1:8" ht="15" customHeight="1">
      <c r="A1654" s="1422">
        <v>88629</v>
      </c>
      <c r="B1654" s="1468" t="s">
        <v>1721</v>
      </c>
      <c r="C1654" s="430" t="s">
        <v>117</v>
      </c>
      <c r="D1654" s="1427" t="s">
        <v>1398</v>
      </c>
      <c r="E1654" s="1471">
        <v>8.9999999999999998E-4</v>
      </c>
      <c r="F1654" s="435">
        <f>G1538</f>
        <v>94.12</v>
      </c>
      <c r="G1654" s="456">
        <f>TRUNC(E1654*F1654,2)</f>
        <v>0.08</v>
      </c>
      <c r="H1654" s="424"/>
    </row>
    <row r="1655" spans="1:8" ht="15" customHeight="1">
      <c r="A1655" s="1423"/>
      <c r="B1655" s="1469"/>
      <c r="C1655" s="430" t="s">
        <v>99</v>
      </c>
      <c r="D1655" s="1428"/>
      <c r="E1655" s="1472"/>
      <c r="F1655" s="435">
        <f>G1539</f>
        <v>319.67</v>
      </c>
      <c r="G1655" s="456">
        <f t="shared" ref="G1655" si="82">TRUNC(E1654*F1655,2)</f>
        <v>0.28000000000000003</v>
      </c>
      <c r="H1655" s="424"/>
    </row>
    <row r="1656" spans="1:8" ht="15" customHeight="1">
      <c r="C1656" s="173"/>
      <c r="D1656" s="170"/>
      <c r="E1656" s="513"/>
      <c r="F1656" s="514" t="s">
        <v>103</v>
      </c>
      <c r="G1656" s="466">
        <f>G1650+G1652+G1654</f>
        <v>6.65</v>
      </c>
      <c r="H1656" s="170"/>
    </row>
    <row r="1657" spans="1:8" ht="15" customHeight="1">
      <c r="C1657" s="173"/>
      <c r="D1657" s="170"/>
      <c r="E1657" s="515"/>
      <c r="F1657" s="438" t="s">
        <v>105</v>
      </c>
      <c r="G1657" s="456">
        <f>G1649+G1651+G1653+G1655</f>
        <v>4.1800000000000006</v>
      </c>
      <c r="H1657" s="170"/>
    </row>
    <row r="1658" spans="1:8" ht="15" customHeight="1">
      <c r="C1658" s="173"/>
      <c r="D1658" s="170"/>
      <c r="E1658" s="515"/>
      <c r="F1658" s="438" t="s">
        <v>106</v>
      </c>
      <c r="G1658" s="457">
        <f>SUM(G1656:G1657)</f>
        <v>10.830000000000002</v>
      </c>
      <c r="H1658" s="170"/>
    </row>
    <row r="1659" spans="1:8">
      <c r="A1659" s="516"/>
      <c r="B1659" s="517"/>
      <c r="C1659" s="518"/>
      <c r="D1659" s="516"/>
      <c r="E1659" s="517"/>
      <c r="F1659" s="517"/>
      <c r="G1659" s="517"/>
      <c r="H1659" s="516"/>
    </row>
    <row r="1661" spans="1:8">
      <c r="A1661" s="170" t="s">
        <v>1258</v>
      </c>
      <c r="C1661" s="173"/>
      <c r="D1661" s="170"/>
      <c r="E1661" s="193"/>
      <c r="H1661" s="424"/>
    </row>
    <row r="1662" spans="1:8" ht="15" customHeight="1">
      <c r="A1662" s="220" t="s">
        <v>2246</v>
      </c>
      <c r="C1662" s="173"/>
      <c r="D1662" s="170"/>
      <c r="E1662" s="193"/>
      <c r="H1662" s="424"/>
    </row>
    <row r="1663" spans="1:8" ht="21" customHeight="1">
      <c r="A1663" s="505" t="s">
        <v>1536</v>
      </c>
      <c r="B1663" s="1429" t="s">
        <v>2245</v>
      </c>
      <c r="C1663" s="1429"/>
      <c r="D1663" s="1429"/>
      <c r="E1663" s="506" t="s">
        <v>1538</v>
      </c>
      <c r="G1663" s="506"/>
      <c r="H1663" s="424"/>
    </row>
    <row r="1664" spans="1:8" ht="22.5">
      <c r="A1664" s="711" t="s">
        <v>30</v>
      </c>
      <c r="B1664" s="507"/>
      <c r="C1664" s="430" t="s">
        <v>92</v>
      </c>
      <c r="D1664" s="690" t="s">
        <v>88</v>
      </c>
      <c r="E1664" s="690" t="s">
        <v>93</v>
      </c>
      <c r="F1664" s="432" t="s">
        <v>94</v>
      </c>
      <c r="G1664" s="508" t="s">
        <v>95</v>
      </c>
      <c r="H1664" s="424"/>
    </row>
    <row r="1665" spans="1:8" ht="18" customHeight="1">
      <c r="A1665" s="1422">
        <v>91946</v>
      </c>
      <c r="B1665" s="1416" t="s">
        <v>1742</v>
      </c>
      <c r="C1665" s="430" t="s">
        <v>117</v>
      </c>
      <c r="D1665" s="1424" t="s">
        <v>88</v>
      </c>
      <c r="E1665" s="1471">
        <v>1</v>
      </c>
      <c r="F1665" s="435">
        <f>G1682</f>
        <v>2.91</v>
      </c>
      <c r="G1665" s="511">
        <f>TRUNC(E1665*F1665,2)</f>
        <v>2.91</v>
      </c>
      <c r="H1665" s="424"/>
    </row>
    <row r="1666" spans="1:8" ht="18" customHeight="1">
      <c r="A1666" s="1423"/>
      <c r="B1666" s="1417"/>
      <c r="C1666" s="430" t="s">
        <v>99</v>
      </c>
      <c r="D1666" s="1424"/>
      <c r="E1666" s="1472"/>
      <c r="F1666" s="435">
        <f>G1683</f>
        <v>3.3899999999999997</v>
      </c>
      <c r="G1666" s="456">
        <f>TRUNC(E1665*F1666,2)</f>
        <v>3.39</v>
      </c>
      <c r="H1666" s="424"/>
    </row>
    <row r="1667" spans="1:8" ht="18" customHeight="1">
      <c r="A1667" s="1422">
        <v>92002</v>
      </c>
      <c r="B1667" s="1468" t="s">
        <v>2247</v>
      </c>
      <c r="C1667" s="430" t="s">
        <v>117</v>
      </c>
      <c r="D1667" s="1424" t="s">
        <v>88</v>
      </c>
      <c r="E1667" s="1471">
        <v>1</v>
      </c>
      <c r="F1667" s="435">
        <f>G1737</f>
        <v>14.77</v>
      </c>
      <c r="G1667" s="456">
        <f>TRUNC(E1667*F1667,2)</f>
        <v>14.77</v>
      </c>
      <c r="H1667" s="424"/>
    </row>
    <row r="1668" spans="1:8" ht="18" customHeight="1">
      <c r="A1668" s="1423"/>
      <c r="B1668" s="1469"/>
      <c r="C1668" s="430" t="s">
        <v>99</v>
      </c>
      <c r="D1668" s="1424"/>
      <c r="E1668" s="1472"/>
      <c r="F1668" s="435">
        <f>G1738</f>
        <v>14.079999999999998</v>
      </c>
      <c r="G1668" s="456">
        <f>TRUNC(E1667*F1668,2)</f>
        <v>14.08</v>
      </c>
      <c r="H1668" s="424"/>
    </row>
    <row r="1669" spans="1:8" ht="18" customHeight="1">
      <c r="C1669" s="173"/>
      <c r="D1669" s="170"/>
      <c r="E1669" s="513"/>
      <c r="F1669" s="514" t="s">
        <v>103</v>
      </c>
      <c r="G1669" s="466">
        <f>G1665+G1667</f>
        <v>17.68</v>
      </c>
      <c r="H1669" s="170"/>
    </row>
    <row r="1670" spans="1:8" ht="18" customHeight="1">
      <c r="C1670" s="173"/>
      <c r="D1670" s="170"/>
      <c r="E1670" s="515"/>
      <c r="F1670" s="438" t="s">
        <v>105</v>
      </c>
      <c r="G1670" s="456">
        <f>G1666+G1668</f>
        <v>17.47</v>
      </c>
      <c r="H1670" s="170"/>
    </row>
    <row r="1671" spans="1:8" ht="18" customHeight="1">
      <c r="C1671" s="173"/>
      <c r="D1671" s="170"/>
      <c r="E1671" s="515"/>
      <c r="F1671" s="438" t="s">
        <v>106</v>
      </c>
      <c r="G1671" s="457">
        <f>SUM(G1669:G1670)</f>
        <v>35.15</v>
      </c>
      <c r="H1671" s="170"/>
    </row>
    <row r="1672" spans="1:8">
      <c r="A1672" s="516"/>
      <c r="B1672" s="517"/>
      <c r="C1672" s="518"/>
      <c r="D1672" s="516"/>
      <c r="E1672" s="517"/>
      <c r="F1672" s="517"/>
      <c r="G1672" s="517"/>
      <c r="H1672" s="516"/>
    </row>
    <row r="1674" spans="1:8" ht="14.1" customHeight="1">
      <c r="A1674" s="170" t="s">
        <v>1258</v>
      </c>
      <c r="C1674" s="173"/>
      <c r="D1674" s="170"/>
      <c r="E1674" s="193"/>
      <c r="H1674" s="424"/>
    </row>
    <row r="1675" spans="1:8" ht="14.1" customHeight="1">
      <c r="A1675" s="220" t="s">
        <v>1535</v>
      </c>
      <c r="C1675" s="173"/>
      <c r="D1675" s="170"/>
      <c r="E1675" s="193"/>
      <c r="H1675" s="424"/>
    </row>
    <row r="1676" spans="1:8" ht="24" customHeight="1">
      <c r="A1676" s="505" t="s">
        <v>1536</v>
      </c>
      <c r="B1676" s="1429" t="s">
        <v>1537</v>
      </c>
      <c r="C1676" s="1429"/>
      <c r="D1676" s="1429"/>
      <c r="E1676" s="506" t="s">
        <v>1538</v>
      </c>
      <c r="G1676" s="506"/>
      <c r="H1676" s="424"/>
    </row>
    <row r="1677" spans="1:8" ht="22.5">
      <c r="A1677" s="502" t="s">
        <v>30</v>
      </c>
      <c r="B1677" s="507" t="s">
        <v>19</v>
      </c>
      <c r="C1677" s="430" t="s">
        <v>92</v>
      </c>
      <c r="D1677" s="431" t="s">
        <v>88</v>
      </c>
      <c r="E1677" s="431" t="s">
        <v>93</v>
      </c>
      <c r="F1677" s="432" t="s">
        <v>94</v>
      </c>
      <c r="G1677" s="508" t="s">
        <v>95</v>
      </c>
      <c r="H1677" s="424"/>
    </row>
    <row r="1678" spans="1:8" ht="22.5">
      <c r="A1678" s="520" t="s">
        <v>1539</v>
      </c>
      <c r="B1678" s="509" t="s">
        <v>1540</v>
      </c>
      <c r="C1678" s="430" t="s">
        <v>99</v>
      </c>
      <c r="D1678" s="431" t="s">
        <v>408</v>
      </c>
      <c r="E1678" s="510">
        <v>1</v>
      </c>
      <c r="F1678" s="501">
        <v>1.68</v>
      </c>
      <c r="G1678" s="511">
        <f t="shared" ref="G1678:G1679" si="83">TRUNC(E1678*F1678,2)</f>
        <v>1.68</v>
      </c>
      <c r="H1678" s="424"/>
    </row>
    <row r="1679" spans="1:8" ht="33.75">
      <c r="A1679" s="520" t="s">
        <v>1541</v>
      </c>
      <c r="B1679" s="509" t="s">
        <v>1542</v>
      </c>
      <c r="C1679" s="430" t="s">
        <v>99</v>
      </c>
      <c r="D1679" s="431" t="s">
        <v>88</v>
      </c>
      <c r="E1679" s="510">
        <v>1</v>
      </c>
      <c r="F1679" s="432">
        <v>0.87</v>
      </c>
      <c r="G1679" s="511">
        <f t="shared" si="83"/>
        <v>0.87</v>
      </c>
      <c r="H1679" s="424"/>
    </row>
    <row r="1680" spans="1:8" ht="14.1" customHeight="1">
      <c r="A1680" s="1422">
        <v>88264</v>
      </c>
      <c r="B1680" s="1468" t="s">
        <v>306</v>
      </c>
      <c r="C1680" s="430" t="s">
        <v>117</v>
      </c>
      <c r="D1680" s="1424" t="s">
        <v>410</v>
      </c>
      <c r="E1680" s="1471">
        <v>0.1862</v>
      </c>
      <c r="F1680" s="435">
        <f>G253</f>
        <v>15.639999999999999</v>
      </c>
      <c r="G1680" s="456">
        <f>TRUNC(E1680*F1680,2)</f>
        <v>2.91</v>
      </c>
      <c r="H1680" s="424"/>
    </row>
    <row r="1681" spans="1:9" ht="14.1" customHeight="1">
      <c r="A1681" s="1423"/>
      <c r="B1681" s="1469"/>
      <c r="C1681" s="430" t="s">
        <v>99</v>
      </c>
      <c r="D1681" s="1424"/>
      <c r="E1681" s="1472"/>
      <c r="F1681" s="435">
        <f>G254</f>
        <v>4.5600000000000005</v>
      </c>
      <c r="G1681" s="456">
        <f>TRUNC(E1680*F1681,2)</f>
        <v>0.84</v>
      </c>
      <c r="H1681" s="424"/>
    </row>
    <row r="1682" spans="1:9" ht="14.1" customHeight="1">
      <c r="C1682" s="173"/>
      <c r="D1682" s="437"/>
      <c r="E1682" s="513"/>
      <c r="F1682" s="514" t="s">
        <v>103</v>
      </c>
      <c r="G1682" s="466">
        <f>G1680</f>
        <v>2.91</v>
      </c>
      <c r="H1682" s="170"/>
    </row>
    <row r="1683" spans="1:9" ht="14.1" customHeight="1">
      <c r="C1683" s="173"/>
      <c r="D1683" s="437"/>
      <c r="E1683" s="515"/>
      <c r="F1683" s="438" t="s">
        <v>105</v>
      </c>
      <c r="G1683" s="456">
        <f>G1678+G1679+G1681</f>
        <v>3.3899999999999997</v>
      </c>
      <c r="H1683" s="170"/>
    </row>
    <row r="1684" spans="1:9" ht="14.1" customHeight="1">
      <c r="C1684" s="173"/>
      <c r="D1684" s="437"/>
      <c r="E1684" s="515"/>
      <c r="F1684" s="438" t="s">
        <v>106</v>
      </c>
      <c r="G1684" s="457">
        <f>SUM(G1682:G1683)</f>
        <v>6.3</v>
      </c>
      <c r="H1684" s="170"/>
    </row>
    <row r="1685" spans="1:9">
      <c r="A1685" s="516"/>
      <c r="B1685" s="517"/>
      <c r="C1685" s="518"/>
      <c r="D1685" s="516"/>
      <c r="E1685" s="517"/>
      <c r="F1685" s="517"/>
      <c r="G1685" s="517"/>
      <c r="H1685" s="516"/>
      <c r="I1685" s="516"/>
    </row>
    <row r="1687" spans="1:9" ht="14.1" customHeight="1">
      <c r="A1687" s="170" t="s">
        <v>1258</v>
      </c>
      <c r="C1687" s="173"/>
      <c r="D1687" s="170"/>
      <c r="E1687" s="193"/>
      <c r="H1687" s="424"/>
    </row>
    <row r="1688" spans="1:9" ht="14.1" customHeight="1">
      <c r="A1688" s="220" t="s">
        <v>1774</v>
      </c>
      <c r="C1688" s="173"/>
      <c r="D1688" s="170"/>
      <c r="E1688" s="193"/>
      <c r="H1688" s="424"/>
    </row>
    <row r="1689" spans="1:9" ht="27" customHeight="1">
      <c r="A1689" s="505" t="s">
        <v>1536</v>
      </c>
      <c r="B1689" s="1429" t="s">
        <v>1775</v>
      </c>
      <c r="C1689" s="1429"/>
      <c r="D1689" s="1429"/>
      <c r="E1689" s="559" t="s">
        <v>1538</v>
      </c>
      <c r="G1689" s="506"/>
      <c r="H1689" s="424"/>
    </row>
    <row r="1690" spans="1:9" ht="22.5">
      <c r="A1690" s="711" t="s">
        <v>30</v>
      </c>
      <c r="B1690" s="507" t="s">
        <v>19</v>
      </c>
      <c r="C1690" s="430" t="s">
        <v>92</v>
      </c>
      <c r="D1690" s="690" t="s">
        <v>88</v>
      </c>
      <c r="E1690" s="690" t="s">
        <v>93</v>
      </c>
      <c r="F1690" s="432" t="s">
        <v>94</v>
      </c>
      <c r="G1690" s="508" t="s">
        <v>95</v>
      </c>
      <c r="H1690" s="424"/>
    </row>
    <row r="1691" spans="1:9" ht="15" customHeight="1">
      <c r="A1691" s="688" t="s">
        <v>1545</v>
      </c>
      <c r="B1691" s="686" t="s">
        <v>1546</v>
      </c>
      <c r="C1691" s="430" t="s">
        <v>99</v>
      </c>
      <c r="D1691" s="690" t="s">
        <v>88</v>
      </c>
      <c r="E1691" s="689">
        <v>2</v>
      </c>
      <c r="F1691" s="432">
        <v>3.96</v>
      </c>
      <c r="G1691" s="508">
        <f>TRUNC(E1691*F1691,2)</f>
        <v>7.92</v>
      </c>
      <c r="H1691" s="424"/>
    </row>
    <row r="1692" spans="1:9" ht="15" customHeight="1">
      <c r="A1692" s="1422">
        <v>88247</v>
      </c>
      <c r="B1692" s="1416" t="s">
        <v>1068</v>
      </c>
      <c r="C1692" s="430" t="s">
        <v>117</v>
      </c>
      <c r="D1692" s="1424" t="s">
        <v>410</v>
      </c>
      <c r="E1692" s="1471">
        <v>0.247</v>
      </c>
      <c r="F1692" s="435">
        <f>G287</f>
        <v>10.98</v>
      </c>
      <c r="G1692" s="511">
        <f>TRUNC(E1692*F1692,2)</f>
        <v>2.71</v>
      </c>
      <c r="H1692" s="424"/>
    </row>
    <row r="1693" spans="1:9" ht="15" customHeight="1">
      <c r="A1693" s="1423"/>
      <c r="B1693" s="1417"/>
      <c r="C1693" s="430" t="s">
        <v>99</v>
      </c>
      <c r="D1693" s="1424"/>
      <c r="E1693" s="1472"/>
      <c r="F1693" s="435">
        <f>G288</f>
        <v>4.5600000000000005</v>
      </c>
      <c r="G1693" s="456">
        <f>TRUNC(E1692*F1693,2)</f>
        <v>1.1200000000000001</v>
      </c>
      <c r="H1693" s="424"/>
    </row>
    <row r="1694" spans="1:9" ht="15" customHeight="1">
      <c r="A1694" s="1422">
        <v>88264</v>
      </c>
      <c r="B1694" s="1468" t="s">
        <v>306</v>
      </c>
      <c r="C1694" s="430" t="s">
        <v>117</v>
      </c>
      <c r="D1694" s="1424" t="s">
        <v>410</v>
      </c>
      <c r="E1694" s="1471">
        <v>0.247</v>
      </c>
      <c r="F1694" s="435">
        <f>G253</f>
        <v>15.639999999999999</v>
      </c>
      <c r="G1694" s="456">
        <f>TRUNC(E1694*F1694,2)</f>
        <v>3.86</v>
      </c>
      <c r="H1694" s="424"/>
    </row>
    <row r="1695" spans="1:9" ht="15" customHeight="1">
      <c r="A1695" s="1423"/>
      <c r="B1695" s="1469"/>
      <c r="C1695" s="430" t="s">
        <v>99</v>
      </c>
      <c r="D1695" s="1424"/>
      <c r="E1695" s="1472"/>
      <c r="F1695" s="435">
        <f>G254</f>
        <v>4.5600000000000005</v>
      </c>
      <c r="G1695" s="456">
        <f>TRUNC(E1694*F1695,2)</f>
        <v>1.1200000000000001</v>
      </c>
      <c r="H1695" s="424"/>
    </row>
    <row r="1696" spans="1:9" ht="15" customHeight="1">
      <c r="C1696" s="173"/>
      <c r="D1696" s="437"/>
      <c r="E1696" s="513"/>
      <c r="F1696" s="514" t="s">
        <v>103</v>
      </c>
      <c r="G1696" s="466">
        <f>G1692+G1694</f>
        <v>6.57</v>
      </c>
      <c r="H1696" s="170"/>
    </row>
    <row r="1697" spans="1:8" ht="15" customHeight="1">
      <c r="C1697" s="173"/>
      <c r="D1697" s="437"/>
      <c r="E1697" s="515"/>
      <c r="F1697" s="438" t="s">
        <v>105</v>
      </c>
      <c r="G1697" s="456">
        <f>G1691+G1693+G1695</f>
        <v>10.16</v>
      </c>
      <c r="H1697" s="170"/>
    </row>
    <row r="1698" spans="1:8" ht="15" customHeight="1">
      <c r="C1698" s="173"/>
      <c r="D1698" s="437"/>
      <c r="E1698" s="515"/>
      <c r="F1698" s="438" t="s">
        <v>106</v>
      </c>
      <c r="G1698" s="457">
        <f>SUM(G1696:G1697)</f>
        <v>16.73</v>
      </c>
      <c r="H1698" s="170"/>
    </row>
    <row r="1699" spans="1:8">
      <c r="A1699" s="516"/>
      <c r="B1699" s="517"/>
      <c r="C1699" s="518"/>
      <c r="D1699" s="516"/>
      <c r="E1699" s="517"/>
      <c r="F1699" s="517"/>
      <c r="G1699" s="517"/>
      <c r="H1699" s="516"/>
    </row>
    <row r="1701" spans="1:8" ht="14.1" customHeight="1">
      <c r="A1701" s="170" t="s">
        <v>1258</v>
      </c>
      <c r="C1701" s="173"/>
      <c r="D1701" s="170"/>
      <c r="E1701" s="193"/>
      <c r="H1701" s="424"/>
    </row>
    <row r="1702" spans="1:8" ht="14.1" customHeight="1">
      <c r="A1702" s="220" t="s">
        <v>1772</v>
      </c>
      <c r="C1702" s="173"/>
      <c r="D1702" s="170"/>
      <c r="E1702" s="193"/>
      <c r="H1702" s="424"/>
    </row>
    <row r="1703" spans="1:8" ht="27.75" customHeight="1">
      <c r="A1703" s="505" t="s">
        <v>1536</v>
      </c>
      <c r="B1703" s="1429" t="s">
        <v>1771</v>
      </c>
      <c r="C1703" s="1429"/>
      <c r="D1703" s="1429"/>
      <c r="E1703" s="559" t="s">
        <v>1538</v>
      </c>
      <c r="G1703" s="506"/>
      <c r="H1703" s="424"/>
    </row>
    <row r="1704" spans="1:8" ht="22.5">
      <c r="A1704" s="711" t="s">
        <v>30</v>
      </c>
      <c r="B1704" s="507" t="s">
        <v>19</v>
      </c>
      <c r="C1704" s="430" t="s">
        <v>92</v>
      </c>
      <c r="D1704" s="690" t="s">
        <v>88</v>
      </c>
      <c r="E1704" s="690" t="s">
        <v>93</v>
      </c>
      <c r="F1704" s="432" t="s">
        <v>94</v>
      </c>
      <c r="G1704" s="508" t="s">
        <v>95</v>
      </c>
      <c r="H1704" s="424"/>
    </row>
    <row r="1705" spans="1:8" ht="18" customHeight="1">
      <c r="A1705" s="1422">
        <v>91946</v>
      </c>
      <c r="B1705" s="1416" t="s">
        <v>1537</v>
      </c>
      <c r="C1705" s="430" t="s">
        <v>117</v>
      </c>
      <c r="D1705" s="1424" t="s">
        <v>408</v>
      </c>
      <c r="E1705" s="1425">
        <v>1</v>
      </c>
      <c r="F1705" s="435">
        <f>G1682</f>
        <v>2.91</v>
      </c>
      <c r="G1705" s="511">
        <f>TRUNC(E1705*F1705,2)</f>
        <v>2.91</v>
      </c>
      <c r="H1705" s="424"/>
    </row>
    <row r="1706" spans="1:8" ht="18" customHeight="1">
      <c r="A1706" s="1423"/>
      <c r="B1706" s="1417"/>
      <c r="C1706" s="430" t="s">
        <v>99</v>
      </c>
      <c r="D1706" s="1424"/>
      <c r="E1706" s="1426"/>
      <c r="F1706" s="435">
        <f>G1683</f>
        <v>3.3899999999999997</v>
      </c>
      <c r="G1706" s="456">
        <f>TRUNC(E1705*F1706,2)</f>
        <v>3.39</v>
      </c>
      <c r="H1706" s="424"/>
    </row>
    <row r="1707" spans="1:8" ht="15" customHeight="1">
      <c r="A1707" s="1422">
        <v>91952</v>
      </c>
      <c r="B1707" s="1468" t="s">
        <v>1773</v>
      </c>
      <c r="C1707" s="430" t="s">
        <v>117</v>
      </c>
      <c r="D1707" s="1424" t="s">
        <v>408</v>
      </c>
      <c r="E1707" s="1425">
        <v>1</v>
      </c>
      <c r="F1707" s="435">
        <f>G1696</f>
        <v>6.57</v>
      </c>
      <c r="G1707" s="456">
        <f>TRUNC(E1707*F1707,2)</f>
        <v>6.57</v>
      </c>
      <c r="H1707" s="424"/>
    </row>
    <row r="1708" spans="1:8" ht="15" customHeight="1">
      <c r="A1708" s="1423"/>
      <c r="B1708" s="1469"/>
      <c r="C1708" s="430" t="s">
        <v>99</v>
      </c>
      <c r="D1708" s="1424"/>
      <c r="E1708" s="1426"/>
      <c r="F1708" s="435">
        <f>G1697</f>
        <v>10.16</v>
      </c>
      <c r="G1708" s="456">
        <f>TRUNC(E1707*F1708,2)</f>
        <v>10.16</v>
      </c>
      <c r="H1708" s="424"/>
    </row>
    <row r="1709" spans="1:8" ht="14.1" customHeight="1">
      <c r="C1709" s="173"/>
      <c r="D1709" s="437"/>
      <c r="E1709" s="513"/>
      <c r="F1709" s="514" t="s">
        <v>103</v>
      </c>
      <c r="G1709" s="466">
        <f>G1705+G1707</f>
        <v>9.48</v>
      </c>
      <c r="H1709" s="170"/>
    </row>
    <row r="1710" spans="1:8" ht="14.1" customHeight="1">
      <c r="C1710" s="173"/>
      <c r="D1710" s="437"/>
      <c r="E1710" s="515"/>
      <c r="F1710" s="438" t="s">
        <v>105</v>
      </c>
      <c r="G1710" s="456">
        <f>G1706+G1708</f>
        <v>13.55</v>
      </c>
      <c r="H1710" s="170"/>
    </row>
    <row r="1711" spans="1:8" ht="14.1" customHeight="1">
      <c r="C1711" s="173"/>
      <c r="D1711" s="437"/>
      <c r="E1711" s="515"/>
      <c r="F1711" s="438" t="s">
        <v>106</v>
      </c>
      <c r="G1711" s="457">
        <f>SUM(G1709:G1710)</f>
        <v>23.03</v>
      </c>
      <c r="H1711" s="170"/>
    </row>
    <row r="1712" spans="1:8">
      <c r="A1712" s="516"/>
      <c r="B1712" s="517"/>
      <c r="C1712" s="518"/>
      <c r="D1712" s="516"/>
      <c r="E1712" s="517"/>
      <c r="F1712" s="517"/>
      <c r="G1712" s="517"/>
      <c r="H1712" s="516"/>
    </row>
    <row r="1714" spans="1:9" ht="14.1" customHeight="1">
      <c r="A1714" s="170" t="s">
        <v>1258</v>
      </c>
      <c r="C1714" s="173"/>
      <c r="D1714" s="170"/>
      <c r="E1714" s="193"/>
      <c r="H1714" s="424"/>
    </row>
    <row r="1715" spans="1:9" ht="14.1" customHeight="1">
      <c r="A1715" s="220" t="s">
        <v>1543</v>
      </c>
      <c r="C1715" s="173"/>
      <c r="D1715" s="170"/>
      <c r="E1715" s="193"/>
      <c r="H1715" s="424"/>
    </row>
    <row r="1716" spans="1:9" ht="25.5" customHeight="1">
      <c r="A1716" s="505" t="s">
        <v>1536</v>
      </c>
      <c r="B1716" s="1429" t="s">
        <v>1544</v>
      </c>
      <c r="C1716" s="1429"/>
      <c r="D1716" s="1429"/>
      <c r="E1716" s="506" t="s">
        <v>1538</v>
      </c>
      <c r="G1716" s="506"/>
      <c r="H1716" s="424"/>
    </row>
    <row r="1717" spans="1:9" ht="22.5">
      <c r="A1717" s="502" t="s">
        <v>30</v>
      </c>
      <c r="B1717" s="507" t="s">
        <v>19</v>
      </c>
      <c r="C1717" s="430" t="s">
        <v>92</v>
      </c>
      <c r="D1717" s="431" t="s">
        <v>88</v>
      </c>
      <c r="E1717" s="431" t="s">
        <v>93</v>
      </c>
      <c r="F1717" s="432" t="s">
        <v>94</v>
      </c>
      <c r="G1717" s="508" t="s">
        <v>95</v>
      </c>
      <c r="H1717" s="424"/>
    </row>
    <row r="1718" spans="1:9" ht="14.1" customHeight="1">
      <c r="A1718" s="520" t="s">
        <v>1545</v>
      </c>
      <c r="B1718" s="509" t="s">
        <v>1546</v>
      </c>
      <c r="C1718" s="430" t="s">
        <v>99</v>
      </c>
      <c r="D1718" s="431" t="s">
        <v>88</v>
      </c>
      <c r="E1718" s="492">
        <v>2</v>
      </c>
      <c r="F1718" s="432">
        <v>3.96</v>
      </c>
      <c r="G1718" s="508">
        <f>TRUNC(E1718*F1718,2)</f>
        <v>7.92</v>
      </c>
      <c r="H1718" s="424"/>
    </row>
    <row r="1719" spans="1:9" ht="14.1" customHeight="1">
      <c r="A1719" s="1422">
        <v>88247</v>
      </c>
      <c r="B1719" s="1416" t="s">
        <v>1068</v>
      </c>
      <c r="C1719" s="430" t="s">
        <v>117</v>
      </c>
      <c r="D1719" s="1424" t="s">
        <v>410</v>
      </c>
      <c r="E1719" s="1471">
        <v>0.247</v>
      </c>
      <c r="F1719" s="435">
        <f>G287</f>
        <v>10.98</v>
      </c>
      <c r="G1719" s="511">
        <f>TRUNC(E1719*F1719,2)</f>
        <v>2.71</v>
      </c>
      <c r="H1719" s="424"/>
    </row>
    <row r="1720" spans="1:9" ht="14.1" customHeight="1">
      <c r="A1720" s="1423"/>
      <c r="B1720" s="1417"/>
      <c r="C1720" s="430" t="s">
        <v>99</v>
      </c>
      <c r="D1720" s="1424"/>
      <c r="E1720" s="1472"/>
      <c r="F1720" s="435">
        <f>G288</f>
        <v>4.5600000000000005</v>
      </c>
      <c r="G1720" s="456">
        <f>TRUNC(E1719*F1720,2)</f>
        <v>1.1200000000000001</v>
      </c>
      <c r="H1720" s="424"/>
    </row>
    <row r="1721" spans="1:9" ht="14.1" customHeight="1">
      <c r="A1721" s="1422">
        <v>88264</v>
      </c>
      <c r="B1721" s="1468" t="s">
        <v>306</v>
      </c>
      <c r="C1721" s="430" t="s">
        <v>117</v>
      </c>
      <c r="D1721" s="1424" t="s">
        <v>410</v>
      </c>
      <c r="E1721" s="1471">
        <v>0.247</v>
      </c>
      <c r="F1721" s="435">
        <f>G253</f>
        <v>15.639999999999999</v>
      </c>
      <c r="G1721" s="456">
        <f>TRUNC(E1721*F1721,2)</f>
        <v>3.86</v>
      </c>
      <c r="H1721" s="424"/>
    </row>
    <row r="1722" spans="1:9" ht="14.1" customHeight="1">
      <c r="A1722" s="1423"/>
      <c r="B1722" s="1469"/>
      <c r="C1722" s="430" t="s">
        <v>99</v>
      </c>
      <c r="D1722" s="1424"/>
      <c r="E1722" s="1472"/>
      <c r="F1722" s="435">
        <f>G254</f>
        <v>4.5600000000000005</v>
      </c>
      <c r="G1722" s="456">
        <f>TRUNC(E1721*F1722,2)</f>
        <v>1.1200000000000001</v>
      </c>
      <c r="H1722" s="424"/>
    </row>
    <row r="1723" spans="1:9" ht="14.1" customHeight="1">
      <c r="C1723" s="173"/>
      <c r="D1723" s="437"/>
      <c r="E1723" s="513"/>
      <c r="F1723" s="514" t="s">
        <v>103</v>
      </c>
      <c r="G1723" s="466">
        <f>G1719+G1721</f>
        <v>6.57</v>
      </c>
      <c r="H1723" s="170"/>
    </row>
    <row r="1724" spans="1:9" ht="14.1" customHeight="1">
      <c r="C1724" s="173"/>
      <c r="D1724" s="437"/>
      <c r="E1724" s="515"/>
      <c r="F1724" s="438" t="s">
        <v>105</v>
      </c>
      <c r="G1724" s="456">
        <f>G1718+G1720+G1722</f>
        <v>10.16</v>
      </c>
      <c r="H1724" s="170"/>
    </row>
    <row r="1725" spans="1:9" ht="14.1" customHeight="1">
      <c r="C1725" s="173"/>
      <c r="D1725" s="437"/>
      <c r="E1725" s="515"/>
      <c r="F1725" s="438" t="s">
        <v>106</v>
      </c>
      <c r="G1725" s="457">
        <f>SUM(G1723:G1724)</f>
        <v>16.73</v>
      </c>
      <c r="H1725" s="170"/>
    </row>
    <row r="1726" spans="1:9">
      <c r="A1726" s="516"/>
      <c r="B1726" s="517"/>
      <c r="C1726" s="518"/>
      <c r="D1726" s="516"/>
      <c r="E1726" s="517"/>
      <c r="F1726" s="517"/>
      <c r="G1726" s="517"/>
      <c r="H1726" s="516"/>
      <c r="I1726" s="516"/>
    </row>
    <row r="1728" spans="1:9" ht="14.1" customHeight="1">
      <c r="A1728" s="170" t="s">
        <v>1258</v>
      </c>
      <c r="C1728" s="173"/>
      <c r="D1728" s="170"/>
      <c r="E1728" s="193"/>
      <c r="H1728" s="424"/>
    </row>
    <row r="1729" spans="1:8" ht="14.1" customHeight="1">
      <c r="A1729" s="220" t="s">
        <v>2248</v>
      </c>
      <c r="C1729" s="173"/>
      <c r="D1729" s="170"/>
      <c r="E1729" s="193"/>
      <c r="H1729" s="424"/>
    </row>
    <row r="1730" spans="1:8" ht="26.25" customHeight="1">
      <c r="A1730" s="505" t="s">
        <v>1536</v>
      </c>
      <c r="B1730" s="1429" t="s">
        <v>2247</v>
      </c>
      <c r="C1730" s="1429"/>
      <c r="D1730" s="1429"/>
      <c r="E1730" s="559" t="s">
        <v>1538</v>
      </c>
      <c r="G1730" s="506"/>
      <c r="H1730" s="424"/>
    </row>
    <row r="1731" spans="1:8" ht="22.5">
      <c r="A1731" s="711" t="s">
        <v>30</v>
      </c>
      <c r="B1731" s="507" t="s">
        <v>19</v>
      </c>
      <c r="C1731" s="430" t="s">
        <v>92</v>
      </c>
      <c r="D1731" s="690" t="s">
        <v>88</v>
      </c>
      <c r="E1731" s="690" t="s">
        <v>93</v>
      </c>
      <c r="F1731" s="432" t="s">
        <v>94</v>
      </c>
      <c r="G1731" s="508" t="s">
        <v>95</v>
      </c>
      <c r="H1731" s="424"/>
    </row>
    <row r="1732" spans="1:8" ht="15" customHeight="1">
      <c r="A1732" s="688" t="s">
        <v>1549</v>
      </c>
      <c r="B1732" s="686" t="s">
        <v>1550</v>
      </c>
      <c r="C1732" s="430" t="s">
        <v>99</v>
      </c>
      <c r="D1732" s="690" t="s">
        <v>88</v>
      </c>
      <c r="E1732" s="689">
        <v>2</v>
      </c>
      <c r="F1732" s="432">
        <v>4.51</v>
      </c>
      <c r="G1732" s="508">
        <f>TRUNC(E1732*F1732,2)</f>
        <v>9.02</v>
      </c>
      <c r="H1732" s="424"/>
    </row>
    <row r="1733" spans="1:8" ht="15" customHeight="1">
      <c r="A1733" s="1422">
        <v>88247</v>
      </c>
      <c r="B1733" s="1416" t="s">
        <v>1068</v>
      </c>
      <c r="C1733" s="430" t="s">
        <v>117</v>
      </c>
      <c r="D1733" s="1424" t="s">
        <v>410</v>
      </c>
      <c r="E1733" s="1471">
        <v>0.55500000000000005</v>
      </c>
      <c r="F1733" s="435">
        <f>G287</f>
        <v>10.98</v>
      </c>
      <c r="G1733" s="511">
        <f>TRUNC(E1733*F1733,2)</f>
        <v>6.09</v>
      </c>
      <c r="H1733" s="424"/>
    </row>
    <row r="1734" spans="1:8" ht="15" customHeight="1">
      <c r="A1734" s="1423"/>
      <c r="B1734" s="1417"/>
      <c r="C1734" s="430" t="s">
        <v>99</v>
      </c>
      <c r="D1734" s="1424"/>
      <c r="E1734" s="1472"/>
      <c r="F1734" s="435">
        <f>G288</f>
        <v>4.5600000000000005</v>
      </c>
      <c r="G1734" s="456">
        <f>TRUNC(E1733*F1734,2)</f>
        <v>2.5299999999999998</v>
      </c>
      <c r="H1734" s="424"/>
    </row>
    <row r="1735" spans="1:8" ht="15" customHeight="1">
      <c r="A1735" s="1422">
        <v>88264</v>
      </c>
      <c r="B1735" s="1468" t="s">
        <v>306</v>
      </c>
      <c r="C1735" s="430" t="s">
        <v>117</v>
      </c>
      <c r="D1735" s="1424" t="s">
        <v>410</v>
      </c>
      <c r="E1735" s="1471">
        <v>0.55500000000000005</v>
      </c>
      <c r="F1735" s="435">
        <f>G253</f>
        <v>15.639999999999999</v>
      </c>
      <c r="G1735" s="456">
        <f>TRUNC(E1735*F1735,2)</f>
        <v>8.68</v>
      </c>
      <c r="H1735" s="424"/>
    </row>
    <row r="1736" spans="1:8" ht="15" customHeight="1">
      <c r="A1736" s="1423"/>
      <c r="B1736" s="1469"/>
      <c r="C1736" s="430" t="s">
        <v>99</v>
      </c>
      <c r="D1736" s="1424"/>
      <c r="E1736" s="1472"/>
      <c r="F1736" s="435">
        <f>G254</f>
        <v>4.5600000000000005</v>
      </c>
      <c r="G1736" s="456">
        <f>TRUNC(E1735*F1736,2)</f>
        <v>2.5299999999999998</v>
      </c>
      <c r="H1736" s="424"/>
    </row>
    <row r="1737" spans="1:8" ht="15" customHeight="1">
      <c r="C1737" s="173"/>
      <c r="D1737" s="437"/>
      <c r="E1737" s="513"/>
      <c r="F1737" s="514" t="s">
        <v>103</v>
      </c>
      <c r="G1737" s="466">
        <f>G1733+G1735</f>
        <v>14.77</v>
      </c>
      <c r="H1737" s="170"/>
    </row>
    <row r="1738" spans="1:8" ht="15" customHeight="1">
      <c r="C1738" s="173"/>
      <c r="D1738" s="437"/>
      <c r="E1738" s="515"/>
      <c r="F1738" s="438" t="s">
        <v>105</v>
      </c>
      <c r="G1738" s="456">
        <f>G1732+G1734+G1736</f>
        <v>14.079999999999998</v>
      </c>
      <c r="H1738" s="170"/>
    </row>
    <row r="1739" spans="1:8" ht="15" customHeight="1">
      <c r="C1739" s="173"/>
      <c r="D1739" s="437"/>
      <c r="E1739" s="515"/>
      <c r="F1739" s="438" t="s">
        <v>106</v>
      </c>
      <c r="G1739" s="457">
        <f>SUM(G1737:G1738)</f>
        <v>28.849999999999998</v>
      </c>
      <c r="H1739" s="170"/>
    </row>
    <row r="1740" spans="1:8">
      <c r="A1740" s="516"/>
      <c r="B1740" s="517"/>
      <c r="C1740" s="518"/>
      <c r="D1740" s="516"/>
      <c r="E1740" s="517"/>
      <c r="F1740" s="517"/>
      <c r="G1740" s="517"/>
      <c r="H1740" s="516"/>
    </row>
    <row r="1742" spans="1:8" ht="14.1" customHeight="1">
      <c r="A1742" s="170" t="s">
        <v>1258</v>
      </c>
      <c r="C1742" s="173"/>
      <c r="D1742" s="170"/>
      <c r="E1742" s="193"/>
      <c r="H1742" s="424"/>
    </row>
    <row r="1743" spans="1:8" ht="14.1" customHeight="1">
      <c r="A1743" s="220" t="s">
        <v>1547</v>
      </c>
      <c r="C1743" s="173"/>
      <c r="D1743" s="170"/>
      <c r="E1743" s="193"/>
      <c r="H1743" s="424"/>
    </row>
    <row r="1744" spans="1:8" ht="24" customHeight="1">
      <c r="A1744" s="505" t="s">
        <v>1536</v>
      </c>
      <c r="B1744" s="1429" t="s">
        <v>1548</v>
      </c>
      <c r="C1744" s="1429"/>
      <c r="D1744" s="1429"/>
      <c r="E1744" s="559" t="s">
        <v>1538</v>
      </c>
      <c r="G1744" s="506"/>
      <c r="H1744" s="424"/>
    </row>
    <row r="1745" spans="1:9" ht="22.5">
      <c r="A1745" s="502" t="s">
        <v>30</v>
      </c>
      <c r="B1745" s="507" t="s">
        <v>19</v>
      </c>
      <c r="C1745" s="430" t="s">
        <v>92</v>
      </c>
      <c r="D1745" s="431" t="s">
        <v>88</v>
      </c>
      <c r="E1745" s="431" t="s">
        <v>93</v>
      </c>
      <c r="F1745" s="432" t="s">
        <v>94</v>
      </c>
      <c r="G1745" s="508" t="s">
        <v>95</v>
      </c>
      <c r="H1745" s="424"/>
    </row>
    <row r="1746" spans="1:9" ht="14.1" customHeight="1">
      <c r="A1746" s="1422">
        <v>88247</v>
      </c>
      <c r="B1746" s="1416" t="s">
        <v>1068</v>
      </c>
      <c r="C1746" s="430" t="s">
        <v>117</v>
      </c>
      <c r="D1746" s="1424" t="s">
        <v>410</v>
      </c>
      <c r="E1746" s="1471">
        <v>0.308</v>
      </c>
      <c r="F1746" s="435">
        <f>G287</f>
        <v>10.98</v>
      </c>
      <c r="G1746" s="511">
        <f>TRUNC(E1746*F1746,2)</f>
        <v>3.38</v>
      </c>
      <c r="H1746" s="424"/>
    </row>
    <row r="1747" spans="1:9" ht="14.1" customHeight="1">
      <c r="A1747" s="1423"/>
      <c r="B1747" s="1417"/>
      <c r="C1747" s="430" t="s">
        <v>99</v>
      </c>
      <c r="D1747" s="1424"/>
      <c r="E1747" s="1472"/>
      <c r="F1747" s="435">
        <f>G288</f>
        <v>4.5600000000000005</v>
      </c>
      <c r="G1747" s="456">
        <f>TRUNC(E1746*F1747,2)</f>
        <v>1.4</v>
      </c>
      <c r="H1747" s="424"/>
    </row>
    <row r="1748" spans="1:9" ht="14.1" customHeight="1">
      <c r="A1748" s="1422">
        <v>88264</v>
      </c>
      <c r="B1748" s="1468" t="s">
        <v>306</v>
      </c>
      <c r="C1748" s="430" t="s">
        <v>117</v>
      </c>
      <c r="D1748" s="1424" t="s">
        <v>410</v>
      </c>
      <c r="E1748" s="1471">
        <v>0.308</v>
      </c>
      <c r="F1748" s="435">
        <f>G253</f>
        <v>15.639999999999999</v>
      </c>
      <c r="G1748" s="456">
        <f>TRUNC(E1748*F1748,2)</f>
        <v>4.8099999999999996</v>
      </c>
      <c r="H1748" s="424"/>
    </row>
    <row r="1749" spans="1:9" ht="14.1" customHeight="1">
      <c r="A1749" s="1423"/>
      <c r="B1749" s="1469"/>
      <c r="C1749" s="430" t="s">
        <v>99</v>
      </c>
      <c r="D1749" s="1424"/>
      <c r="E1749" s="1472"/>
      <c r="F1749" s="435">
        <f>G254</f>
        <v>4.5600000000000005</v>
      </c>
      <c r="G1749" s="456">
        <f>TRUNC(E1748*F1749,2)</f>
        <v>1.4</v>
      </c>
      <c r="H1749" s="424"/>
    </row>
    <row r="1750" spans="1:9" ht="14.1" customHeight="1">
      <c r="A1750" s="448" t="s">
        <v>1549</v>
      </c>
      <c r="B1750" s="449" t="s">
        <v>1550</v>
      </c>
      <c r="C1750" s="430" t="s">
        <v>99</v>
      </c>
      <c r="D1750" s="431" t="s">
        <v>88</v>
      </c>
      <c r="E1750" s="519">
        <v>1</v>
      </c>
      <c r="F1750" s="435">
        <v>4.51</v>
      </c>
      <c r="G1750" s="456">
        <f>TRUNC(E1750*F1750,2)</f>
        <v>4.51</v>
      </c>
      <c r="H1750" s="424"/>
    </row>
    <row r="1751" spans="1:9" ht="14.1" customHeight="1">
      <c r="C1751" s="173"/>
      <c r="D1751" s="464"/>
      <c r="E1751" s="513"/>
      <c r="F1751" s="514" t="s">
        <v>103</v>
      </c>
      <c r="G1751" s="466">
        <f>G1746+G1748</f>
        <v>8.19</v>
      </c>
      <c r="H1751" s="170"/>
    </row>
    <row r="1752" spans="1:9" ht="14.1" customHeight="1">
      <c r="C1752" s="173"/>
      <c r="D1752" s="437"/>
      <c r="E1752" s="515"/>
      <c r="F1752" s="438" t="s">
        <v>105</v>
      </c>
      <c r="G1752" s="456">
        <f>G1747+G1749+G1750</f>
        <v>7.31</v>
      </c>
      <c r="H1752" s="170"/>
    </row>
    <row r="1753" spans="1:9" ht="14.1" customHeight="1">
      <c r="C1753" s="173"/>
      <c r="D1753" s="437"/>
      <c r="E1753" s="515"/>
      <c r="F1753" s="438" t="s">
        <v>106</v>
      </c>
      <c r="G1753" s="457">
        <f>SUM(G1751:G1752)</f>
        <v>15.5</v>
      </c>
      <c r="H1753" s="170"/>
    </row>
    <row r="1754" spans="1:9">
      <c r="A1754" s="516"/>
      <c r="B1754" s="517"/>
      <c r="C1754" s="518"/>
      <c r="D1754" s="516"/>
      <c r="E1754" s="517"/>
      <c r="F1754" s="517"/>
      <c r="G1754" s="517"/>
      <c r="H1754" s="516"/>
      <c r="I1754" s="516"/>
    </row>
    <row r="1756" spans="1:9" ht="14.1" customHeight="1">
      <c r="A1756" s="170" t="s">
        <v>1258</v>
      </c>
      <c r="C1756" s="173"/>
      <c r="D1756" s="170"/>
      <c r="E1756" s="193"/>
      <c r="H1756" s="424"/>
    </row>
    <row r="1757" spans="1:9" ht="14.1" customHeight="1">
      <c r="A1757" s="220" t="s">
        <v>1763</v>
      </c>
      <c r="C1757" s="173"/>
      <c r="D1757" s="170"/>
      <c r="E1757" s="193"/>
      <c r="H1757" s="424"/>
    </row>
    <row r="1758" spans="1:9" ht="26.25" customHeight="1">
      <c r="A1758" s="505" t="s">
        <v>1536</v>
      </c>
      <c r="B1758" s="1429" t="s">
        <v>1762</v>
      </c>
      <c r="C1758" s="1429"/>
      <c r="D1758" s="1429"/>
      <c r="E1758" s="559" t="s">
        <v>1538</v>
      </c>
      <c r="G1758" s="506"/>
      <c r="H1758" s="424"/>
    </row>
    <row r="1759" spans="1:9" ht="22.5">
      <c r="A1759" s="711" t="s">
        <v>30</v>
      </c>
      <c r="B1759" s="507" t="s">
        <v>19</v>
      </c>
      <c r="C1759" s="430" t="s">
        <v>92</v>
      </c>
      <c r="D1759" s="690" t="s">
        <v>88</v>
      </c>
      <c r="E1759" s="690" t="s">
        <v>93</v>
      </c>
      <c r="F1759" s="432" t="s">
        <v>94</v>
      </c>
      <c r="G1759" s="508" t="s">
        <v>95</v>
      </c>
      <c r="H1759" s="424"/>
    </row>
    <row r="1760" spans="1:9" ht="14.1" customHeight="1">
      <c r="A1760" s="688" t="s">
        <v>1765</v>
      </c>
      <c r="B1760" s="728" t="s">
        <v>1766</v>
      </c>
      <c r="C1760" s="430" t="s">
        <v>99</v>
      </c>
      <c r="D1760" s="687" t="s">
        <v>408</v>
      </c>
      <c r="E1760" s="691">
        <v>1</v>
      </c>
      <c r="F1760" s="432">
        <v>5.77</v>
      </c>
      <c r="G1760" s="456">
        <f>TRUNC(E1760*F1760,2)</f>
        <v>5.77</v>
      </c>
      <c r="H1760" s="424"/>
    </row>
    <row r="1761" spans="1:8" ht="15.95" customHeight="1">
      <c r="A1761" s="692">
        <v>88247</v>
      </c>
      <c r="B1761" s="1468" t="s">
        <v>1068</v>
      </c>
      <c r="C1761" s="430" t="s">
        <v>117</v>
      </c>
      <c r="D1761" s="1427" t="s">
        <v>410</v>
      </c>
      <c r="E1761" s="1471">
        <v>0.308</v>
      </c>
      <c r="F1761" s="501">
        <f>G287</f>
        <v>10.98</v>
      </c>
      <c r="G1761" s="508">
        <f>TRUNC(E1761*F1761,2)</f>
        <v>3.38</v>
      </c>
      <c r="H1761" s="424"/>
    </row>
    <row r="1762" spans="1:8" ht="15.95" customHeight="1">
      <c r="A1762" s="693"/>
      <c r="B1762" s="1469"/>
      <c r="C1762" s="430" t="s">
        <v>99</v>
      </c>
      <c r="D1762" s="1428"/>
      <c r="E1762" s="1472"/>
      <c r="F1762" s="501">
        <f>G288</f>
        <v>4.5600000000000005</v>
      </c>
      <c r="G1762" s="456">
        <f>TRUNC(E1761*F1762,2)</f>
        <v>1.4</v>
      </c>
      <c r="H1762" s="424"/>
    </row>
    <row r="1763" spans="1:8" ht="15.95" customHeight="1">
      <c r="A1763" s="692">
        <v>88264</v>
      </c>
      <c r="B1763" s="1468" t="s">
        <v>306</v>
      </c>
      <c r="C1763" s="430" t="s">
        <v>117</v>
      </c>
      <c r="D1763" s="1427" t="s">
        <v>410</v>
      </c>
      <c r="E1763" s="1471">
        <v>0.308</v>
      </c>
      <c r="F1763" s="435">
        <f>G253</f>
        <v>15.639999999999999</v>
      </c>
      <c r="G1763" s="456">
        <f>TRUNC(E1763*F1763,2)</f>
        <v>4.8099999999999996</v>
      </c>
      <c r="H1763" s="424"/>
    </row>
    <row r="1764" spans="1:8" ht="15.95" customHeight="1">
      <c r="A1764" s="693"/>
      <c r="B1764" s="1469"/>
      <c r="C1764" s="430" t="s">
        <v>99</v>
      </c>
      <c r="D1764" s="1428"/>
      <c r="E1764" s="1472"/>
      <c r="F1764" s="435">
        <f>G254</f>
        <v>4.5600000000000005</v>
      </c>
      <c r="G1764" s="456">
        <f t="shared" ref="G1764" si="84">TRUNC(E1763*F1764,2)</f>
        <v>1.4</v>
      </c>
      <c r="H1764" s="424"/>
    </row>
    <row r="1765" spans="1:8" ht="15" customHeight="1">
      <c r="C1765" s="173"/>
      <c r="D1765" s="464"/>
      <c r="E1765" s="513"/>
      <c r="F1765" s="514" t="s">
        <v>103</v>
      </c>
      <c r="G1765" s="466">
        <f>G1761+G1763</f>
        <v>8.19</v>
      </c>
      <c r="H1765" s="170"/>
    </row>
    <row r="1766" spans="1:8" ht="15" customHeight="1">
      <c r="C1766" s="173"/>
      <c r="D1766" s="437"/>
      <c r="E1766" s="515"/>
      <c r="F1766" s="438" t="s">
        <v>105</v>
      </c>
      <c r="G1766" s="456">
        <f>G1760+G1762+G1764</f>
        <v>8.57</v>
      </c>
      <c r="H1766" s="170"/>
    </row>
    <row r="1767" spans="1:8" ht="15" customHeight="1">
      <c r="C1767" s="173"/>
      <c r="D1767" s="437"/>
      <c r="E1767" s="515"/>
      <c r="F1767" s="438" t="s">
        <v>106</v>
      </c>
      <c r="G1767" s="457">
        <f>SUM(G1765:G1766)</f>
        <v>16.759999999999998</v>
      </c>
      <c r="H1767" s="170"/>
    </row>
    <row r="1768" spans="1:8">
      <c r="A1768" s="516"/>
      <c r="B1768" s="517"/>
      <c r="C1768" s="518"/>
      <c r="D1768" s="516"/>
      <c r="E1768" s="517"/>
      <c r="F1768" s="517"/>
      <c r="G1768" s="517"/>
      <c r="H1768" s="516"/>
    </row>
    <row r="1770" spans="1:8" ht="14.1" customHeight="1">
      <c r="A1770" s="170" t="s">
        <v>1258</v>
      </c>
      <c r="C1770" s="173"/>
      <c r="D1770" s="170"/>
      <c r="E1770" s="193"/>
      <c r="H1770" s="424"/>
    </row>
    <row r="1771" spans="1:8" ht="14.1" customHeight="1">
      <c r="A1771" s="220" t="s">
        <v>1747</v>
      </c>
      <c r="C1771" s="173"/>
      <c r="D1771" s="170"/>
      <c r="E1771" s="193"/>
      <c r="H1771" s="424"/>
    </row>
    <row r="1772" spans="1:8" ht="26.25" customHeight="1">
      <c r="A1772" s="505" t="s">
        <v>1536</v>
      </c>
      <c r="B1772" s="1429" t="s">
        <v>1748</v>
      </c>
      <c r="C1772" s="1429"/>
      <c r="D1772" s="1429"/>
      <c r="E1772" s="559" t="s">
        <v>1538</v>
      </c>
      <c r="G1772" s="506"/>
      <c r="H1772" s="424"/>
    </row>
    <row r="1773" spans="1:8" ht="22.5">
      <c r="A1773" s="711" t="s">
        <v>30</v>
      </c>
      <c r="B1773" s="507" t="s">
        <v>19</v>
      </c>
      <c r="C1773" s="430" t="s">
        <v>92</v>
      </c>
      <c r="D1773" s="690" t="s">
        <v>88</v>
      </c>
      <c r="E1773" s="690" t="s">
        <v>93</v>
      </c>
      <c r="F1773" s="432" t="s">
        <v>94</v>
      </c>
      <c r="G1773" s="508" t="s">
        <v>95</v>
      </c>
      <c r="H1773" s="424"/>
    </row>
    <row r="1774" spans="1:8" ht="20.100000000000001" customHeight="1">
      <c r="A1774" s="1422" t="s">
        <v>1749</v>
      </c>
      <c r="B1774" s="1468" t="s">
        <v>1537</v>
      </c>
      <c r="C1774" s="430" t="s">
        <v>117</v>
      </c>
      <c r="D1774" s="1427" t="s">
        <v>408</v>
      </c>
      <c r="E1774" s="1471">
        <v>1</v>
      </c>
      <c r="F1774" s="501">
        <f>G1682</f>
        <v>2.91</v>
      </c>
      <c r="G1774" s="508">
        <f>TRUNC(E1774*F1774,2)</f>
        <v>2.91</v>
      </c>
      <c r="H1774" s="424"/>
    </row>
    <row r="1775" spans="1:8" ht="20.100000000000001" customHeight="1">
      <c r="A1775" s="1423"/>
      <c r="B1775" s="1469"/>
      <c r="C1775" s="430" t="s">
        <v>99</v>
      </c>
      <c r="D1775" s="1428"/>
      <c r="E1775" s="1472"/>
      <c r="F1775" s="501">
        <f>G1683</f>
        <v>3.3899999999999997</v>
      </c>
      <c r="G1775" s="456">
        <f>TRUNC(E1774*F1775,2)</f>
        <v>3.39</v>
      </c>
      <c r="H1775" s="424"/>
    </row>
    <row r="1776" spans="1:8" ht="18" customHeight="1">
      <c r="A1776" s="1422" t="s">
        <v>1750</v>
      </c>
      <c r="B1776" s="1468" t="s">
        <v>1751</v>
      </c>
      <c r="C1776" s="430" t="s">
        <v>117</v>
      </c>
      <c r="D1776" s="1427" t="s">
        <v>408</v>
      </c>
      <c r="E1776" s="1471">
        <v>1</v>
      </c>
      <c r="F1776" s="435">
        <f>G1751</f>
        <v>8.19</v>
      </c>
      <c r="G1776" s="456">
        <f>TRUNC(E1776*F1776,2)</f>
        <v>8.19</v>
      </c>
      <c r="H1776" s="424"/>
    </row>
    <row r="1777" spans="1:8" ht="18" customHeight="1">
      <c r="A1777" s="1423"/>
      <c r="B1777" s="1469"/>
      <c r="C1777" s="430" t="s">
        <v>99</v>
      </c>
      <c r="D1777" s="1428"/>
      <c r="E1777" s="1472"/>
      <c r="F1777" s="435">
        <f>G1752</f>
        <v>7.31</v>
      </c>
      <c r="G1777" s="456">
        <f t="shared" ref="G1777" si="85">TRUNC(E1776*F1777,2)</f>
        <v>7.31</v>
      </c>
      <c r="H1777" s="424"/>
    </row>
    <row r="1778" spans="1:8" ht="15" customHeight="1">
      <c r="C1778" s="173"/>
      <c r="D1778" s="464"/>
      <c r="E1778" s="513"/>
      <c r="F1778" s="514" t="s">
        <v>103</v>
      </c>
      <c r="G1778" s="466">
        <f>G1774+G1776</f>
        <v>11.1</v>
      </c>
      <c r="H1778" s="170"/>
    </row>
    <row r="1779" spans="1:8" ht="15" customHeight="1">
      <c r="C1779" s="173"/>
      <c r="D1779" s="437"/>
      <c r="E1779" s="515"/>
      <c r="F1779" s="438" t="s">
        <v>105</v>
      </c>
      <c r="G1779" s="456">
        <f>G1775+G1777</f>
        <v>10.7</v>
      </c>
      <c r="H1779" s="170"/>
    </row>
    <row r="1780" spans="1:8" ht="15" customHeight="1">
      <c r="C1780" s="173"/>
      <c r="D1780" s="437"/>
      <c r="E1780" s="515"/>
      <c r="F1780" s="438" t="s">
        <v>106</v>
      </c>
      <c r="G1780" s="457">
        <f>SUM(G1778:G1779)</f>
        <v>21.799999999999997</v>
      </c>
      <c r="H1780" s="560"/>
    </row>
    <row r="1781" spans="1:8">
      <c r="A1781" s="516"/>
      <c r="B1781" s="517"/>
      <c r="C1781" s="518"/>
      <c r="D1781" s="516"/>
      <c r="E1781" s="517"/>
      <c r="F1781" s="517"/>
      <c r="G1781" s="517"/>
      <c r="H1781" s="516"/>
    </row>
    <row r="1783" spans="1:8" ht="14.1" customHeight="1">
      <c r="A1783" s="170" t="s">
        <v>1258</v>
      </c>
      <c r="C1783" s="173"/>
      <c r="D1783" s="170"/>
      <c r="E1783" s="193"/>
      <c r="H1783" s="424"/>
    </row>
    <row r="1784" spans="1:8" ht="14.1" customHeight="1">
      <c r="A1784" s="220" t="s">
        <v>1760</v>
      </c>
      <c r="C1784" s="173"/>
      <c r="D1784" s="170"/>
      <c r="E1784" s="193"/>
      <c r="H1784" s="424"/>
    </row>
    <row r="1785" spans="1:8" ht="27.75" customHeight="1">
      <c r="A1785" s="505" t="s">
        <v>1536</v>
      </c>
      <c r="B1785" s="1429" t="s">
        <v>1761</v>
      </c>
      <c r="C1785" s="1429"/>
      <c r="D1785" s="1429"/>
      <c r="E1785" s="559" t="s">
        <v>1538</v>
      </c>
      <c r="G1785" s="506"/>
      <c r="H1785" s="424"/>
    </row>
    <row r="1786" spans="1:8" ht="22.5">
      <c r="A1786" s="711" t="s">
        <v>30</v>
      </c>
      <c r="B1786" s="507" t="s">
        <v>19</v>
      </c>
      <c r="C1786" s="430" t="s">
        <v>92</v>
      </c>
      <c r="D1786" s="690" t="s">
        <v>88</v>
      </c>
      <c r="E1786" s="690" t="s">
        <v>93</v>
      </c>
      <c r="F1786" s="432" t="s">
        <v>94</v>
      </c>
      <c r="G1786" s="508" t="s">
        <v>95</v>
      </c>
      <c r="H1786" s="424"/>
    </row>
    <row r="1787" spans="1:8" ht="18" customHeight="1">
      <c r="A1787" s="1422" t="s">
        <v>1749</v>
      </c>
      <c r="B1787" s="1468" t="s">
        <v>1537</v>
      </c>
      <c r="C1787" s="430" t="s">
        <v>117</v>
      </c>
      <c r="D1787" s="1427" t="s">
        <v>408</v>
      </c>
      <c r="E1787" s="1471">
        <v>1</v>
      </c>
      <c r="F1787" s="501">
        <f>G1682</f>
        <v>2.91</v>
      </c>
      <c r="G1787" s="511">
        <f>TRUNC(E1787*F1787,2)</f>
        <v>2.91</v>
      </c>
      <c r="H1787" s="424"/>
    </row>
    <row r="1788" spans="1:8" ht="18" customHeight="1">
      <c r="A1788" s="1423"/>
      <c r="B1788" s="1469"/>
      <c r="C1788" s="430" t="s">
        <v>99</v>
      </c>
      <c r="D1788" s="1428"/>
      <c r="E1788" s="1472"/>
      <c r="F1788" s="501">
        <f>G1683</f>
        <v>3.3899999999999997</v>
      </c>
      <c r="G1788" s="456">
        <f>TRUNC(E1787*F1788,2)</f>
        <v>3.39</v>
      </c>
      <c r="H1788" s="424"/>
    </row>
    <row r="1789" spans="1:8" ht="18" customHeight="1">
      <c r="A1789" s="1422">
        <v>91995</v>
      </c>
      <c r="B1789" s="1468" t="s">
        <v>1764</v>
      </c>
      <c r="C1789" s="430" t="s">
        <v>117</v>
      </c>
      <c r="D1789" s="1427" t="s">
        <v>408</v>
      </c>
      <c r="E1789" s="1471">
        <v>1</v>
      </c>
      <c r="F1789" s="435">
        <f>G1765</f>
        <v>8.19</v>
      </c>
      <c r="G1789" s="456">
        <f>TRUNC(E1789*F1789,2)</f>
        <v>8.19</v>
      </c>
      <c r="H1789" s="424"/>
    </row>
    <row r="1790" spans="1:8" ht="18" customHeight="1">
      <c r="A1790" s="1423"/>
      <c r="B1790" s="1469"/>
      <c r="C1790" s="430" t="s">
        <v>99</v>
      </c>
      <c r="D1790" s="1428"/>
      <c r="E1790" s="1472"/>
      <c r="F1790" s="435">
        <f>G1766</f>
        <v>8.57</v>
      </c>
      <c r="G1790" s="456">
        <f t="shared" ref="G1790" si="86">TRUNC(E1789*F1790,2)</f>
        <v>8.57</v>
      </c>
      <c r="H1790" s="424"/>
    </row>
    <row r="1791" spans="1:8" ht="18" customHeight="1">
      <c r="C1791" s="173"/>
      <c r="D1791" s="464"/>
      <c r="E1791" s="513"/>
      <c r="F1791" s="514" t="s">
        <v>103</v>
      </c>
      <c r="G1791" s="466">
        <f>G1787+G1789</f>
        <v>11.1</v>
      </c>
      <c r="H1791" s="170"/>
    </row>
    <row r="1792" spans="1:8" ht="18" customHeight="1">
      <c r="C1792" s="173"/>
      <c r="D1792" s="437"/>
      <c r="E1792" s="515"/>
      <c r="F1792" s="438" t="s">
        <v>105</v>
      </c>
      <c r="G1792" s="456">
        <f>G1788+G1790</f>
        <v>11.96</v>
      </c>
      <c r="H1792" s="170"/>
    </row>
    <row r="1793" spans="1:8" ht="18" customHeight="1">
      <c r="C1793" s="173"/>
      <c r="D1793" s="437"/>
      <c r="E1793" s="515"/>
      <c r="F1793" s="438" t="s">
        <v>106</v>
      </c>
      <c r="G1793" s="457">
        <f>SUM(G1791:G1792)</f>
        <v>23.060000000000002</v>
      </c>
      <c r="H1793" s="560"/>
    </row>
    <row r="1794" spans="1:8">
      <c r="A1794" s="516"/>
      <c r="B1794" s="517"/>
      <c r="C1794" s="518"/>
      <c r="D1794" s="516"/>
      <c r="E1794" s="517"/>
      <c r="F1794" s="517"/>
      <c r="G1794" s="517"/>
      <c r="H1794" s="516"/>
    </row>
    <row r="1796" spans="1:8">
      <c r="A1796" s="170" t="s">
        <v>1258</v>
      </c>
      <c r="C1796" s="173"/>
      <c r="D1796" s="170"/>
      <c r="E1796" s="193"/>
      <c r="H1796" s="424"/>
    </row>
    <row r="1797" spans="1:8">
      <c r="A1797" s="220" t="s">
        <v>1763</v>
      </c>
      <c r="C1797" s="173"/>
      <c r="D1797" s="170"/>
      <c r="E1797" s="193"/>
      <c r="H1797" s="424"/>
    </row>
    <row r="1798" spans="1:8" ht="22.5" customHeight="1">
      <c r="A1798" s="505" t="s">
        <v>1536</v>
      </c>
      <c r="B1798" s="1429" t="s">
        <v>1762</v>
      </c>
      <c r="C1798" s="1429"/>
      <c r="D1798" s="1429"/>
      <c r="E1798" s="559" t="s">
        <v>1538</v>
      </c>
      <c r="G1798" s="506"/>
      <c r="H1798" s="424"/>
    </row>
    <row r="1799" spans="1:8" ht="22.5">
      <c r="A1799" s="711" t="s">
        <v>30</v>
      </c>
      <c r="B1799" s="507" t="s">
        <v>19</v>
      </c>
      <c r="C1799" s="430" t="s">
        <v>92</v>
      </c>
      <c r="D1799" s="690" t="s">
        <v>88</v>
      </c>
      <c r="E1799" s="690" t="s">
        <v>93</v>
      </c>
      <c r="F1799" s="432" t="s">
        <v>94</v>
      </c>
      <c r="G1799" s="508" t="s">
        <v>95</v>
      </c>
      <c r="H1799" s="424"/>
    </row>
    <row r="1800" spans="1:8" ht="14.1" customHeight="1">
      <c r="A1800" s="688" t="s">
        <v>1765</v>
      </c>
      <c r="B1800" s="728" t="s">
        <v>1766</v>
      </c>
      <c r="C1800" s="430" t="s">
        <v>99</v>
      </c>
      <c r="D1800" s="687" t="s">
        <v>408</v>
      </c>
      <c r="E1800" s="691">
        <v>1</v>
      </c>
      <c r="F1800" s="432">
        <v>5.77</v>
      </c>
      <c r="G1800" s="456">
        <f>TRUNC(E1800*F1800,2)</f>
        <v>5.77</v>
      </c>
      <c r="H1800" s="424"/>
    </row>
    <row r="1801" spans="1:8" ht="14.1" customHeight="1">
      <c r="A1801" s="692">
        <v>88247</v>
      </c>
      <c r="B1801" s="1468" t="s">
        <v>1068</v>
      </c>
      <c r="C1801" s="430" t="s">
        <v>117</v>
      </c>
      <c r="D1801" s="1427" t="s">
        <v>410</v>
      </c>
      <c r="E1801" s="1471">
        <v>0.308</v>
      </c>
      <c r="F1801" s="501">
        <f>G287</f>
        <v>10.98</v>
      </c>
      <c r="G1801" s="508">
        <f>TRUNC(E1801*F1801,2)</f>
        <v>3.38</v>
      </c>
      <c r="H1801" s="424"/>
    </row>
    <row r="1802" spans="1:8" ht="14.1" customHeight="1">
      <c r="A1802" s="693"/>
      <c r="B1802" s="1469"/>
      <c r="C1802" s="430" t="s">
        <v>99</v>
      </c>
      <c r="D1802" s="1428"/>
      <c r="E1802" s="1472"/>
      <c r="F1802" s="501">
        <f>G288</f>
        <v>4.5600000000000005</v>
      </c>
      <c r="G1802" s="456">
        <f>TRUNC(E1801*F1802,2)</f>
        <v>1.4</v>
      </c>
      <c r="H1802" s="424"/>
    </row>
    <row r="1803" spans="1:8" ht="14.1" customHeight="1">
      <c r="A1803" s="692">
        <v>88264</v>
      </c>
      <c r="B1803" s="1468" t="s">
        <v>306</v>
      </c>
      <c r="C1803" s="430" t="s">
        <v>117</v>
      </c>
      <c r="D1803" s="1427" t="s">
        <v>410</v>
      </c>
      <c r="E1803" s="1471">
        <v>0.308</v>
      </c>
      <c r="F1803" s="435">
        <f>G253</f>
        <v>15.639999999999999</v>
      </c>
      <c r="G1803" s="456">
        <f>TRUNC(E1803*F1803,2)</f>
        <v>4.8099999999999996</v>
      </c>
      <c r="H1803" s="424"/>
    </row>
    <row r="1804" spans="1:8" ht="14.1" customHeight="1">
      <c r="A1804" s="693"/>
      <c r="B1804" s="1469"/>
      <c r="C1804" s="430" t="s">
        <v>99</v>
      </c>
      <c r="D1804" s="1428"/>
      <c r="E1804" s="1472"/>
      <c r="F1804" s="435">
        <f>G254</f>
        <v>4.5600000000000005</v>
      </c>
      <c r="G1804" s="456">
        <f t="shared" ref="G1804" si="87">TRUNC(E1803*F1804,2)</f>
        <v>1.4</v>
      </c>
      <c r="H1804" s="424"/>
    </row>
    <row r="1805" spans="1:8" ht="14.1" customHeight="1">
      <c r="C1805" s="173"/>
      <c r="D1805" s="464"/>
      <c r="E1805" s="513"/>
      <c r="F1805" s="514" t="s">
        <v>103</v>
      </c>
      <c r="G1805" s="466">
        <f>G1801+G1803</f>
        <v>8.19</v>
      </c>
      <c r="H1805" s="170"/>
    </row>
    <row r="1806" spans="1:8" ht="14.1" customHeight="1">
      <c r="C1806" s="173"/>
      <c r="D1806" s="437"/>
      <c r="E1806" s="515"/>
      <c r="F1806" s="438" t="s">
        <v>105</v>
      </c>
      <c r="G1806" s="456">
        <f>G1800+G1802+G1804</f>
        <v>8.57</v>
      </c>
      <c r="H1806" s="170"/>
    </row>
    <row r="1807" spans="1:8" ht="14.1" customHeight="1">
      <c r="C1807" s="173"/>
      <c r="D1807" s="437"/>
      <c r="E1807" s="515"/>
      <c r="F1807" s="438" t="s">
        <v>106</v>
      </c>
      <c r="G1807" s="457">
        <f>SUM(G1805:G1806)</f>
        <v>16.759999999999998</v>
      </c>
      <c r="H1807" s="560"/>
    </row>
    <row r="1808" spans="1:8">
      <c r="A1808" s="516"/>
      <c r="B1808" s="517"/>
      <c r="C1808" s="518"/>
      <c r="D1808" s="516"/>
      <c r="E1808" s="517"/>
      <c r="F1808" s="517"/>
      <c r="G1808" s="517"/>
      <c r="H1808" s="516"/>
    </row>
    <row r="1810" spans="1:8">
      <c r="A1810" s="170" t="s">
        <v>1258</v>
      </c>
      <c r="C1810" s="173"/>
      <c r="D1810" s="170"/>
      <c r="E1810" s="193"/>
      <c r="H1810" s="424"/>
    </row>
    <row r="1811" spans="1:8">
      <c r="A1811" s="220" t="s">
        <v>1794</v>
      </c>
      <c r="C1811" s="173"/>
      <c r="D1811" s="170"/>
      <c r="E1811" s="193"/>
      <c r="H1811" s="424"/>
    </row>
    <row r="1812" spans="1:8" ht="27.75" customHeight="1">
      <c r="A1812" s="505" t="s">
        <v>1536</v>
      </c>
      <c r="B1812" s="1429" t="s">
        <v>1786</v>
      </c>
      <c r="C1812" s="1429"/>
      <c r="D1812" s="1429"/>
      <c r="E1812" s="559" t="s">
        <v>1538</v>
      </c>
      <c r="G1812" s="506"/>
      <c r="H1812" s="424"/>
    </row>
    <row r="1813" spans="1:8" ht="22.5">
      <c r="A1813" s="711" t="s">
        <v>30</v>
      </c>
      <c r="B1813" s="507" t="s">
        <v>19</v>
      </c>
      <c r="C1813" s="430" t="s">
        <v>92</v>
      </c>
      <c r="D1813" s="690" t="s">
        <v>88</v>
      </c>
      <c r="E1813" s="690" t="s">
        <v>93</v>
      </c>
      <c r="F1813" s="432" t="s">
        <v>94</v>
      </c>
      <c r="G1813" s="508" t="s">
        <v>95</v>
      </c>
      <c r="H1813" s="424"/>
    </row>
    <row r="1814" spans="1:8" ht="27" customHeight="1">
      <c r="A1814" s="688" t="s">
        <v>1791</v>
      </c>
      <c r="B1814" s="686" t="s">
        <v>1792</v>
      </c>
      <c r="C1814" s="430" t="s">
        <v>99</v>
      </c>
      <c r="D1814" s="687" t="s">
        <v>418</v>
      </c>
      <c r="E1814" s="691">
        <v>1.0609999999999999</v>
      </c>
      <c r="F1814" s="432">
        <v>2.87</v>
      </c>
      <c r="G1814" s="456">
        <f>TRUNC(E1814*F1814,2)</f>
        <v>3.04</v>
      </c>
      <c r="H1814" s="424"/>
    </row>
    <row r="1815" spans="1:8" ht="16.5" customHeight="1">
      <c r="A1815" s="688" t="s">
        <v>329</v>
      </c>
      <c r="B1815" s="686" t="s">
        <v>1793</v>
      </c>
      <c r="C1815" s="430" t="s">
        <v>99</v>
      </c>
      <c r="D1815" s="687" t="s">
        <v>408</v>
      </c>
      <c r="E1815" s="691">
        <v>0.123</v>
      </c>
      <c r="F1815" s="432">
        <v>1.64</v>
      </c>
      <c r="G1815" s="456">
        <f>TRUNC(E1815*F1815,2)</f>
        <v>0.2</v>
      </c>
      <c r="H1815" s="424"/>
    </row>
    <row r="1816" spans="1:8" ht="15" customHeight="1">
      <c r="A1816" s="1422">
        <v>88248</v>
      </c>
      <c r="B1816" s="1468" t="s">
        <v>334</v>
      </c>
      <c r="C1816" s="430" t="s">
        <v>117</v>
      </c>
      <c r="D1816" s="1427" t="s">
        <v>410</v>
      </c>
      <c r="E1816" s="1471">
        <v>0.308</v>
      </c>
      <c r="F1816" s="501">
        <f>G321</f>
        <v>10.9</v>
      </c>
      <c r="G1816" s="511">
        <f>TRUNC(E1816*F1816,2)</f>
        <v>3.35</v>
      </c>
      <c r="H1816" s="424"/>
    </row>
    <row r="1817" spans="1:8" ht="15" customHeight="1">
      <c r="A1817" s="1423"/>
      <c r="B1817" s="1469"/>
      <c r="C1817" s="430" t="s">
        <v>99</v>
      </c>
      <c r="D1817" s="1428"/>
      <c r="E1817" s="1472"/>
      <c r="F1817" s="501">
        <f>G322</f>
        <v>4.5600000000000005</v>
      </c>
      <c r="G1817" s="456">
        <f>TRUNC(E1816*F1817,2)</f>
        <v>1.4</v>
      </c>
      <c r="H1817" s="424"/>
    </row>
    <row r="1818" spans="1:8" ht="15" customHeight="1">
      <c r="A1818" s="1422">
        <v>88267</v>
      </c>
      <c r="B1818" s="1468" t="s">
        <v>298</v>
      </c>
      <c r="C1818" s="430" t="s">
        <v>117</v>
      </c>
      <c r="D1818" s="1427" t="s">
        <v>410</v>
      </c>
      <c r="E1818" s="1471">
        <v>0.308</v>
      </c>
      <c r="F1818" s="435">
        <f>G338</f>
        <v>15.41</v>
      </c>
      <c r="G1818" s="456">
        <f>TRUNC(E1818*F1818,2)</f>
        <v>4.74</v>
      </c>
      <c r="H1818" s="424"/>
    </row>
    <row r="1819" spans="1:8" ht="15" customHeight="1">
      <c r="A1819" s="1423"/>
      <c r="B1819" s="1469"/>
      <c r="C1819" s="430" t="s">
        <v>99</v>
      </c>
      <c r="D1819" s="1428"/>
      <c r="E1819" s="1472"/>
      <c r="F1819" s="435">
        <f>G339</f>
        <v>4.5600000000000005</v>
      </c>
      <c r="G1819" s="456">
        <f t="shared" ref="G1819" si="88">TRUNC(E1818*F1819,2)</f>
        <v>1.4</v>
      </c>
      <c r="H1819" s="424"/>
    </row>
    <row r="1820" spans="1:8" ht="15" customHeight="1">
      <c r="C1820" s="173"/>
      <c r="D1820" s="464"/>
      <c r="E1820" s="513"/>
      <c r="F1820" s="514" t="s">
        <v>103</v>
      </c>
      <c r="G1820" s="466">
        <f>G1816+G1818</f>
        <v>8.09</v>
      </c>
      <c r="H1820" s="170"/>
    </row>
    <row r="1821" spans="1:8" ht="15" customHeight="1">
      <c r="C1821" s="173"/>
      <c r="D1821" s="437"/>
      <c r="E1821" s="515"/>
      <c r="F1821" s="438" t="s">
        <v>105</v>
      </c>
      <c r="G1821" s="456">
        <f>G1814+G1815+G1817+G1819</f>
        <v>6.0400000000000009</v>
      </c>
      <c r="H1821" s="170"/>
    </row>
    <row r="1822" spans="1:8" ht="15" customHeight="1">
      <c r="C1822" s="173"/>
      <c r="D1822" s="437"/>
      <c r="E1822" s="515"/>
      <c r="F1822" s="438" t="s">
        <v>106</v>
      </c>
      <c r="G1822" s="457">
        <f>SUM(G1820:G1821)</f>
        <v>14.13</v>
      </c>
      <c r="H1822" s="560"/>
    </row>
    <row r="1823" spans="1:8">
      <c r="A1823" s="516"/>
      <c r="B1823" s="517"/>
      <c r="C1823" s="518"/>
      <c r="D1823" s="516"/>
      <c r="E1823" s="517"/>
      <c r="F1823" s="517"/>
      <c r="G1823" s="517"/>
      <c r="H1823" s="516"/>
    </row>
    <row r="1825" spans="1:8">
      <c r="A1825" s="170" t="s">
        <v>1258</v>
      </c>
      <c r="C1825" s="173"/>
      <c r="D1825" s="170"/>
      <c r="E1825" s="193"/>
      <c r="H1825" s="424"/>
    </row>
    <row r="1826" spans="1:8">
      <c r="A1826" s="220" t="s">
        <v>1795</v>
      </c>
      <c r="C1826" s="173"/>
      <c r="D1826" s="170"/>
      <c r="E1826" s="193"/>
      <c r="H1826" s="424"/>
    </row>
    <row r="1827" spans="1:8" ht="27" customHeight="1">
      <c r="A1827" s="505" t="s">
        <v>1536</v>
      </c>
      <c r="B1827" s="1429" t="s">
        <v>1787</v>
      </c>
      <c r="C1827" s="1429"/>
      <c r="D1827" s="1429"/>
      <c r="E1827" s="559" t="s">
        <v>1538</v>
      </c>
      <c r="G1827" s="506"/>
      <c r="H1827" s="424"/>
    </row>
    <row r="1828" spans="1:8" ht="22.5">
      <c r="A1828" s="711" t="s">
        <v>30</v>
      </c>
      <c r="B1828" s="507" t="s">
        <v>19</v>
      </c>
      <c r="C1828" s="430" t="s">
        <v>92</v>
      </c>
      <c r="D1828" s="690" t="s">
        <v>88</v>
      </c>
      <c r="E1828" s="690" t="s">
        <v>93</v>
      </c>
      <c r="F1828" s="432" t="s">
        <v>94</v>
      </c>
      <c r="G1828" s="508" t="s">
        <v>95</v>
      </c>
      <c r="H1828" s="424"/>
    </row>
    <row r="1829" spans="1:8" ht="14.1" customHeight="1">
      <c r="A1829" s="688" t="s">
        <v>320</v>
      </c>
      <c r="B1829" s="686" t="s">
        <v>321</v>
      </c>
      <c r="C1829" s="430" t="s">
        <v>99</v>
      </c>
      <c r="D1829" s="687" t="s">
        <v>408</v>
      </c>
      <c r="E1829" s="691">
        <v>7.0000000000000001E-3</v>
      </c>
      <c r="F1829" s="432">
        <v>49.68</v>
      </c>
      <c r="G1829" s="456">
        <f>TRUNC(E1829*F1829,2)</f>
        <v>0.34</v>
      </c>
      <c r="H1829" s="424"/>
    </row>
    <row r="1830" spans="1:8" ht="22.5">
      <c r="A1830" s="688" t="s">
        <v>1796</v>
      </c>
      <c r="B1830" s="686" t="s">
        <v>1797</v>
      </c>
      <c r="C1830" s="430" t="s">
        <v>99</v>
      </c>
      <c r="D1830" s="687" t="s">
        <v>408</v>
      </c>
      <c r="E1830" s="691">
        <v>1</v>
      </c>
      <c r="F1830" s="432">
        <v>0.59</v>
      </c>
      <c r="G1830" s="456">
        <f t="shared" ref="G1830:G1831" si="89">TRUNC(E1830*F1830,2)</f>
        <v>0.59</v>
      </c>
      <c r="H1830" s="424"/>
    </row>
    <row r="1831" spans="1:8" ht="15" customHeight="1">
      <c r="A1831" s="688" t="s">
        <v>325</v>
      </c>
      <c r="B1831" s="686" t="s">
        <v>326</v>
      </c>
      <c r="C1831" s="430" t="s">
        <v>99</v>
      </c>
      <c r="D1831" s="687" t="s">
        <v>408</v>
      </c>
      <c r="E1831" s="691">
        <v>8.0000000000000002E-3</v>
      </c>
      <c r="F1831" s="432">
        <v>43.14</v>
      </c>
      <c r="G1831" s="456">
        <f t="shared" si="89"/>
        <v>0.34</v>
      </c>
      <c r="H1831" s="424"/>
    </row>
    <row r="1832" spans="1:8" ht="14.1" customHeight="1">
      <c r="A1832" s="688" t="s">
        <v>329</v>
      </c>
      <c r="B1832" s="686" t="s">
        <v>1793</v>
      </c>
      <c r="C1832" s="430" t="s">
        <v>99</v>
      </c>
      <c r="D1832" s="687" t="s">
        <v>408</v>
      </c>
      <c r="E1832" s="691">
        <v>0.05</v>
      </c>
      <c r="F1832" s="432">
        <v>1.64</v>
      </c>
      <c r="G1832" s="456">
        <f>TRUNC(E1832*F1832,2)</f>
        <v>0.08</v>
      </c>
      <c r="H1832" s="424"/>
    </row>
    <row r="1833" spans="1:8" ht="15.95" customHeight="1">
      <c r="A1833" s="1422">
        <v>88248</v>
      </c>
      <c r="B1833" s="1468" t="s">
        <v>334</v>
      </c>
      <c r="C1833" s="430" t="s">
        <v>117</v>
      </c>
      <c r="D1833" s="1427" t="s">
        <v>410</v>
      </c>
      <c r="E1833" s="1471">
        <v>0.15</v>
      </c>
      <c r="F1833" s="501">
        <f>G321</f>
        <v>10.9</v>
      </c>
      <c r="G1833" s="511">
        <f>TRUNC(E1833*F1833,2)</f>
        <v>1.63</v>
      </c>
      <c r="H1833" s="424"/>
    </row>
    <row r="1834" spans="1:8" ht="15.95" customHeight="1">
      <c r="A1834" s="1423"/>
      <c r="B1834" s="1469"/>
      <c r="C1834" s="430" t="s">
        <v>99</v>
      </c>
      <c r="D1834" s="1428"/>
      <c r="E1834" s="1472"/>
      <c r="F1834" s="501">
        <f>G322</f>
        <v>4.5600000000000005</v>
      </c>
      <c r="G1834" s="456">
        <f>TRUNC(E1833*F1834,2)</f>
        <v>0.68</v>
      </c>
      <c r="H1834" s="424"/>
    </row>
    <row r="1835" spans="1:8" ht="15.95" customHeight="1">
      <c r="A1835" s="1422">
        <v>88267</v>
      </c>
      <c r="B1835" s="1468" t="s">
        <v>298</v>
      </c>
      <c r="C1835" s="430" t="s">
        <v>117</v>
      </c>
      <c r="D1835" s="1427" t="s">
        <v>410</v>
      </c>
      <c r="E1835" s="1471">
        <v>0.15</v>
      </c>
      <c r="F1835" s="435">
        <f>G338</f>
        <v>15.41</v>
      </c>
      <c r="G1835" s="456">
        <f>TRUNC(E1835*F1835,2)</f>
        <v>2.31</v>
      </c>
      <c r="H1835" s="424"/>
    </row>
    <row r="1836" spans="1:8" ht="15.95" customHeight="1">
      <c r="A1836" s="1423"/>
      <c r="B1836" s="1469"/>
      <c r="C1836" s="430" t="s">
        <v>99</v>
      </c>
      <c r="D1836" s="1428"/>
      <c r="E1836" s="1472"/>
      <c r="F1836" s="435">
        <f>G339</f>
        <v>4.5600000000000005</v>
      </c>
      <c r="G1836" s="456">
        <f t="shared" ref="G1836" si="90">TRUNC(E1835*F1836,2)</f>
        <v>0.68</v>
      </c>
      <c r="H1836" s="424"/>
    </row>
    <row r="1837" spans="1:8" ht="14.1" customHeight="1">
      <c r="C1837" s="173"/>
      <c r="D1837" s="464"/>
      <c r="E1837" s="513"/>
      <c r="F1837" s="514" t="s">
        <v>103</v>
      </c>
      <c r="G1837" s="466">
        <f>G1833+G1835</f>
        <v>3.94</v>
      </c>
      <c r="H1837" s="170"/>
    </row>
    <row r="1838" spans="1:8" ht="14.1" customHeight="1">
      <c r="C1838" s="173"/>
      <c r="D1838" s="437"/>
      <c r="E1838" s="515"/>
      <c r="F1838" s="438" t="s">
        <v>105</v>
      </c>
      <c r="G1838" s="456">
        <f>G1829+G1830+G1831+G1832+G1834+G1836</f>
        <v>2.7100000000000004</v>
      </c>
      <c r="H1838" s="170"/>
    </row>
    <row r="1839" spans="1:8" ht="14.1" customHeight="1">
      <c r="C1839" s="173"/>
      <c r="D1839" s="437"/>
      <c r="E1839" s="515"/>
      <c r="F1839" s="438" t="s">
        <v>106</v>
      </c>
      <c r="G1839" s="457">
        <f>SUM(G1837:G1838)</f>
        <v>6.65</v>
      </c>
      <c r="H1839" s="560"/>
    </row>
    <row r="1840" spans="1:8">
      <c r="A1840" s="516"/>
      <c r="B1840" s="517"/>
      <c r="C1840" s="518"/>
      <c r="D1840" s="516"/>
      <c r="E1840" s="517"/>
      <c r="F1840" s="517"/>
      <c r="G1840" s="517"/>
      <c r="H1840" s="516"/>
    </row>
    <row r="1842" spans="1:8">
      <c r="A1842" s="170" t="s">
        <v>1258</v>
      </c>
      <c r="C1842" s="173"/>
      <c r="D1842" s="170"/>
      <c r="E1842" s="193"/>
      <c r="H1842" s="424"/>
    </row>
    <row r="1843" spans="1:8">
      <c r="A1843" s="220" t="s">
        <v>1798</v>
      </c>
      <c r="C1843" s="173"/>
      <c r="D1843" s="170"/>
      <c r="E1843" s="193"/>
      <c r="H1843" s="424"/>
    </row>
    <row r="1844" spans="1:8" ht="33" customHeight="1">
      <c r="A1844" s="505" t="s">
        <v>1536</v>
      </c>
      <c r="B1844" s="1429" t="s">
        <v>1799</v>
      </c>
      <c r="C1844" s="1429"/>
      <c r="D1844" s="1429"/>
      <c r="E1844" s="559" t="s">
        <v>1538</v>
      </c>
      <c r="G1844" s="506"/>
      <c r="H1844" s="424"/>
    </row>
    <row r="1845" spans="1:8" ht="22.5">
      <c r="A1845" s="711" t="s">
        <v>30</v>
      </c>
      <c r="B1845" s="507" t="s">
        <v>19</v>
      </c>
      <c r="C1845" s="430" t="s">
        <v>92</v>
      </c>
      <c r="D1845" s="690" t="s">
        <v>88</v>
      </c>
      <c r="E1845" s="690" t="s">
        <v>93</v>
      </c>
      <c r="F1845" s="432" t="s">
        <v>94</v>
      </c>
      <c r="G1845" s="508" t="s">
        <v>95</v>
      </c>
      <c r="H1845" s="424"/>
    </row>
    <row r="1846" spans="1:8" ht="15" customHeight="1">
      <c r="A1846" s="688" t="s">
        <v>320</v>
      </c>
      <c r="B1846" s="686" t="s">
        <v>321</v>
      </c>
      <c r="C1846" s="430" t="s">
        <v>99</v>
      </c>
      <c r="D1846" s="687" t="s">
        <v>408</v>
      </c>
      <c r="E1846" s="691">
        <v>7.0000000000000001E-3</v>
      </c>
      <c r="F1846" s="432">
        <v>49.68</v>
      </c>
      <c r="G1846" s="456">
        <f>TRUNC(E1846*F1846,2)</f>
        <v>0.34</v>
      </c>
      <c r="H1846" s="424"/>
    </row>
    <row r="1847" spans="1:8" ht="22.5">
      <c r="A1847" s="688">
        <v>3524</v>
      </c>
      <c r="B1847" s="686" t="s">
        <v>1800</v>
      </c>
      <c r="C1847" s="430" t="s">
        <v>99</v>
      </c>
      <c r="D1847" s="687" t="s">
        <v>408</v>
      </c>
      <c r="E1847" s="691">
        <v>1</v>
      </c>
      <c r="F1847" s="432">
        <v>0.59</v>
      </c>
      <c r="G1847" s="456">
        <f t="shared" ref="G1847:G1848" si="91">TRUNC(E1847*F1847,2)</f>
        <v>0.59</v>
      </c>
      <c r="H1847" s="424"/>
    </row>
    <row r="1848" spans="1:8" ht="22.5">
      <c r="A1848" s="688" t="s">
        <v>325</v>
      </c>
      <c r="B1848" s="686" t="s">
        <v>326</v>
      </c>
      <c r="C1848" s="430" t="s">
        <v>99</v>
      </c>
      <c r="D1848" s="687" t="s">
        <v>408</v>
      </c>
      <c r="E1848" s="691">
        <v>8.0000000000000002E-3</v>
      </c>
      <c r="F1848" s="432">
        <v>43.14</v>
      </c>
      <c r="G1848" s="456">
        <f t="shared" si="91"/>
        <v>0.34</v>
      </c>
      <c r="H1848" s="424"/>
    </row>
    <row r="1849" spans="1:8" ht="15" customHeight="1">
      <c r="A1849" s="688" t="s">
        <v>329</v>
      </c>
      <c r="B1849" s="686" t="s">
        <v>1793</v>
      </c>
      <c r="C1849" s="430" t="s">
        <v>99</v>
      </c>
      <c r="D1849" s="687" t="s">
        <v>408</v>
      </c>
      <c r="E1849" s="691">
        <v>0.05</v>
      </c>
      <c r="F1849" s="432">
        <v>1.64</v>
      </c>
      <c r="G1849" s="456">
        <f>TRUNC(E1849*F1849,2)</f>
        <v>0.08</v>
      </c>
      <c r="H1849" s="424"/>
    </row>
    <row r="1850" spans="1:8" ht="15.95" customHeight="1">
      <c r="A1850" s="1422">
        <v>88248</v>
      </c>
      <c r="B1850" s="1468" t="s">
        <v>334</v>
      </c>
      <c r="C1850" s="430" t="s">
        <v>117</v>
      </c>
      <c r="D1850" s="1427" t="s">
        <v>410</v>
      </c>
      <c r="E1850" s="1471">
        <v>0.15</v>
      </c>
      <c r="F1850" s="501">
        <f>G321</f>
        <v>10.9</v>
      </c>
      <c r="G1850" s="511">
        <f>TRUNC(E1850*F1850,2)</f>
        <v>1.63</v>
      </c>
      <c r="H1850" s="424"/>
    </row>
    <row r="1851" spans="1:8" ht="15.95" customHeight="1">
      <c r="A1851" s="1423"/>
      <c r="B1851" s="1469"/>
      <c r="C1851" s="430" t="s">
        <v>99</v>
      </c>
      <c r="D1851" s="1428"/>
      <c r="E1851" s="1472"/>
      <c r="F1851" s="501">
        <f>G322</f>
        <v>4.5600000000000005</v>
      </c>
      <c r="G1851" s="456">
        <f>TRUNC(E1850*F1851,2)</f>
        <v>0.68</v>
      </c>
      <c r="H1851" s="424"/>
    </row>
    <row r="1852" spans="1:8" ht="15.95" customHeight="1">
      <c r="A1852" s="1422">
        <v>88267</v>
      </c>
      <c r="B1852" s="1468" t="s">
        <v>298</v>
      </c>
      <c r="C1852" s="430" t="s">
        <v>117</v>
      </c>
      <c r="D1852" s="1427" t="s">
        <v>410</v>
      </c>
      <c r="E1852" s="1471">
        <v>0.15</v>
      </c>
      <c r="F1852" s="435">
        <f>G338</f>
        <v>15.41</v>
      </c>
      <c r="G1852" s="456">
        <f>TRUNC(E1852*F1852,2)</f>
        <v>2.31</v>
      </c>
      <c r="H1852" s="424"/>
    </row>
    <row r="1853" spans="1:8" ht="15.95" customHeight="1">
      <c r="A1853" s="1423"/>
      <c r="B1853" s="1469"/>
      <c r="C1853" s="430" t="s">
        <v>99</v>
      </c>
      <c r="D1853" s="1428"/>
      <c r="E1853" s="1472"/>
      <c r="F1853" s="435">
        <f>G339</f>
        <v>4.5600000000000005</v>
      </c>
      <c r="G1853" s="456">
        <f t="shared" ref="G1853" si="92">TRUNC(E1852*F1853,2)</f>
        <v>0.68</v>
      </c>
      <c r="H1853" s="424"/>
    </row>
    <row r="1854" spans="1:8" ht="15" customHeight="1">
      <c r="C1854" s="173"/>
      <c r="D1854" s="464"/>
      <c r="E1854" s="513"/>
      <c r="F1854" s="514" t="s">
        <v>103</v>
      </c>
      <c r="G1854" s="466">
        <f>G1850+G1852</f>
        <v>3.94</v>
      </c>
      <c r="H1854" s="170"/>
    </row>
    <row r="1855" spans="1:8" ht="15" customHeight="1">
      <c r="C1855" s="173"/>
      <c r="D1855" s="437"/>
      <c r="E1855" s="515"/>
      <c r="F1855" s="438" t="s">
        <v>105</v>
      </c>
      <c r="G1855" s="456">
        <f>G1846+G1847+G1848+G1849+G1851+G1853</f>
        <v>2.7100000000000004</v>
      </c>
      <c r="H1855" s="170"/>
    </row>
    <row r="1856" spans="1:8" ht="15" customHeight="1">
      <c r="C1856" s="173"/>
      <c r="D1856" s="437"/>
      <c r="E1856" s="515"/>
      <c r="F1856" s="438" t="s">
        <v>106</v>
      </c>
      <c r="G1856" s="457">
        <f>SUM(G1854:G1855)</f>
        <v>6.65</v>
      </c>
      <c r="H1856" s="560"/>
    </row>
    <row r="1857" spans="1:8">
      <c r="A1857" s="516"/>
      <c r="B1857" s="517"/>
      <c r="C1857" s="518"/>
      <c r="D1857" s="516"/>
      <c r="E1857" s="517"/>
      <c r="F1857" s="517"/>
      <c r="G1857" s="517"/>
      <c r="H1857" s="516"/>
    </row>
    <row r="1859" spans="1:8">
      <c r="A1859" s="170" t="s">
        <v>1258</v>
      </c>
      <c r="C1859" s="173"/>
      <c r="D1859" s="170"/>
      <c r="E1859" s="193"/>
      <c r="H1859" s="424"/>
    </row>
    <row r="1860" spans="1:8">
      <c r="A1860" s="220" t="s">
        <v>1801</v>
      </c>
      <c r="C1860" s="173"/>
      <c r="D1860" s="170"/>
      <c r="E1860" s="193"/>
      <c r="H1860" s="424"/>
    </row>
    <row r="1861" spans="1:8" ht="24.75" customHeight="1">
      <c r="A1861" s="505" t="s">
        <v>1536</v>
      </c>
      <c r="B1861" s="1429" t="s">
        <v>1789</v>
      </c>
      <c r="C1861" s="1429"/>
      <c r="D1861" s="1429"/>
      <c r="E1861" s="559" t="s">
        <v>1538</v>
      </c>
      <c r="G1861" s="506"/>
      <c r="H1861" s="424"/>
    </row>
    <row r="1862" spans="1:8" ht="22.5">
      <c r="A1862" s="711" t="s">
        <v>30</v>
      </c>
      <c r="B1862" s="507" t="s">
        <v>19</v>
      </c>
      <c r="C1862" s="430" t="s">
        <v>92</v>
      </c>
      <c r="D1862" s="690" t="s">
        <v>88</v>
      </c>
      <c r="E1862" s="690" t="s">
        <v>93</v>
      </c>
      <c r="F1862" s="432" t="s">
        <v>94</v>
      </c>
      <c r="G1862" s="508" t="s">
        <v>95</v>
      </c>
      <c r="H1862" s="424"/>
    </row>
    <row r="1863" spans="1:8" ht="15" customHeight="1">
      <c r="A1863" s="688" t="s">
        <v>320</v>
      </c>
      <c r="B1863" s="686" t="s">
        <v>321</v>
      </c>
      <c r="C1863" s="430" t="s">
        <v>99</v>
      </c>
      <c r="D1863" s="687" t="s">
        <v>408</v>
      </c>
      <c r="E1863" s="691">
        <v>1.0999999999999999E-2</v>
      </c>
      <c r="F1863" s="432">
        <v>49.68</v>
      </c>
      <c r="G1863" s="456">
        <f>TRUNC(E1863*F1863,2)</f>
        <v>0.54</v>
      </c>
      <c r="H1863" s="424"/>
    </row>
    <row r="1864" spans="1:8" ht="22.5">
      <c r="A1864" s="688" t="s">
        <v>1802</v>
      </c>
      <c r="B1864" s="686" t="s">
        <v>1803</v>
      </c>
      <c r="C1864" s="430" t="s">
        <v>99</v>
      </c>
      <c r="D1864" s="687" t="s">
        <v>408</v>
      </c>
      <c r="E1864" s="691">
        <v>1</v>
      </c>
      <c r="F1864" s="432">
        <v>0.98</v>
      </c>
      <c r="G1864" s="456">
        <f t="shared" ref="G1864:G1865" si="93">TRUNC(E1864*F1864,2)</f>
        <v>0.98</v>
      </c>
      <c r="H1864" s="424"/>
    </row>
    <row r="1865" spans="1:8" ht="22.5">
      <c r="A1865" s="688" t="s">
        <v>325</v>
      </c>
      <c r="B1865" s="686" t="s">
        <v>326</v>
      </c>
      <c r="C1865" s="430" t="s">
        <v>99</v>
      </c>
      <c r="D1865" s="687" t="s">
        <v>408</v>
      </c>
      <c r="E1865" s="691">
        <v>1.2E-2</v>
      </c>
      <c r="F1865" s="432">
        <v>43.14</v>
      </c>
      <c r="G1865" s="456">
        <f t="shared" si="93"/>
        <v>0.51</v>
      </c>
      <c r="H1865" s="424"/>
    </row>
    <row r="1866" spans="1:8" ht="15" customHeight="1">
      <c r="A1866" s="688" t="s">
        <v>329</v>
      </c>
      <c r="B1866" s="686" t="s">
        <v>1793</v>
      </c>
      <c r="C1866" s="430" t="s">
        <v>99</v>
      </c>
      <c r="D1866" s="687" t="s">
        <v>408</v>
      </c>
      <c r="E1866" s="691">
        <v>7.4999999999999997E-2</v>
      </c>
      <c r="F1866" s="432">
        <v>1.64</v>
      </c>
      <c r="G1866" s="456">
        <f>TRUNC(E1866*F1866,2)</f>
        <v>0.12</v>
      </c>
      <c r="H1866" s="424"/>
    </row>
    <row r="1867" spans="1:8" ht="15" customHeight="1">
      <c r="A1867" s="1422">
        <v>88248</v>
      </c>
      <c r="B1867" s="1468" t="s">
        <v>334</v>
      </c>
      <c r="C1867" s="430" t="s">
        <v>117</v>
      </c>
      <c r="D1867" s="1427" t="s">
        <v>410</v>
      </c>
      <c r="E1867" s="1471">
        <v>0.2</v>
      </c>
      <c r="F1867" s="501">
        <f>G338</f>
        <v>15.41</v>
      </c>
      <c r="G1867" s="511">
        <f>TRUNC(E1867*F1867,2)</f>
        <v>3.08</v>
      </c>
      <c r="H1867" s="424"/>
    </row>
    <row r="1868" spans="1:8" ht="15" customHeight="1">
      <c r="A1868" s="1423"/>
      <c r="B1868" s="1469"/>
      <c r="C1868" s="430" t="s">
        <v>99</v>
      </c>
      <c r="D1868" s="1428"/>
      <c r="E1868" s="1472"/>
      <c r="F1868" s="501">
        <f>G339</f>
        <v>4.5600000000000005</v>
      </c>
      <c r="G1868" s="456">
        <f>TRUNC(E1867*F1868,2)</f>
        <v>0.91</v>
      </c>
      <c r="H1868" s="424"/>
    </row>
    <row r="1869" spans="1:8" ht="15" customHeight="1">
      <c r="A1869" s="1422">
        <v>88267</v>
      </c>
      <c r="B1869" s="1468" t="s">
        <v>298</v>
      </c>
      <c r="C1869" s="430" t="s">
        <v>117</v>
      </c>
      <c r="D1869" s="1427" t="s">
        <v>410</v>
      </c>
      <c r="E1869" s="1471">
        <v>0.2</v>
      </c>
      <c r="F1869" s="435">
        <f>G338</f>
        <v>15.41</v>
      </c>
      <c r="G1869" s="456">
        <f>TRUNC(E1869*F1869,2)</f>
        <v>3.08</v>
      </c>
      <c r="H1869" s="424"/>
    </row>
    <row r="1870" spans="1:8" ht="15" customHeight="1">
      <c r="A1870" s="1423"/>
      <c r="B1870" s="1469"/>
      <c r="C1870" s="430" t="s">
        <v>99</v>
      </c>
      <c r="D1870" s="1428"/>
      <c r="E1870" s="1472"/>
      <c r="F1870" s="435">
        <f>G339</f>
        <v>4.5600000000000005</v>
      </c>
      <c r="G1870" s="456">
        <f t="shared" ref="G1870" si="94">TRUNC(E1869*F1870,2)</f>
        <v>0.91</v>
      </c>
      <c r="H1870" s="424"/>
    </row>
    <row r="1871" spans="1:8" ht="15" customHeight="1">
      <c r="C1871" s="173"/>
      <c r="D1871" s="464"/>
      <c r="E1871" s="513"/>
      <c r="F1871" s="514" t="s">
        <v>103</v>
      </c>
      <c r="G1871" s="466">
        <f>G1867+G1869</f>
        <v>6.16</v>
      </c>
      <c r="H1871" s="170"/>
    </row>
    <row r="1872" spans="1:8" ht="15" customHeight="1">
      <c r="C1872" s="173"/>
      <c r="D1872" s="437"/>
      <c r="E1872" s="515"/>
      <c r="F1872" s="438" t="s">
        <v>105</v>
      </c>
      <c r="G1872" s="456">
        <f>G1863+G1864+G1865+G1866+G1868+G1870</f>
        <v>3.9700000000000006</v>
      </c>
      <c r="H1872" s="170"/>
    </row>
    <row r="1873" spans="1:8" ht="15" customHeight="1">
      <c r="C1873" s="173"/>
      <c r="D1873" s="437"/>
      <c r="E1873" s="515"/>
      <c r="F1873" s="438" t="s">
        <v>106</v>
      </c>
      <c r="G1873" s="457">
        <f>SUM(G1871:G1872)</f>
        <v>10.130000000000001</v>
      </c>
      <c r="H1873" s="560"/>
    </row>
    <row r="1874" spans="1:8">
      <c r="A1874" s="516"/>
      <c r="B1874" s="517"/>
      <c r="C1874" s="518"/>
      <c r="D1874" s="516"/>
      <c r="E1874" s="517"/>
      <c r="F1874" s="517"/>
      <c r="G1874" s="517"/>
      <c r="H1874" s="516"/>
    </row>
    <row r="1876" spans="1:8">
      <c r="A1876" s="170" t="s">
        <v>1258</v>
      </c>
      <c r="C1876" s="173"/>
      <c r="D1876" s="170"/>
      <c r="E1876" s="193"/>
      <c r="H1876" s="424"/>
    </row>
    <row r="1877" spans="1:8">
      <c r="A1877" s="220" t="s">
        <v>1885</v>
      </c>
      <c r="C1877" s="173"/>
      <c r="D1877" s="170"/>
      <c r="E1877" s="193"/>
      <c r="H1877" s="424"/>
    </row>
    <row r="1878" spans="1:8" ht="27" customHeight="1">
      <c r="A1878" s="505" t="s">
        <v>1536</v>
      </c>
      <c r="B1878" s="505" t="s">
        <v>1886</v>
      </c>
      <c r="C1878" s="754" t="s">
        <v>1538</v>
      </c>
      <c r="D1878" s="505"/>
      <c r="G1878" s="506"/>
      <c r="H1878" s="424"/>
    </row>
    <row r="1879" spans="1:8" ht="22.5">
      <c r="A1879" s="751" t="s">
        <v>30</v>
      </c>
      <c r="B1879" s="507" t="s">
        <v>19</v>
      </c>
      <c r="C1879" s="430" t="s">
        <v>92</v>
      </c>
      <c r="D1879" s="739" t="s">
        <v>88</v>
      </c>
      <c r="E1879" s="739" t="s">
        <v>93</v>
      </c>
      <c r="F1879" s="432" t="s">
        <v>94</v>
      </c>
      <c r="G1879" s="508" t="s">
        <v>95</v>
      </c>
      <c r="H1879" s="424"/>
    </row>
    <row r="1880" spans="1:8" ht="15" customHeight="1">
      <c r="A1880" s="748" t="s">
        <v>292</v>
      </c>
      <c r="B1880" s="749" t="s">
        <v>293</v>
      </c>
      <c r="C1880" s="430" t="s">
        <v>99</v>
      </c>
      <c r="D1880" s="742" t="s">
        <v>408</v>
      </c>
      <c r="E1880" s="740">
        <v>1.7500000000000002E-2</v>
      </c>
      <c r="F1880" s="432">
        <v>3.39</v>
      </c>
      <c r="G1880" s="456">
        <f>TRUNC(E1880*F1880,2)</f>
        <v>0.05</v>
      </c>
      <c r="H1880" s="424"/>
    </row>
    <row r="1881" spans="1:8" ht="15" customHeight="1">
      <c r="A1881" s="748" t="s">
        <v>1887</v>
      </c>
      <c r="B1881" s="749" t="s">
        <v>1888</v>
      </c>
      <c r="C1881" s="430" t="s">
        <v>99</v>
      </c>
      <c r="D1881" s="742" t="s">
        <v>408</v>
      </c>
      <c r="E1881" s="740">
        <v>1</v>
      </c>
      <c r="F1881" s="432">
        <v>32.880000000000003</v>
      </c>
      <c r="G1881" s="456">
        <f>TRUNC(E1881*F1881,2)</f>
        <v>32.880000000000003</v>
      </c>
      <c r="H1881" s="424"/>
    </row>
    <row r="1882" spans="1:8" ht="15" customHeight="1">
      <c r="A1882" s="1422">
        <v>88316</v>
      </c>
      <c r="B1882" s="1468" t="s">
        <v>123</v>
      </c>
      <c r="C1882" s="430" t="s">
        <v>117</v>
      </c>
      <c r="D1882" s="1427" t="s">
        <v>410</v>
      </c>
      <c r="E1882" s="1471">
        <v>0.05</v>
      </c>
      <c r="F1882" s="501">
        <f>G104</f>
        <v>11.1</v>
      </c>
      <c r="G1882" s="511">
        <f>TRUNC(E1882*F1882,2)</f>
        <v>0.55000000000000004</v>
      </c>
      <c r="H1882" s="424"/>
    </row>
    <row r="1883" spans="1:8" ht="15" customHeight="1">
      <c r="A1883" s="1423"/>
      <c r="B1883" s="1469"/>
      <c r="C1883" s="430" t="s">
        <v>99</v>
      </c>
      <c r="D1883" s="1428"/>
      <c r="E1883" s="1472"/>
      <c r="F1883" s="501">
        <f>G105</f>
        <v>4.5600000000000005</v>
      </c>
      <c r="G1883" s="456">
        <f>TRUNC(E1882*F1883,2)</f>
        <v>0.22</v>
      </c>
      <c r="H1883" s="424"/>
    </row>
    <row r="1884" spans="1:8" ht="15" customHeight="1">
      <c r="A1884" s="1422">
        <v>88267</v>
      </c>
      <c r="B1884" s="1468" t="s">
        <v>298</v>
      </c>
      <c r="C1884" s="430" t="s">
        <v>117</v>
      </c>
      <c r="D1884" s="1427" t="s">
        <v>410</v>
      </c>
      <c r="E1884" s="1471">
        <v>0.15</v>
      </c>
      <c r="F1884" s="435">
        <f>G338</f>
        <v>15.41</v>
      </c>
      <c r="G1884" s="456">
        <f>TRUNC(E1884*F1884,2)</f>
        <v>2.31</v>
      </c>
      <c r="H1884" s="424"/>
    </row>
    <row r="1885" spans="1:8" ht="15" customHeight="1">
      <c r="A1885" s="1423"/>
      <c r="B1885" s="1469"/>
      <c r="C1885" s="430" t="s">
        <v>99</v>
      </c>
      <c r="D1885" s="1428"/>
      <c r="E1885" s="1472"/>
      <c r="F1885" s="435">
        <f>G339</f>
        <v>4.5600000000000005</v>
      </c>
      <c r="G1885" s="456">
        <f t="shared" ref="G1885" si="95">TRUNC(E1884*F1885,2)</f>
        <v>0.68</v>
      </c>
      <c r="H1885" s="424"/>
    </row>
    <row r="1886" spans="1:8" ht="15" customHeight="1">
      <c r="C1886" s="173"/>
      <c r="D1886" s="464"/>
      <c r="E1886" s="513"/>
      <c r="F1886" s="514" t="s">
        <v>103</v>
      </c>
      <c r="G1886" s="466">
        <f>G1882+G1884</f>
        <v>2.8600000000000003</v>
      </c>
      <c r="H1886" s="170"/>
    </row>
    <row r="1887" spans="1:8" ht="15" customHeight="1">
      <c r="C1887" s="173"/>
      <c r="D1887" s="437"/>
      <c r="E1887" s="515"/>
      <c r="F1887" s="438" t="s">
        <v>105</v>
      </c>
      <c r="G1887" s="456">
        <f>G1880+G1881+G1883+G1885</f>
        <v>33.83</v>
      </c>
      <c r="H1887" s="170"/>
    </row>
    <row r="1888" spans="1:8" ht="15" customHeight="1">
      <c r="C1888" s="173"/>
      <c r="D1888" s="437"/>
      <c r="E1888" s="515"/>
      <c r="F1888" s="438" t="s">
        <v>106</v>
      </c>
      <c r="G1888" s="457">
        <f>SUM(G1886:G1887)</f>
        <v>36.69</v>
      </c>
      <c r="H1888" s="560"/>
    </row>
    <row r="1889" spans="1:8">
      <c r="A1889" s="516"/>
      <c r="B1889" s="517"/>
      <c r="C1889" s="518"/>
      <c r="D1889" s="516"/>
      <c r="E1889" s="517"/>
      <c r="F1889" s="517"/>
      <c r="G1889" s="517"/>
      <c r="H1889" s="516"/>
    </row>
    <row r="1891" spans="1:8">
      <c r="A1891" s="170" t="s">
        <v>1258</v>
      </c>
      <c r="C1891" s="173"/>
      <c r="D1891" s="170"/>
      <c r="E1891" s="193"/>
      <c r="H1891" s="424"/>
    </row>
    <row r="1892" spans="1:8">
      <c r="A1892" s="220" t="s">
        <v>1889</v>
      </c>
      <c r="C1892" s="173"/>
      <c r="D1892" s="170"/>
      <c r="E1892" s="193"/>
      <c r="H1892" s="424"/>
    </row>
    <row r="1893" spans="1:8" ht="25.5" customHeight="1">
      <c r="A1893" s="505" t="s">
        <v>1536</v>
      </c>
      <c r="B1893" s="505" t="s">
        <v>1824</v>
      </c>
      <c r="C1893" s="754" t="s">
        <v>1538</v>
      </c>
      <c r="D1893" s="505"/>
      <c r="G1893" s="506"/>
      <c r="H1893" s="424"/>
    </row>
    <row r="1894" spans="1:8" ht="24.75" customHeight="1">
      <c r="A1894" s="751" t="s">
        <v>30</v>
      </c>
      <c r="B1894" s="507" t="s">
        <v>19</v>
      </c>
      <c r="C1894" s="430" t="s">
        <v>92</v>
      </c>
      <c r="D1894" s="739" t="s">
        <v>88</v>
      </c>
      <c r="E1894" s="739" t="s">
        <v>93</v>
      </c>
      <c r="F1894" s="432" t="s">
        <v>94</v>
      </c>
      <c r="G1894" s="508" t="s">
        <v>95</v>
      </c>
      <c r="H1894" s="424"/>
    </row>
    <row r="1895" spans="1:8" ht="33.75">
      <c r="A1895" s="748" t="s">
        <v>1890</v>
      </c>
      <c r="B1895" s="749" t="s">
        <v>1891</v>
      </c>
      <c r="C1895" s="430" t="s">
        <v>99</v>
      </c>
      <c r="D1895" s="742" t="s">
        <v>408</v>
      </c>
      <c r="E1895" s="740">
        <v>2</v>
      </c>
      <c r="F1895" s="432">
        <v>11.94</v>
      </c>
      <c r="G1895" s="456">
        <f>TRUNC(E1895*F1895,2)</f>
        <v>23.88</v>
      </c>
      <c r="H1895" s="424"/>
    </row>
    <row r="1896" spans="1:8" ht="14.1" customHeight="1">
      <c r="A1896" s="748" t="s">
        <v>1892</v>
      </c>
      <c r="B1896" s="749" t="s">
        <v>1895</v>
      </c>
      <c r="C1896" s="430" t="s">
        <v>99</v>
      </c>
      <c r="D1896" s="742" t="s">
        <v>408</v>
      </c>
      <c r="E1896" s="740">
        <v>1</v>
      </c>
      <c r="F1896" s="432">
        <v>1.54</v>
      </c>
      <c r="G1896" s="456">
        <f t="shared" ref="G1896:G1897" si="96">TRUNC(E1896*F1896,2)</f>
        <v>1.54</v>
      </c>
      <c r="H1896" s="424"/>
    </row>
    <row r="1897" spans="1:8" ht="22.5">
      <c r="A1897" s="748" t="s">
        <v>1893</v>
      </c>
      <c r="B1897" s="749" t="s">
        <v>1894</v>
      </c>
      <c r="C1897" s="430" t="s">
        <v>99</v>
      </c>
      <c r="D1897" s="742" t="s">
        <v>408</v>
      </c>
      <c r="E1897" s="740">
        <v>1</v>
      </c>
      <c r="F1897" s="432">
        <v>293.29000000000002</v>
      </c>
      <c r="G1897" s="456">
        <f t="shared" si="96"/>
        <v>293.29000000000002</v>
      </c>
      <c r="H1897" s="424"/>
    </row>
    <row r="1898" spans="1:8" ht="14.1" customHeight="1">
      <c r="A1898" s="748" t="s">
        <v>259</v>
      </c>
      <c r="B1898" s="749" t="s">
        <v>260</v>
      </c>
      <c r="C1898" s="430" t="s">
        <v>99</v>
      </c>
      <c r="D1898" s="742" t="s">
        <v>1401</v>
      </c>
      <c r="E1898" s="756">
        <v>0.1469</v>
      </c>
      <c r="F1898" s="501">
        <v>44.3</v>
      </c>
      <c r="G1898" s="456">
        <f>TRUNC(E1898*F1898,2)</f>
        <v>6.5</v>
      </c>
      <c r="H1898" s="424"/>
    </row>
    <row r="1899" spans="1:8" ht="14.1" customHeight="1">
      <c r="A1899" s="1422">
        <v>88316</v>
      </c>
      <c r="B1899" s="1468" t="s">
        <v>123</v>
      </c>
      <c r="C1899" s="430" t="s">
        <v>117</v>
      </c>
      <c r="D1899" s="1427" t="s">
        <v>410</v>
      </c>
      <c r="E1899" s="1471">
        <v>0.44</v>
      </c>
      <c r="F1899" s="501">
        <f>G104</f>
        <v>11.1</v>
      </c>
      <c r="G1899" s="511">
        <f>TRUNC(E1899*F1899,2)</f>
        <v>4.88</v>
      </c>
      <c r="H1899" s="424"/>
    </row>
    <row r="1900" spans="1:8" ht="14.1" customHeight="1">
      <c r="A1900" s="1423"/>
      <c r="B1900" s="1469"/>
      <c r="C1900" s="430" t="s">
        <v>99</v>
      </c>
      <c r="D1900" s="1428"/>
      <c r="E1900" s="1472"/>
      <c r="F1900" s="501">
        <f>G105</f>
        <v>4.5600000000000005</v>
      </c>
      <c r="G1900" s="456">
        <f>TRUNC(E1899*F1900,2)</f>
        <v>2</v>
      </c>
      <c r="H1900" s="424"/>
    </row>
    <row r="1901" spans="1:8" ht="14.1" customHeight="1">
      <c r="A1901" s="1422">
        <v>88267</v>
      </c>
      <c r="B1901" s="1468" t="s">
        <v>298</v>
      </c>
      <c r="C1901" s="430" t="s">
        <v>117</v>
      </c>
      <c r="D1901" s="1427" t="s">
        <v>410</v>
      </c>
      <c r="E1901" s="1471">
        <v>0.78</v>
      </c>
      <c r="F1901" s="435">
        <f>G338</f>
        <v>15.41</v>
      </c>
      <c r="G1901" s="456">
        <f>TRUNC(E1901*F1901,2)</f>
        <v>12.01</v>
      </c>
      <c r="H1901" s="424"/>
    </row>
    <row r="1902" spans="1:8" ht="14.1" customHeight="1">
      <c r="A1902" s="1423"/>
      <c r="B1902" s="1469"/>
      <c r="C1902" s="430" t="s">
        <v>99</v>
      </c>
      <c r="D1902" s="1428"/>
      <c r="E1902" s="1472"/>
      <c r="F1902" s="435">
        <f>G339</f>
        <v>4.5600000000000005</v>
      </c>
      <c r="G1902" s="456">
        <f t="shared" ref="G1902" si="97">TRUNC(E1901*F1902,2)</f>
        <v>3.55</v>
      </c>
      <c r="H1902" s="424"/>
    </row>
    <row r="1903" spans="1:8" ht="14.1" customHeight="1">
      <c r="C1903" s="173"/>
      <c r="D1903" s="464"/>
      <c r="E1903" s="513"/>
      <c r="F1903" s="514" t="s">
        <v>103</v>
      </c>
      <c r="G1903" s="466">
        <f>G1899+G1901</f>
        <v>16.89</v>
      </c>
      <c r="H1903" s="170"/>
    </row>
    <row r="1904" spans="1:8" ht="14.1" customHeight="1">
      <c r="C1904" s="173"/>
      <c r="D1904" s="437"/>
      <c r="E1904" s="515"/>
      <c r="F1904" s="438" t="s">
        <v>105</v>
      </c>
      <c r="G1904" s="456">
        <f>G1895+G1896+G1897+G1898+G1900+G1902</f>
        <v>330.76000000000005</v>
      </c>
      <c r="H1904" s="170"/>
    </row>
    <row r="1905" spans="1:8" ht="14.1" customHeight="1">
      <c r="C1905" s="173"/>
      <c r="D1905" s="437"/>
      <c r="E1905" s="515"/>
      <c r="F1905" s="438" t="s">
        <v>106</v>
      </c>
      <c r="G1905" s="457">
        <f>SUM(G1903:G1904)</f>
        <v>347.65000000000003</v>
      </c>
      <c r="H1905" s="560"/>
    </row>
    <row r="1906" spans="1:8">
      <c r="A1906" s="516"/>
      <c r="B1906" s="517"/>
      <c r="C1906" s="518"/>
      <c r="D1906" s="516"/>
      <c r="E1906" s="517"/>
      <c r="F1906" s="517"/>
      <c r="G1906" s="517"/>
      <c r="H1906" s="516"/>
    </row>
    <row r="1908" spans="1:8">
      <c r="A1908" s="170" t="s">
        <v>1258</v>
      </c>
      <c r="C1908" s="173"/>
      <c r="D1908" s="170"/>
      <c r="E1908" s="193"/>
      <c r="H1908" s="424"/>
    </row>
    <row r="1909" spans="1:8">
      <c r="A1909" s="220" t="s">
        <v>1899</v>
      </c>
      <c r="C1909" s="173"/>
      <c r="D1909" s="170"/>
      <c r="E1909" s="193"/>
      <c r="H1909" s="424"/>
    </row>
    <row r="1910" spans="1:8" ht="27.75" customHeight="1">
      <c r="A1910" s="505" t="s">
        <v>1536</v>
      </c>
      <c r="B1910" s="505" t="s">
        <v>1900</v>
      </c>
      <c r="C1910" s="754" t="s">
        <v>1538</v>
      </c>
      <c r="D1910" s="505"/>
      <c r="G1910" s="506"/>
      <c r="H1910" s="424"/>
    </row>
    <row r="1911" spans="1:8" ht="24" customHeight="1">
      <c r="A1911" s="751" t="s">
        <v>30</v>
      </c>
      <c r="B1911" s="507" t="s">
        <v>19</v>
      </c>
      <c r="C1911" s="430" t="s">
        <v>92</v>
      </c>
      <c r="D1911" s="739" t="s">
        <v>88</v>
      </c>
      <c r="E1911" s="739" t="s">
        <v>93</v>
      </c>
      <c r="F1911" s="432" t="s">
        <v>94</v>
      </c>
      <c r="G1911" s="508" t="s">
        <v>95</v>
      </c>
      <c r="H1911" s="424"/>
    </row>
    <row r="1912" spans="1:8" ht="33.75">
      <c r="A1912" s="748" t="s">
        <v>1890</v>
      </c>
      <c r="B1912" s="749" t="s">
        <v>1891</v>
      </c>
      <c r="C1912" s="430" t="s">
        <v>99</v>
      </c>
      <c r="D1912" s="742" t="s">
        <v>408</v>
      </c>
      <c r="E1912" s="740">
        <v>2</v>
      </c>
      <c r="F1912" s="432">
        <v>11.94</v>
      </c>
      <c r="G1912" s="456">
        <f>TRUNC(E1912*F1912,2)</f>
        <v>23.88</v>
      </c>
      <c r="H1912" s="424"/>
    </row>
    <row r="1913" spans="1:8" ht="14.1" customHeight="1">
      <c r="A1913" s="748" t="s">
        <v>1892</v>
      </c>
      <c r="B1913" s="749" t="s">
        <v>1895</v>
      </c>
      <c r="C1913" s="430" t="s">
        <v>99</v>
      </c>
      <c r="D1913" s="742" t="s">
        <v>408</v>
      </c>
      <c r="E1913" s="740">
        <v>1</v>
      </c>
      <c r="F1913" s="432">
        <v>1.54</v>
      </c>
      <c r="G1913" s="456">
        <f t="shared" ref="G1913:G1914" si="98">TRUNC(E1913*F1913,2)</f>
        <v>1.54</v>
      </c>
      <c r="H1913" s="424"/>
    </row>
    <row r="1914" spans="1:8" ht="22.5">
      <c r="A1914" s="748">
        <v>10420</v>
      </c>
      <c r="B1914" s="749" t="s">
        <v>1901</v>
      </c>
      <c r="C1914" s="430" t="s">
        <v>99</v>
      </c>
      <c r="D1914" s="742" t="s">
        <v>408</v>
      </c>
      <c r="E1914" s="740">
        <v>1</v>
      </c>
      <c r="F1914" s="501">
        <v>110</v>
      </c>
      <c r="G1914" s="456">
        <f t="shared" si="98"/>
        <v>110</v>
      </c>
      <c r="H1914" s="424"/>
    </row>
    <row r="1915" spans="1:8" ht="14.1" customHeight="1">
      <c r="A1915" s="748" t="s">
        <v>259</v>
      </c>
      <c r="B1915" s="749" t="s">
        <v>260</v>
      </c>
      <c r="C1915" s="430" t="s">
        <v>99</v>
      </c>
      <c r="D1915" s="742" t="s">
        <v>1401</v>
      </c>
      <c r="E1915" s="756">
        <v>0.1469</v>
      </c>
      <c r="F1915" s="501">
        <v>44.3</v>
      </c>
      <c r="G1915" s="456">
        <f>TRUNC(E1915*F1915,2)</f>
        <v>6.5</v>
      </c>
      <c r="H1915" s="424"/>
    </row>
    <row r="1916" spans="1:8" ht="14.1" customHeight="1">
      <c r="A1916" s="1422">
        <v>88316</v>
      </c>
      <c r="B1916" s="1468" t="s">
        <v>123</v>
      </c>
      <c r="C1916" s="430" t="s">
        <v>117</v>
      </c>
      <c r="D1916" s="1427" t="s">
        <v>410</v>
      </c>
      <c r="E1916" s="1471">
        <v>0.44</v>
      </c>
      <c r="F1916" s="501">
        <f>G104</f>
        <v>11.1</v>
      </c>
      <c r="G1916" s="511">
        <f>TRUNC(E1916*F1916,2)</f>
        <v>4.88</v>
      </c>
      <c r="H1916" s="424"/>
    </row>
    <row r="1917" spans="1:8" ht="14.1" customHeight="1">
      <c r="A1917" s="1423"/>
      <c r="B1917" s="1469"/>
      <c r="C1917" s="430" t="s">
        <v>99</v>
      </c>
      <c r="D1917" s="1428"/>
      <c r="E1917" s="1472"/>
      <c r="F1917" s="501">
        <f>G105</f>
        <v>4.5600000000000005</v>
      </c>
      <c r="G1917" s="456">
        <f>TRUNC(E1916*F1917,2)</f>
        <v>2</v>
      </c>
      <c r="H1917" s="424"/>
    </row>
    <row r="1918" spans="1:8" ht="14.1" customHeight="1">
      <c r="A1918" s="1422">
        <v>88267</v>
      </c>
      <c r="B1918" s="1468" t="s">
        <v>298</v>
      </c>
      <c r="C1918" s="430" t="s">
        <v>117</v>
      </c>
      <c r="D1918" s="1427" t="s">
        <v>410</v>
      </c>
      <c r="E1918" s="1471">
        <v>0.78</v>
      </c>
      <c r="F1918" s="435">
        <f>G338</f>
        <v>15.41</v>
      </c>
      <c r="G1918" s="456">
        <f>TRUNC(E1918*F1918,2)</f>
        <v>12.01</v>
      </c>
      <c r="H1918" s="424"/>
    </row>
    <row r="1919" spans="1:8" ht="14.1" customHeight="1">
      <c r="A1919" s="1423"/>
      <c r="B1919" s="1469"/>
      <c r="C1919" s="430" t="s">
        <v>99</v>
      </c>
      <c r="D1919" s="1428"/>
      <c r="E1919" s="1472"/>
      <c r="F1919" s="435">
        <f>G339</f>
        <v>4.5600000000000005</v>
      </c>
      <c r="G1919" s="456">
        <f t="shared" ref="G1919" si="99">TRUNC(E1918*F1919,2)</f>
        <v>3.55</v>
      </c>
      <c r="H1919" s="424"/>
    </row>
    <row r="1920" spans="1:8" ht="14.1" customHeight="1">
      <c r="C1920" s="173"/>
      <c r="D1920" s="464"/>
      <c r="E1920" s="513"/>
      <c r="F1920" s="514" t="s">
        <v>103</v>
      </c>
      <c r="G1920" s="466">
        <f>G1916+G1918</f>
        <v>16.89</v>
      </c>
      <c r="H1920" s="170"/>
    </row>
    <row r="1921" spans="1:8" ht="14.1" customHeight="1">
      <c r="C1921" s="173"/>
      <c r="D1921" s="437"/>
      <c r="E1921" s="515"/>
      <c r="F1921" s="438" t="s">
        <v>105</v>
      </c>
      <c r="G1921" s="456">
        <f>G1912+G1913+G1914+G1915+G1917+G1919</f>
        <v>147.47</v>
      </c>
      <c r="H1921" s="170"/>
    </row>
    <row r="1922" spans="1:8" ht="14.1" customHeight="1">
      <c r="C1922" s="173"/>
      <c r="D1922" s="437"/>
      <c r="E1922" s="515"/>
      <c r="F1922" s="438" t="s">
        <v>106</v>
      </c>
      <c r="G1922" s="457">
        <f>SUM(G1920:G1921)</f>
        <v>164.36</v>
      </c>
      <c r="H1922" s="560"/>
    </row>
    <row r="1923" spans="1:8">
      <c r="A1923" s="516"/>
      <c r="B1923" s="517"/>
      <c r="C1923" s="518"/>
      <c r="D1923" s="516"/>
      <c r="E1923" s="517"/>
      <c r="F1923" s="517"/>
      <c r="G1923" s="517"/>
      <c r="H1923" s="516"/>
    </row>
    <row r="1925" spans="1:8">
      <c r="A1925" s="170" t="s">
        <v>1258</v>
      </c>
      <c r="C1925" s="173"/>
      <c r="D1925" s="170"/>
      <c r="E1925" s="193"/>
      <c r="H1925" s="424"/>
    </row>
    <row r="1926" spans="1:8">
      <c r="A1926" s="220" t="s">
        <v>2239</v>
      </c>
      <c r="C1926" s="173"/>
      <c r="D1926" s="170"/>
      <c r="E1926" s="193"/>
      <c r="H1926" s="424"/>
    </row>
    <row r="1927" spans="1:8" ht="28.5" customHeight="1">
      <c r="A1927" s="505" t="s">
        <v>1536</v>
      </c>
      <c r="B1927" s="1429" t="s">
        <v>2238</v>
      </c>
      <c r="C1927" s="1429"/>
      <c r="D1927" s="1429"/>
      <c r="E1927" s="942" t="s">
        <v>1538</v>
      </c>
      <c r="G1927" s="506"/>
      <c r="H1927" s="424"/>
    </row>
    <row r="1928" spans="1:8" ht="26.25" customHeight="1">
      <c r="A1928" s="935" t="s">
        <v>30</v>
      </c>
      <c r="B1928" s="507" t="s">
        <v>19</v>
      </c>
      <c r="C1928" s="430" t="s">
        <v>92</v>
      </c>
      <c r="D1928" s="933" t="s">
        <v>88</v>
      </c>
      <c r="E1928" s="933" t="s">
        <v>93</v>
      </c>
      <c r="F1928" s="432" t="s">
        <v>94</v>
      </c>
      <c r="G1928" s="508" t="s">
        <v>95</v>
      </c>
      <c r="H1928" s="424"/>
    </row>
    <row r="1929" spans="1:8" ht="33.75">
      <c r="A1929" s="930" t="s">
        <v>1890</v>
      </c>
      <c r="B1929" s="931" t="s">
        <v>1891</v>
      </c>
      <c r="C1929" s="430" t="s">
        <v>99</v>
      </c>
      <c r="D1929" s="934" t="s">
        <v>408</v>
      </c>
      <c r="E1929" s="932">
        <v>2</v>
      </c>
      <c r="F1929" s="432">
        <v>11.94</v>
      </c>
      <c r="G1929" s="456">
        <f>TRUNC(E1929*F1929,2)</f>
        <v>23.88</v>
      </c>
      <c r="H1929" s="424"/>
    </row>
    <row r="1930" spans="1:8" ht="15" customHeight="1">
      <c r="A1930" s="930" t="s">
        <v>1892</v>
      </c>
      <c r="B1930" s="931" t="s">
        <v>1895</v>
      </c>
      <c r="C1930" s="430" t="s">
        <v>99</v>
      </c>
      <c r="D1930" s="934" t="s">
        <v>408</v>
      </c>
      <c r="E1930" s="932">
        <v>1</v>
      </c>
      <c r="F1930" s="432">
        <v>1.54</v>
      </c>
      <c r="G1930" s="456">
        <f t="shared" ref="G1930:G1931" si="100">TRUNC(E1930*F1930,2)</f>
        <v>1.54</v>
      </c>
      <c r="H1930" s="424"/>
    </row>
    <row r="1931" spans="1:8" ht="24.75" customHeight="1">
      <c r="A1931" s="930">
        <v>36520</v>
      </c>
      <c r="B1931" s="931" t="s">
        <v>2240</v>
      </c>
      <c r="C1931" s="430" t="s">
        <v>99</v>
      </c>
      <c r="D1931" s="934" t="s">
        <v>408</v>
      </c>
      <c r="E1931" s="932">
        <v>1</v>
      </c>
      <c r="F1931" s="501">
        <v>548.03</v>
      </c>
      <c r="G1931" s="456">
        <f t="shared" si="100"/>
        <v>548.03</v>
      </c>
      <c r="H1931" s="424"/>
    </row>
    <row r="1932" spans="1:8" ht="15" customHeight="1">
      <c r="A1932" s="930" t="s">
        <v>259</v>
      </c>
      <c r="B1932" s="931" t="s">
        <v>260</v>
      </c>
      <c r="C1932" s="430" t="s">
        <v>99</v>
      </c>
      <c r="D1932" s="934" t="s">
        <v>1401</v>
      </c>
      <c r="E1932" s="940">
        <v>0.1469</v>
      </c>
      <c r="F1932" s="501">
        <v>44.3</v>
      </c>
      <c r="G1932" s="456">
        <f>TRUNC(E1932*F1932,2)</f>
        <v>6.5</v>
      </c>
      <c r="H1932" s="424"/>
    </row>
    <row r="1933" spans="1:8" ht="15" customHeight="1">
      <c r="A1933" s="1422">
        <v>88316</v>
      </c>
      <c r="B1933" s="1468" t="s">
        <v>123</v>
      </c>
      <c r="C1933" s="430" t="s">
        <v>117</v>
      </c>
      <c r="D1933" s="1427" t="s">
        <v>410</v>
      </c>
      <c r="E1933" s="1471">
        <v>0.44</v>
      </c>
      <c r="F1933" s="501">
        <f>G104</f>
        <v>11.1</v>
      </c>
      <c r="G1933" s="511">
        <f>TRUNC(E1933*F1933,2)</f>
        <v>4.88</v>
      </c>
      <c r="H1933" s="424"/>
    </row>
    <row r="1934" spans="1:8" ht="15" customHeight="1">
      <c r="A1934" s="1423"/>
      <c r="B1934" s="1469"/>
      <c r="C1934" s="430" t="s">
        <v>99</v>
      </c>
      <c r="D1934" s="1428"/>
      <c r="E1934" s="1472"/>
      <c r="F1934" s="501">
        <f>G105</f>
        <v>4.5600000000000005</v>
      </c>
      <c r="G1934" s="456">
        <f>TRUNC(E1933*F1934,2)</f>
        <v>2</v>
      </c>
      <c r="H1934" s="424"/>
    </row>
    <row r="1935" spans="1:8" ht="15" customHeight="1">
      <c r="A1935" s="1422">
        <v>88267</v>
      </c>
      <c r="B1935" s="1468" t="s">
        <v>298</v>
      </c>
      <c r="C1935" s="430" t="s">
        <v>117</v>
      </c>
      <c r="D1935" s="1427" t="s">
        <v>410</v>
      </c>
      <c r="E1935" s="1471">
        <v>0.78</v>
      </c>
      <c r="F1935" s="435">
        <f>G338</f>
        <v>15.41</v>
      </c>
      <c r="G1935" s="456">
        <f>TRUNC(E1935*F1935,2)</f>
        <v>12.01</v>
      </c>
      <c r="H1935" s="424"/>
    </row>
    <row r="1936" spans="1:8" ht="15" customHeight="1">
      <c r="A1936" s="1423"/>
      <c r="B1936" s="1469"/>
      <c r="C1936" s="430" t="s">
        <v>99</v>
      </c>
      <c r="D1936" s="1428"/>
      <c r="E1936" s="1472"/>
      <c r="F1936" s="435">
        <f>G339</f>
        <v>4.5600000000000005</v>
      </c>
      <c r="G1936" s="456">
        <f t="shared" ref="G1936" si="101">TRUNC(E1935*F1936,2)</f>
        <v>3.55</v>
      </c>
      <c r="H1936" s="424"/>
    </row>
    <row r="1937" spans="1:8" ht="15" customHeight="1">
      <c r="C1937" s="173"/>
      <c r="D1937" s="464"/>
      <c r="E1937" s="513"/>
      <c r="F1937" s="514" t="s">
        <v>103</v>
      </c>
      <c r="G1937" s="466">
        <f>G1933+G1935</f>
        <v>16.89</v>
      </c>
      <c r="H1937" s="170"/>
    </row>
    <row r="1938" spans="1:8" ht="15" customHeight="1">
      <c r="C1938" s="173"/>
      <c r="D1938" s="437"/>
      <c r="E1938" s="515"/>
      <c r="F1938" s="438" t="s">
        <v>105</v>
      </c>
      <c r="G1938" s="456">
        <f>G1929+G1930+G1931+G1932+G1934+G1936</f>
        <v>585.49999999999989</v>
      </c>
      <c r="H1938" s="170"/>
    </row>
    <row r="1939" spans="1:8" ht="15" customHeight="1">
      <c r="C1939" s="173"/>
      <c r="D1939" s="437"/>
      <c r="E1939" s="515"/>
      <c r="F1939" s="438" t="s">
        <v>106</v>
      </c>
      <c r="G1939" s="457">
        <f>SUM(G1937:G1938)</f>
        <v>602.38999999999987</v>
      </c>
      <c r="H1939" s="560"/>
    </row>
    <row r="1940" spans="1:8">
      <c r="A1940" s="516"/>
      <c r="B1940" s="517"/>
      <c r="C1940" s="518"/>
      <c r="D1940" s="516"/>
      <c r="E1940" s="517"/>
      <c r="F1940" s="517"/>
      <c r="G1940" s="517"/>
      <c r="H1940" s="516"/>
    </row>
    <row r="1942" spans="1:8">
      <c r="A1942" s="170" t="s">
        <v>1258</v>
      </c>
      <c r="C1942" s="173"/>
      <c r="D1942" s="170"/>
      <c r="E1942" s="193"/>
      <c r="H1942" s="424"/>
    </row>
    <row r="1943" spans="1:8">
      <c r="A1943" s="220" t="s">
        <v>2752</v>
      </c>
      <c r="C1943" s="173"/>
      <c r="D1943" s="170"/>
      <c r="E1943" s="193"/>
      <c r="H1943" s="424"/>
    </row>
    <row r="1944" spans="1:8" ht="25.5" customHeight="1">
      <c r="A1944" s="505" t="s">
        <v>1536</v>
      </c>
      <c r="B1944" s="1429" t="s">
        <v>2753</v>
      </c>
      <c r="C1944" s="1429"/>
      <c r="D1944" s="1429"/>
      <c r="E1944" s="1040" t="s">
        <v>1538</v>
      </c>
      <c r="G1944" s="506"/>
      <c r="H1944" s="424"/>
    </row>
    <row r="1945" spans="1:8" ht="24" customHeight="1">
      <c r="A1945" s="1103" t="s">
        <v>30</v>
      </c>
      <c r="B1945" s="507" t="s">
        <v>19</v>
      </c>
      <c r="C1945" s="430" t="s">
        <v>92</v>
      </c>
      <c r="D1945" s="1094" t="s">
        <v>88</v>
      </c>
      <c r="E1945" s="1094" t="s">
        <v>93</v>
      </c>
      <c r="F1945" s="432" t="s">
        <v>94</v>
      </c>
      <c r="G1945" s="508" t="s">
        <v>95</v>
      </c>
      <c r="H1945" s="424"/>
    </row>
    <row r="1946" spans="1:8" ht="14.1" customHeight="1">
      <c r="A1946" s="1102" t="s">
        <v>292</v>
      </c>
      <c r="B1946" s="1093" t="s">
        <v>293</v>
      </c>
      <c r="C1946" s="430" t="s">
        <v>99</v>
      </c>
      <c r="D1946" s="1096" t="s">
        <v>408</v>
      </c>
      <c r="E1946" s="1095">
        <v>0.04</v>
      </c>
      <c r="F1946" s="432">
        <v>11.94</v>
      </c>
      <c r="G1946" s="456">
        <f>TRUNC(E1946*F1946,2)</f>
        <v>0.47</v>
      </c>
      <c r="H1946" s="424"/>
    </row>
    <row r="1947" spans="1:8" ht="22.5">
      <c r="A1947" s="1102" t="s">
        <v>2754</v>
      </c>
      <c r="B1947" s="1093" t="s">
        <v>2755</v>
      </c>
      <c r="C1947" s="430" t="s">
        <v>99</v>
      </c>
      <c r="D1947" s="1096" t="s">
        <v>408</v>
      </c>
      <c r="E1947" s="1095">
        <v>1</v>
      </c>
      <c r="F1947" s="432">
        <v>1.54</v>
      </c>
      <c r="G1947" s="456">
        <f t="shared" ref="G1947" si="102">TRUNC(E1947*F1947,2)</f>
        <v>1.54</v>
      </c>
      <c r="H1947" s="424"/>
    </row>
    <row r="1948" spans="1:8" ht="14.1" customHeight="1">
      <c r="A1948" s="1422">
        <v>88316</v>
      </c>
      <c r="B1948" s="1468" t="s">
        <v>123</v>
      </c>
      <c r="C1948" s="430" t="s">
        <v>117</v>
      </c>
      <c r="D1948" s="1427" t="s">
        <v>410</v>
      </c>
      <c r="E1948" s="1425">
        <v>0.05</v>
      </c>
      <c r="F1948" s="501">
        <f>G104</f>
        <v>11.1</v>
      </c>
      <c r="G1948" s="511">
        <f>TRUNC(E1948*F1948,2)</f>
        <v>0.55000000000000004</v>
      </c>
      <c r="H1948" s="424"/>
    </row>
    <row r="1949" spans="1:8" ht="14.1" customHeight="1">
      <c r="A1949" s="1423"/>
      <c r="B1949" s="1469"/>
      <c r="C1949" s="430" t="s">
        <v>99</v>
      </c>
      <c r="D1949" s="1428"/>
      <c r="E1949" s="1426"/>
      <c r="F1949" s="501">
        <f>G105</f>
        <v>4.5600000000000005</v>
      </c>
      <c r="G1949" s="456">
        <f>TRUNC(E1948*F1949,2)</f>
        <v>0.22</v>
      </c>
      <c r="H1949" s="424"/>
    </row>
    <row r="1950" spans="1:8" ht="14.1" customHeight="1">
      <c r="A1950" s="1422">
        <v>88267</v>
      </c>
      <c r="B1950" s="1468" t="s">
        <v>298</v>
      </c>
      <c r="C1950" s="430" t="s">
        <v>117</v>
      </c>
      <c r="D1950" s="1427" t="s">
        <v>410</v>
      </c>
      <c r="E1950" s="1425">
        <v>0.17</v>
      </c>
      <c r="F1950" s="435">
        <f>G338</f>
        <v>15.41</v>
      </c>
      <c r="G1950" s="456">
        <f>TRUNC(E1950*F1950,2)</f>
        <v>2.61</v>
      </c>
      <c r="H1950" s="424"/>
    </row>
    <row r="1951" spans="1:8" ht="14.1" customHeight="1">
      <c r="A1951" s="1423"/>
      <c r="B1951" s="1469"/>
      <c r="C1951" s="430" t="s">
        <v>99</v>
      </c>
      <c r="D1951" s="1428"/>
      <c r="E1951" s="1426"/>
      <c r="F1951" s="435">
        <f>G339</f>
        <v>4.5600000000000005</v>
      </c>
      <c r="G1951" s="456">
        <f t="shared" ref="G1951" si="103">TRUNC(E1950*F1951,2)</f>
        <v>0.77</v>
      </c>
      <c r="H1951" s="424"/>
    </row>
    <row r="1952" spans="1:8" ht="14.1" customHeight="1">
      <c r="C1952" s="173"/>
      <c r="D1952" s="464"/>
      <c r="E1952" s="513"/>
      <c r="F1952" s="514" t="s">
        <v>103</v>
      </c>
      <c r="G1952" s="466">
        <f>G1948+G1950</f>
        <v>3.16</v>
      </c>
      <c r="H1952" s="170"/>
    </row>
    <row r="1953" spans="1:8" ht="14.1" customHeight="1">
      <c r="C1953" s="173"/>
      <c r="D1953" s="437"/>
      <c r="E1953" s="515"/>
      <c r="F1953" s="438" t="s">
        <v>105</v>
      </c>
      <c r="G1953" s="456">
        <f>G1946+G1947+G1949+G1951</f>
        <v>3</v>
      </c>
      <c r="H1953" s="170"/>
    </row>
    <row r="1954" spans="1:8" ht="14.1" customHeight="1">
      <c r="C1954" s="173"/>
      <c r="D1954" s="437"/>
      <c r="E1954" s="515"/>
      <c r="F1954" s="438" t="s">
        <v>106</v>
      </c>
      <c r="G1954" s="457">
        <f>SUM(G1952:G1953)</f>
        <v>6.16</v>
      </c>
      <c r="H1954" s="560"/>
    </row>
    <row r="1955" spans="1:8">
      <c r="A1955" s="516"/>
      <c r="B1955" s="517"/>
      <c r="C1955" s="518"/>
      <c r="D1955" s="516"/>
      <c r="E1955" s="517"/>
      <c r="F1955" s="517"/>
      <c r="G1955" s="517"/>
      <c r="H1955" s="516"/>
    </row>
    <row r="1957" spans="1:8">
      <c r="A1957" s="170" t="s">
        <v>1258</v>
      </c>
      <c r="C1957" s="173"/>
      <c r="D1957" s="170"/>
      <c r="E1957" s="193"/>
      <c r="H1957" s="424"/>
    </row>
    <row r="1958" spans="1:8">
      <c r="A1958" s="220" t="s">
        <v>2756</v>
      </c>
      <c r="C1958" s="173"/>
      <c r="D1958" s="170"/>
      <c r="E1958" s="193"/>
      <c r="H1958" s="424"/>
    </row>
    <row r="1959" spans="1:8" ht="15.75" customHeight="1">
      <c r="A1959" s="505" t="s">
        <v>1536</v>
      </c>
      <c r="B1959" s="1429" t="s">
        <v>2751</v>
      </c>
      <c r="C1959" s="1429"/>
      <c r="D1959" s="1429"/>
      <c r="E1959" s="722" t="s">
        <v>1538</v>
      </c>
      <c r="G1959" s="506"/>
      <c r="H1959" s="424"/>
    </row>
    <row r="1960" spans="1:8" ht="22.5">
      <c r="A1960" s="1103" t="s">
        <v>30</v>
      </c>
      <c r="B1960" s="507" t="s">
        <v>19</v>
      </c>
      <c r="C1960" s="430" t="s">
        <v>92</v>
      </c>
      <c r="D1960" s="1094" t="s">
        <v>88</v>
      </c>
      <c r="E1960" s="1094" t="s">
        <v>93</v>
      </c>
      <c r="F1960" s="432" t="s">
        <v>94</v>
      </c>
      <c r="G1960" s="508" t="s">
        <v>95</v>
      </c>
      <c r="H1960" s="424"/>
    </row>
    <row r="1961" spans="1:8" ht="15" customHeight="1">
      <c r="A1961" s="1102" t="s">
        <v>292</v>
      </c>
      <c r="B1961" s="1093" t="s">
        <v>293</v>
      </c>
      <c r="C1961" s="430" t="s">
        <v>99</v>
      </c>
      <c r="D1961" s="1096" t="s">
        <v>408</v>
      </c>
      <c r="E1961" s="1095">
        <v>0.05</v>
      </c>
      <c r="F1961" s="432">
        <v>11.94</v>
      </c>
      <c r="G1961" s="456">
        <f>TRUNC(E1961*F1961,2)</f>
        <v>0.59</v>
      </c>
      <c r="H1961" s="424"/>
    </row>
    <row r="1962" spans="1:8" ht="22.5">
      <c r="A1962" s="1102" t="s">
        <v>2757</v>
      </c>
      <c r="B1962" s="1093" t="s">
        <v>2758</v>
      </c>
      <c r="C1962" s="430" t="s">
        <v>99</v>
      </c>
      <c r="D1962" s="1096" t="s">
        <v>408</v>
      </c>
      <c r="E1962" s="1095">
        <v>1</v>
      </c>
      <c r="F1962" s="432">
        <v>6.42</v>
      </c>
      <c r="G1962" s="456">
        <f t="shared" ref="G1962" si="104">TRUNC(E1962*F1962,2)</f>
        <v>6.42</v>
      </c>
      <c r="H1962" s="424"/>
    </row>
    <row r="1963" spans="1:8" ht="15" customHeight="1">
      <c r="A1963" s="1422">
        <v>88316</v>
      </c>
      <c r="B1963" s="1468" t="s">
        <v>123</v>
      </c>
      <c r="C1963" s="430" t="s">
        <v>117</v>
      </c>
      <c r="D1963" s="1427" t="s">
        <v>410</v>
      </c>
      <c r="E1963" s="1425">
        <v>0.03</v>
      </c>
      <c r="F1963" s="501">
        <f>G104</f>
        <v>11.1</v>
      </c>
      <c r="G1963" s="511">
        <f>TRUNC(E1963*F1963,2)</f>
        <v>0.33</v>
      </c>
      <c r="H1963" s="424"/>
    </row>
    <row r="1964" spans="1:8" ht="15" customHeight="1">
      <c r="A1964" s="1423"/>
      <c r="B1964" s="1469"/>
      <c r="C1964" s="430" t="s">
        <v>99</v>
      </c>
      <c r="D1964" s="1428"/>
      <c r="E1964" s="1426"/>
      <c r="F1964" s="501">
        <f>G105</f>
        <v>4.5600000000000005</v>
      </c>
      <c r="G1964" s="456">
        <f>TRUNC(E1963*F1964,2)</f>
        <v>0.13</v>
      </c>
      <c r="H1964" s="424"/>
    </row>
    <row r="1965" spans="1:8" ht="15" customHeight="1">
      <c r="A1965" s="1422">
        <v>88267</v>
      </c>
      <c r="B1965" s="1468" t="s">
        <v>298</v>
      </c>
      <c r="C1965" s="430" t="s">
        <v>117</v>
      </c>
      <c r="D1965" s="1427" t="s">
        <v>410</v>
      </c>
      <c r="E1965" s="1425">
        <v>0.08</v>
      </c>
      <c r="F1965" s="435">
        <f>G338</f>
        <v>15.41</v>
      </c>
      <c r="G1965" s="456">
        <f>TRUNC(E1965*F1965,2)</f>
        <v>1.23</v>
      </c>
      <c r="H1965" s="424"/>
    </row>
    <row r="1966" spans="1:8" ht="15" customHeight="1">
      <c r="A1966" s="1423"/>
      <c r="B1966" s="1469"/>
      <c r="C1966" s="430" t="s">
        <v>99</v>
      </c>
      <c r="D1966" s="1428"/>
      <c r="E1966" s="1426"/>
      <c r="F1966" s="435">
        <f>G339</f>
        <v>4.5600000000000005</v>
      </c>
      <c r="G1966" s="456">
        <f t="shared" ref="G1966" si="105">TRUNC(E1965*F1966,2)</f>
        <v>0.36</v>
      </c>
      <c r="H1966" s="424"/>
    </row>
    <row r="1967" spans="1:8" ht="15" customHeight="1">
      <c r="C1967" s="173"/>
      <c r="D1967" s="464"/>
      <c r="E1967" s="513"/>
      <c r="F1967" s="514" t="s">
        <v>103</v>
      </c>
      <c r="G1967" s="466">
        <f>G1963+G1965</f>
        <v>1.56</v>
      </c>
      <c r="H1967" s="170"/>
    </row>
    <row r="1968" spans="1:8" ht="15" customHeight="1">
      <c r="C1968" s="173"/>
      <c r="D1968" s="437"/>
      <c r="E1968" s="515"/>
      <c r="F1968" s="438" t="s">
        <v>105</v>
      </c>
      <c r="G1968" s="456">
        <f>G1961+G1962+G1964+G1966</f>
        <v>7.5</v>
      </c>
      <c r="H1968" s="170"/>
    </row>
    <row r="1969" spans="1:10" ht="15" customHeight="1">
      <c r="C1969" s="173"/>
      <c r="D1969" s="437"/>
      <c r="E1969" s="515"/>
      <c r="F1969" s="438" t="s">
        <v>106</v>
      </c>
      <c r="G1969" s="457">
        <f>SUM(G1967:G1968)</f>
        <v>9.06</v>
      </c>
      <c r="H1969" s="560"/>
    </row>
    <row r="1970" spans="1:10">
      <c r="A1970" s="516"/>
      <c r="B1970" s="517"/>
      <c r="C1970" s="518"/>
      <c r="D1970" s="516"/>
      <c r="E1970" s="517"/>
      <c r="F1970" s="517"/>
      <c r="G1970" s="517"/>
      <c r="H1970" s="516"/>
    </row>
    <row r="1972" spans="1:10">
      <c r="A1972" s="170" t="s">
        <v>1258</v>
      </c>
      <c r="C1972" s="173"/>
      <c r="D1972" s="170"/>
      <c r="E1972" s="193"/>
      <c r="H1972" s="424"/>
    </row>
    <row r="1973" spans="1:10">
      <c r="A1973" s="220" t="s">
        <v>2885</v>
      </c>
      <c r="C1973" s="173"/>
      <c r="D1973" s="170"/>
      <c r="E1973" s="193"/>
      <c r="H1973" s="424"/>
    </row>
    <row r="1974" spans="1:10" ht="24.75" customHeight="1">
      <c r="A1974" s="505" t="s">
        <v>1536</v>
      </c>
      <c r="B1974" s="1429" t="s">
        <v>2773</v>
      </c>
      <c r="C1974" s="1429"/>
      <c r="D1974" s="1429"/>
      <c r="E1974" s="722" t="s">
        <v>1538</v>
      </c>
      <c r="G1974" s="506"/>
      <c r="H1974" s="424"/>
    </row>
    <row r="1975" spans="1:10" ht="22.5">
      <c r="A1975" s="1103" t="s">
        <v>30</v>
      </c>
      <c r="B1975" s="507" t="s">
        <v>19</v>
      </c>
      <c r="C1975" s="430" t="s">
        <v>92</v>
      </c>
      <c r="D1975" s="1094" t="s">
        <v>88</v>
      </c>
      <c r="E1975" s="1094" t="s">
        <v>93</v>
      </c>
      <c r="F1975" s="432" t="s">
        <v>94</v>
      </c>
      <c r="G1975" s="508" t="s">
        <v>95</v>
      </c>
      <c r="H1975" s="424"/>
    </row>
    <row r="1976" spans="1:10" ht="15" customHeight="1">
      <c r="A1976" s="1102" t="s">
        <v>264</v>
      </c>
      <c r="B1976" s="1093" t="s">
        <v>265</v>
      </c>
      <c r="C1976" s="430" t="s">
        <v>99</v>
      </c>
      <c r="D1976" s="1096" t="s">
        <v>408</v>
      </c>
      <c r="E1976" s="1098">
        <v>0.52710000000000001</v>
      </c>
      <c r="F1976" s="432">
        <v>28.09</v>
      </c>
      <c r="G1976" s="456">
        <f>TRUNC(E1976*F1976,2)</f>
        <v>14.8</v>
      </c>
      <c r="H1976" s="424"/>
      <c r="J1976" s="170" t="s">
        <v>2775</v>
      </c>
    </row>
    <row r="1977" spans="1:10" ht="22.5">
      <c r="A1977" s="1102" t="s">
        <v>90</v>
      </c>
      <c r="B1977" s="1093" t="s">
        <v>2774</v>
      </c>
      <c r="C1977" s="430" t="s">
        <v>99</v>
      </c>
      <c r="D1977" s="1096" t="s">
        <v>408</v>
      </c>
      <c r="E1977" s="1095">
        <v>1</v>
      </c>
      <c r="F1977" s="501">
        <v>599.9</v>
      </c>
      <c r="G1977" s="456">
        <f t="shared" ref="G1977" si="106">TRUNC(E1977*F1977,2)</f>
        <v>599.9</v>
      </c>
      <c r="H1977" s="424"/>
    </row>
    <row r="1978" spans="1:10" ht="15" customHeight="1">
      <c r="A1978" s="1422">
        <v>88316</v>
      </c>
      <c r="B1978" s="1468" t="s">
        <v>123</v>
      </c>
      <c r="C1978" s="430" t="s">
        <v>117</v>
      </c>
      <c r="D1978" s="1427" t="s">
        <v>410</v>
      </c>
      <c r="E1978" s="1425">
        <v>0.03</v>
      </c>
      <c r="F1978" s="501">
        <f>G104</f>
        <v>11.1</v>
      </c>
      <c r="G1978" s="511">
        <f>TRUNC(E1978*F1978,2)</f>
        <v>0.33</v>
      </c>
      <c r="H1978" s="424"/>
    </row>
    <row r="1979" spans="1:10" ht="15" customHeight="1">
      <c r="A1979" s="1423"/>
      <c r="B1979" s="1469"/>
      <c r="C1979" s="430" t="s">
        <v>99</v>
      </c>
      <c r="D1979" s="1428"/>
      <c r="E1979" s="1426"/>
      <c r="F1979" s="501">
        <f>G105</f>
        <v>4.5600000000000005</v>
      </c>
      <c r="G1979" s="456">
        <f>TRUNC(E1978*F1979,2)</f>
        <v>0.13</v>
      </c>
      <c r="H1979" s="424"/>
    </row>
    <row r="1980" spans="1:10" ht="15" customHeight="1">
      <c r="A1980" s="1422">
        <v>88267</v>
      </c>
      <c r="B1980" s="1468" t="s">
        <v>298</v>
      </c>
      <c r="C1980" s="430" t="s">
        <v>117</v>
      </c>
      <c r="D1980" s="1427" t="s">
        <v>410</v>
      </c>
      <c r="E1980" s="1425">
        <v>0.08</v>
      </c>
      <c r="F1980" s="435">
        <f>G338</f>
        <v>15.41</v>
      </c>
      <c r="G1980" s="456">
        <f>TRUNC(E1980*F1980,2)</f>
        <v>1.23</v>
      </c>
      <c r="H1980" s="424"/>
    </row>
    <row r="1981" spans="1:10" ht="15" customHeight="1">
      <c r="A1981" s="1423"/>
      <c r="B1981" s="1469"/>
      <c r="C1981" s="430" t="s">
        <v>99</v>
      </c>
      <c r="D1981" s="1428"/>
      <c r="E1981" s="1426"/>
      <c r="F1981" s="435">
        <f>G339</f>
        <v>4.5600000000000005</v>
      </c>
      <c r="G1981" s="456">
        <f t="shared" ref="G1981" si="107">TRUNC(E1980*F1981,2)</f>
        <v>0.36</v>
      </c>
      <c r="H1981" s="424"/>
    </row>
    <row r="1982" spans="1:10" ht="15" customHeight="1">
      <c r="C1982" s="173"/>
      <c r="D1982" s="464"/>
      <c r="E1982" s="513"/>
      <c r="F1982" s="514" t="s">
        <v>103</v>
      </c>
      <c r="G1982" s="466">
        <f>G1978+G1980</f>
        <v>1.56</v>
      </c>
      <c r="H1982" s="170"/>
    </row>
    <row r="1983" spans="1:10" ht="15" customHeight="1">
      <c r="C1983" s="173"/>
      <c r="D1983" s="437"/>
      <c r="E1983" s="515"/>
      <c r="F1983" s="438" t="s">
        <v>105</v>
      </c>
      <c r="G1983" s="456">
        <f>G1976+G1977+G1979+G1981</f>
        <v>615.18999999999994</v>
      </c>
      <c r="H1983" s="170"/>
    </row>
    <row r="1984" spans="1:10" ht="15" customHeight="1">
      <c r="C1984" s="173"/>
      <c r="D1984" s="437"/>
      <c r="E1984" s="515"/>
      <c r="F1984" s="438" t="s">
        <v>106</v>
      </c>
      <c r="G1984" s="457">
        <f>SUM(G1982:G1983)</f>
        <v>616.74999999999989</v>
      </c>
      <c r="H1984" s="560"/>
    </row>
    <row r="1985" spans="1:8">
      <c r="A1985" s="516"/>
      <c r="B1985" s="517"/>
      <c r="C1985" s="518"/>
      <c r="D1985" s="516"/>
      <c r="E1985" s="517"/>
      <c r="F1985" s="517"/>
      <c r="G1985" s="517"/>
      <c r="H1985" s="516"/>
    </row>
  </sheetData>
  <mergeCells count="490">
    <mergeCell ref="B1314:C1314"/>
    <mergeCell ref="B1365:C1365"/>
    <mergeCell ref="B1355:C1355"/>
    <mergeCell ref="B1375:C1375"/>
    <mergeCell ref="B1385:C1385"/>
    <mergeCell ref="B60:C60"/>
    <mergeCell ref="B497:D497"/>
    <mergeCell ref="B1974:D1974"/>
    <mergeCell ref="A1978:A1979"/>
    <mergeCell ref="B1978:B1979"/>
    <mergeCell ref="D1978:D1979"/>
    <mergeCell ref="B1944:D1944"/>
    <mergeCell ref="A1948:A1949"/>
    <mergeCell ref="B1948:B1949"/>
    <mergeCell ref="D1948:D1949"/>
    <mergeCell ref="A1480:A1481"/>
    <mergeCell ref="B1480:B1481"/>
    <mergeCell ref="D1480:D1481"/>
    <mergeCell ref="B1812:D1812"/>
    <mergeCell ref="B1816:B1817"/>
    <mergeCell ref="D1816:D1817"/>
    <mergeCell ref="B1785:D1785"/>
    <mergeCell ref="B1719:B1720"/>
    <mergeCell ref="D1719:D1720"/>
    <mergeCell ref="E1978:E1979"/>
    <mergeCell ref="A1980:A1981"/>
    <mergeCell ref="B1980:B1981"/>
    <mergeCell ref="D1980:D1981"/>
    <mergeCell ref="E1980:E1981"/>
    <mergeCell ref="B1959:D1959"/>
    <mergeCell ref="A1963:A1964"/>
    <mergeCell ref="B1963:B1964"/>
    <mergeCell ref="D1963:D1964"/>
    <mergeCell ref="E1963:E1964"/>
    <mergeCell ref="A1965:A1966"/>
    <mergeCell ref="B1965:B1966"/>
    <mergeCell ref="D1965:D1966"/>
    <mergeCell ref="E1965:E1966"/>
    <mergeCell ref="E1948:E1949"/>
    <mergeCell ref="A1950:A1951"/>
    <mergeCell ref="B1950:B1951"/>
    <mergeCell ref="D1950:D1951"/>
    <mergeCell ref="E1950:E1951"/>
    <mergeCell ref="B1861:D1861"/>
    <mergeCell ref="A1867:A1868"/>
    <mergeCell ref="B1867:B1868"/>
    <mergeCell ref="D1867:D1868"/>
    <mergeCell ref="E1867:E1868"/>
    <mergeCell ref="A1869:A1870"/>
    <mergeCell ref="B1869:B1870"/>
    <mergeCell ref="D1869:D1870"/>
    <mergeCell ref="E1869:E1870"/>
    <mergeCell ref="A1933:A1934"/>
    <mergeCell ref="B1933:B1934"/>
    <mergeCell ref="D1933:D1934"/>
    <mergeCell ref="E1933:E1934"/>
    <mergeCell ref="A1935:A1936"/>
    <mergeCell ref="B1935:B1936"/>
    <mergeCell ref="D1935:D1936"/>
    <mergeCell ref="E1935:E1936"/>
    <mergeCell ref="B1927:D1927"/>
    <mergeCell ref="A1916:A1917"/>
    <mergeCell ref="E841:E842"/>
    <mergeCell ref="B770:C770"/>
    <mergeCell ref="B780:D780"/>
    <mergeCell ref="A782:A783"/>
    <mergeCell ref="B782:B783"/>
    <mergeCell ref="D782:D783"/>
    <mergeCell ref="E782:E783"/>
    <mergeCell ref="A839:A840"/>
    <mergeCell ref="B839:B840"/>
    <mergeCell ref="D839:D840"/>
    <mergeCell ref="E1480:E1481"/>
    <mergeCell ref="A1482:A1483"/>
    <mergeCell ref="B1482:B1483"/>
    <mergeCell ref="D1482:D1483"/>
    <mergeCell ref="E1482:E1483"/>
    <mergeCell ref="B1478:C1478"/>
    <mergeCell ref="E1850:E1851"/>
    <mergeCell ref="A1852:A1853"/>
    <mergeCell ref="B1852:B1853"/>
    <mergeCell ref="D1852:D1853"/>
    <mergeCell ref="E1852:E1853"/>
    <mergeCell ref="B1827:D1827"/>
    <mergeCell ref="A1833:A1834"/>
    <mergeCell ref="B1833:B1834"/>
    <mergeCell ref="D1833:D1834"/>
    <mergeCell ref="E1833:E1834"/>
    <mergeCell ref="A1835:A1836"/>
    <mergeCell ref="B1835:B1836"/>
    <mergeCell ref="D1835:D1836"/>
    <mergeCell ref="E1835:E1836"/>
    <mergeCell ref="B1844:D1844"/>
    <mergeCell ref="A1850:A1851"/>
    <mergeCell ref="B1850:B1851"/>
    <mergeCell ref="D1850:D1851"/>
    <mergeCell ref="A1787:A1788"/>
    <mergeCell ref="B1787:B1788"/>
    <mergeCell ref="D1787:D1788"/>
    <mergeCell ref="E1787:E1788"/>
    <mergeCell ref="A1789:A1790"/>
    <mergeCell ref="B1789:B1790"/>
    <mergeCell ref="D1789:D1790"/>
    <mergeCell ref="E1789:E1790"/>
    <mergeCell ref="A1774:A1775"/>
    <mergeCell ref="B1774:B1775"/>
    <mergeCell ref="D1774:D1775"/>
    <mergeCell ref="E1774:E1775"/>
    <mergeCell ref="B1776:B1777"/>
    <mergeCell ref="A1776:A1777"/>
    <mergeCell ref="D1776:D1777"/>
    <mergeCell ref="E1776:E1777"/>
    <mergeCell ref="E1816:E1817"/>
    <mergeCell ref="B1818:B1819"/>
    <mergeCell ref="D1818:D1819"/>
    <mergeCell ref="E1818:E1819"/>
    <mergeCell ref="A1816:A1817"/>
    <mergeCell ref="A1818:A1819"/>
    <mergeCell ref="B1801:B1802"/>
    <mergeCell ref="D1801:D1802"/>
    <mergeCell ref="E1801:E1802"/>
    <mergeCell ref="B1803:B1804"/>
    <mergeCell ref="D1803:D1804"/>
    <mergeCell ref="E1803:E1804"/>
    <mergeCell ref="B1758:D1758"/>
    <mergeCell ref="B1763:B1764"/>
    <mergeCell ref="D1763:D1764"/>
    <mergeCell ref="E1763:E1764"/>
    <mergeCell ref="B1772:D1772"/>
    <mergeCell ref="B1761:B1762"/>
    <mergeCell ref="D1761:D1762"/>
    <mergeCell ref="A1748:A1749"/>
    <mergeCell ref="B1748:B1749"/>
    <mergeCell ref="D1748:D1749"/>
    <mergeCell ref="E1748:E1749"/>
    <mergeCell ref="A1746:A1747"/>
    <mergeCell ref="B1746:B1747"/>
    <mergeCell ref="D1746:D1747"/>
    <mergeCell ref="E1746:E1747"/>
    <mergeCell ref="A1733:A1734"/>
    <mergeCell ref="B1733:B1734"/>
    <mergeCell ref="D1733:D1734"/>
    <mergeCell ref="E1733:E1734"/>
    <mergeCell ref="E1719:E1720"/>
    <mergeCell ref="A1735:A1736"/>
    <mergeCell ref="B1735:B1736"/>
    <mergeCell ref="D1735:D1736"/>
    <mergeCell ref="E1735:E1736"/>
    <mergeCell ref="A1665:A1666"/>
    <mergeCell ref="B1665:B1666"/>
    <mergeCell ref="D1665:D1666"/>
    <mergeCell ref="E1665:E1666"/>
    <mergeCell ref="A1667:A1668"/>
    <mergeCell ref="B1667:B1668"/>
    <mergeCell ref="D1667:D1668"/>
    <mergeCell ref="E1667:E1668"/>
    <mergeCell ref="B1730:D1730"/>
    <mergeCell ref="B1689:D1689"/>
    <mergeCell ref="A1692:A1693"/>
    <mergeCell ref="B1692:B1693"/>
    <mergeCell ref="D1692:D1693"/>
    <mergeCell ref="E1692:E1693"/>
    <mergeCell ref="A1694:A1695"/>
    <mergeCell ref="B1694:B1695"/>
    <mergeCell ref="D1694:D1695"/>
    <mergeCell ref="E1694:E1695"/>
    <mergeCell ref="B1703:D1703"/>
    <mergeCell ref="A1705:A1706"/>
    <mergeCell ref="B1705:B1706"/>
    <mergeCell ref="D1705:D1706"/>
    <mergeCell ref="E1705:E1706"/>
    <mergeCell ref="A1707:A1708"/>
    <mergeCell ref="A1650:A1651"/>
    <mergeCell ref="B1650:B1651"/>
    <mergeCell ref="D1650:D1651"/>
    <mergeCell ref="E1650:E1651"/>
    <mergeCell ref="A1652:A1653"/>
    <mergeCell ref="B1652:B1653"/>
    <mergeCell ref="D1652:D1653"/>
    <mergeCell ref="E1652:E1653"/>
    <mergeCell ref="A1654:A1655"/>
    <mergeCell ref="B1654:B1655"/>
    <mergeCell ref="D1654:D1655"/>
    <mergeCell ref="E1654:E1655"/>
    <mergeCell ref="A1636:A1637"/>
    <mergeCell ref="B1636:B1637"/>
    <mergeCell ref="D1636:D1637"/>
    <mergeCell ref="E1636:E1637"/>
    <mergeCell ref="A1638:A1639"/>
    <mergeCell ref="B1638:B1639"/>
    <mergeCell ref="D1638:D1639"/>
    <mergeCell ref="E1638:E1639"/>
    <mergeCell ref="B1647:D1647"/>
    <mergeCell ref="A1622:A1623"/>
    <mergeCell ref="B1622:B1623"/>
    <mergeCell ref="D1622:D1623"/>
    <mergeCell ref="E1622:E1623"/>
    <mergeCell ref="A1624:A1625"/>
    <mergeCell ref="B1624:B1625"/>
    <mergeCell ref="D1624:D1625"/>
    <mergeCell ref="E1624:E1625"/>
    <mergeCell ref="B1633:D1633"/>
    <mergeCell ref="A1607:A1608"/>
    <mergeCell ref="B1607:B1608"/>
    <mergeCell ref="D1607:D1608"/>
    <mergeCell ref="E1607:E1608"/>
    <mergeCell ref="A1609:A1610"/>
    <mergeCell ref="B1609:B1610"/>
    <mergeCell ref="D1609:D1610"/>
    <mergeCell ref="E1609:E1610"/>
    <mergeCell ref="B1618:D1618"/>
    <mergeCell ref="A1594:A1595"/>
    <mergeCell ref="B1594:B1595"/>
    <mergeCell ref="D1594:D1595"/>
    <mergeCell ref="E1594:E1595"/>
    <mergeCell ref="A1580:A1581"/>
    <mergeCell ref="B1580:B1581"/>
    <mergeCell ref="D1580:D1581"/>
    <mergeCell ref="E1580:E1581"/>
    <mergeCell ref="B1589:D1589"/>
    <mergeCell ref="A1592:A1593"/>
    <mergeCell ref="B1592:B1593"/>
    <mergeCell ref="D1592:D1593"/>
    <mergeCell ref="E1592:E1593"/>
    <mergeCell ref="A1534:A1535"/>
    <mergeCell ref="B1534:B1535"/>
    <mergeCell ref="D1534:D1535"/>
    <mergeCell ref="E1534:E1535"/>
    <mergeCell ref="B1574:D1574"/>
    <mergeCell ref="A1578:A1579"/>
    <mergeCell ref="B1578:B1579"/>
    <mergeCell ref="D1578:D1579"/>
    <mergeCell ref="E1578:E1579"/>
    <mergeCell ref="B1545:D1545"/>
    <mergeCell ref="A1547:A1548"/>
    <mergeCell ref="B1547:B1548"/>
    <mergeCell ref="D1547:D1548"/>
    <mergeCell ref="E1547:E1548"/>
    <mergeCell ref="B1565:B1566"/>
    <mergeCell ref="A1565:A1566"/>
    <mergeCell ref="B1561:C1561"/>
    <mergeCell ref="D1565:D1566"/>
    <mergeCell ref="E1565:E1566"/>
    <mergeCell ref="A1519:A1520"/>
    <mergeCell ref="B1519:B1520"/>
    <mergeCell ref="D1519:D1520"/>
    <mergeCell ref="E1519:E1520"/>
    <mergeCell ref="A1521:A1522"/>
    <mergeCell ref="B1521:B1522"/>
    <mergeCell ref="D1521:D1522"/>
    <mergeCell ref="E1521:E1522"/>
    <mergeCell ref="A1523:A1524"/>
    <mergeCell ref="B1523:B1524"/>
    <mergeCell ref="D1523:D1524"/>
    <mergeCell ref="E1523:E1524"/>
    <mergeCell ref="B5:C5"/>
    <mergeCell ref="B793:D793"/>
    <mergeCell ref="A798:A799"/>
    <mergeCell ref="B798:B799"/>
    <mergeCell ref="D798:D799"/>
    <mergeCell ref="E798:E799"/>
    <mergeCell ref="A800:A801"/>
    <mergeCell ref="B800:B801"/>
    <mergeCell ref="D800:D801"/>
    <mergeCell ref="E800:E801"/>
    <mergeCell ref="B345:C345"/>
    <mergeCell ref="A647:A648"/>
    <mergeCell ref="B647:B648"/>
    <mergeCell ref="D647:D648"/>
    <mergeCell ref="B597:D597"/>
    <mergeCell ref="A599:A600"/>
    <mergeCell ref="B599:B600"/>
    <mergeCell ref="B311:D311"/>
    <mergeCell ref="B328:D328"/>
    <mergeCell ref="B527:C527"/>
    <mergeCell ref="D599:D600"/>
    <mergeCell ref="E599:E600"/>
    <mergeCell ref="B612:D612"/>
    <mergeCell ref="E647:E648"/>
    <mergeCell ref="A1316:A1317"/>
    <mergeCell ref="B1316:B1317"/>
    <mergeCell ref="D1316:D1317"/>
    <mergeCell ref="A1076:A1077"/>
    <mergeCell ref="B1076:B1077"/>
    <mergeCell ref="D1076:D1077"/>
    <mergeCell ref="E1076:E1077"/>
    <mergeCell ref="B1113:D1113"/>
    <mergeCell ref="B1126:D1126"/>
    <mergeCell ref="E1316:E1317"/>
    <mergeCell ref="A1102:A1103"/>
    <mergeCell ref="E1102:E1103"/>
    <mergeCell ref="A1104:A1105"/>
    <mergeCell ref="E1104:E1105"/>
    <mergeCell ref="B1177:D1177"/>
    <mergeCell ref="B1190:D1190"/>
    <mergeCell ref="B1200:D1200"/>
    <mergeCell ref="B1210:D1210"/>
    <mergeCell ref="B1220:D1220"/>
    <mergeCell ref="A1237:A1238"/>
    <mergeCell ref="E1237:E1238"/>
    <mergeCell ref="B1246:D1246"/>
    <mergeCell ref="A1248:A1249"/>
    <mergeCell ref="B1248:B1249"/>
    <mergeCell ref="A1397:A1398"/>
    <mergeCell ref="B1397:B1398"/>
    <mergeCell ref="D1397:D1398"/>
    <mergeCell ref="E1397:E1398"/>
    <mergeCell ref="B1676:D1676"/>
    <mergeCell ref="B1468:C1468"/>
    <mergeCell ref="B1458:D1458"/>
    <mergeCell ref="B1491:D1491"/>
    <mergeCell ref="A1493:A1494"/>
    <mergeCell ref="B1493:B1494"/>
    <mergeCell ref="D1493:D1494"/>
    <mergeCell ref="E1493:E1494"/>
    <mergeCell ref="A1495:A1496"/>
    <mergeCell ref="B1495:B1496"/>
    <mergeCell ref="D1495:D1496"/>
    <mergeCell ref="E1495:E1496"/>
    <mergeCell ref="A1506:A1507"/>
    <mergeCell ref="B1506:B1507"/>
    <mergeCell ref="D1506:D1507"/>
    <mergeCell ref="E1506:E1507"/>
    <mergeCell ref="A1508:A1509"/>
    <mergeCell ref="B1508:B1509"/>
    <mergeCell ref="D1508:D1509"/>
    <mergeCell ref="E1508:E1509"/>
    <mergeCell ref="B948:D948"/>
    <mergeCell ref="B958:D958"/>
    <mergeCell ref="B43:D43"/>
    <mergeCell ref="B77:C77"/>
    <mergeCell ref="B111:C111"/>
    <mergeCell ref="B126:C126"/>
    <mergeCell ref="B141:C141"/>
    <mergeCell ref="A1721:A1722"/>
    <mergeCell ref="B1721:B1722"/>
    <mergeCell ref="D1721:D1722"/>
    <mergeCell ref="A1680:A1681"/>
    <mergeCell ref="B1680:B1681"/>
    <mergeCell ref="D1680:D1681"/>
    <mergeCell ref="B1716:D1716"/>
    <mergeCell ref="A1719:A1720"/>
    <mergeCell ref="B158:D158"/>
    <mergeCell ref="B175:D175"/>
    <mergeCell ref="B192:D192"/>
    <mergeCell ref="B226:D226"/>
    <mergeCell ref="B243:D243"/>
    <mergeCell ref="B277:D277"/>
    <mergeCell ref="B834:D834"/>
    <mergeCell ref="B1329:C1329"/>
    <mergeCell ref="B1136:D1136"/>
    <mergeCell ref="B1230:C1230"/>
    <mergeCell ref="B1237:B1238"/>
    <mergeCell ref="D1237:D1238"/>
    <mergeCell ref="B1062:B1063"/>
    <mergeCell ref="D1062:D1063"/>
    <mergeCell ref="B1074:B1075"/>
    <mergeCell ref="D1074:D1075"/>
    <mergeCell ref="B994:D994"/>
    <mergeCell ref="B1004:D1004"/>
    <mergeCell ref="B1014:D1014"/>
    <mergeCell ref="B1024:D1024"/>
    <mergeCell ref="B1146:D1146"/>
    <mergeCell ref="B1156:D1156"/>
    <mergeCell ref="B1166:D1166"/>
    <mergeCell ref="B1102:B1103"/>
    <mergeCell ref="D1102:D1103"/>
    <mergeCell ref="B1104:B1105"/>
    <mergeCell ref="D1104:D1105"/>
    <mergeCell ref="D1235:D1236"/>
    <mergeCell ref="A1233:A1234"/>
    <mergeCell ref="A1235:A1236"/>
    <mergeCell ref="B1261:D1261"/>
    <mergeCell ref="A1263:A1264"/>
    <mergeCell ref="B1263:B1264"/>
    <mergeCell ref="D1263:D1264"/>
    <mergeCell ref="E1263:E1264"/>
    <mergeCell ref="B660:C660"/>
    <mergeCell ref="B730:C730"/>
    <mergeCell ref="B740:C740"/>
    <mergeCell ref="A1062:A1063"/>
    <mergeCell ref="E1062:E1063"/>
    <mergeCell ref="A1074:A1075"/>
    <mergeCell ref="E1074:E1075"/>
    <mergeCell ref="A1026:A1027"/>
    <mergeCell ref="B1026:B1027"/>
    <mergeCell ref="D1026:D1027"/>
    <mergeCell ref="E1026:E1027"/>
    <mergeCell ref="A1060:A1061"/>
    <mergeCell ref="B1060:B1061"/>
    <mergeCell ref="D1060:D1061"/>
    <mergeCell ref="E1060:E1061"/>
    <mergeCell ref="E971:E972"/>
    <mergeCell ref="B984:D984"/>
    <mergeCell ref="D1248:D1249"/>
    <mergeCell ref="E1248:E1249"/>
    <mergeCell ref="B1233:B1234"/>
    <mergeCell ref="B1235:B1236"/>
    <mergeCell ref="B1916:B1917"/>
    <mergeCell ref="D1916:D1917"/>
    <mergeCell ref="E1916:E1917"/>
    <mergeCell ref="B1395:D1395"/>
    <mergeCell ref="B1517:D1517"/>
    <mergeCell ref="B1532:D1532"/>
    <mergeCell ref="B1603:D1603"/>
    <mergeCell ref="B1663:D1663"/>
    <mergeCell ref="B1798:D1798"/>
    <mergeCell ref="B1274:D1274"/>
    <mergeCell ref="B1284:D1284"/>
    <mergeCell ref="B1294:D1294"/>
    <mergeCell ref="B1304:D1304"/>
    <mergeCell ref="E1721:E1722"/>
    <mergeCell ref="E1680:E1681"/>
    <mergeCell ref="B1707:B1708"/>
    <mergeCell ref="D1707:D1708"/>
    <mergeCell ref="E1707:E1708"/>
    <mergeCell ref="B1744:D1744"/>
    <mergeCell ref="E1761:E1762"/>
    <mergeCell ref="B928:D928"/>
    <mergeCell ref="A1918:A1919"/>
    <mergeCell ref="B1918:B1919"/>
    <mergeCell ref="D1918:D1919"/>
    <mergeCell ref="E1918:E1919"/>
    <mergeCell ref="A1901:A1902"/>
    <mergeCell ref="B1901:B1902"/>
    <mergeCell ref="D1901:D1902"/>
    <mergeCell ref="E1901:E1902"/>
    <mergeCell ref="A1882:A1883"/>
    <mergeCell ref="B1882:B1883"/>
    <mergeCell ref="D1882:D1883"/>
    <mergeCell ref="E1882:E1883"/>
    <mergeCell ref="A1884:A1885"/>
    <mergeCell ref="B1884:B1885"/>
    <mergeCell ref="D1884:D1885"/>
    <mergeCell ref="E1884:E1885"/>
    <mergeCell ref="A1899:A1900"/>
    <mergeCell ref="B1899:B1900"/>
    <mergeCell ref="D1899:D1900"/>
    <mergeCell ref="E1899:E1900"/>
    <mergeCell ref="E1233:E1234"/>
    <mergeCell ref="E1235:E1236"/>
    <mergeCell ref="D1233:D1234"/>
    <mergeCell ref="B760:C760"/>
    <mergeCell ref="E1088:E1089"/>
    <mergeCell ref="A1090:A1091"/>
    <mergeCell ref="B1090:B1091"/>
    <mergeCell ref="D1090:D1091"/>
    <mergeCell ref="E1090:E1091"/>
    <mergeCell ref="B811:D811"/>
    <mergeCell ref="A816:A817"/>
    <mergeCell ref="B816:B817"/>
    <mergeCell ref="D816:D817"/>
    <mergeCell ref="E816:E817"/>
    <mergeCell ref="A818:A819"/>
    <mergeCell ref="B818:B819"/>
    <mergeCell ref="D818:D819"/>
    <mergeCell ref="E818:E819"/>
    <mergeCell ref="E839:E840"/>
    <mergeCell ref="B969:D969"/>
    <mergeCell ref="A971:A972"/>
    <mergeCell ref="B971:B972"/>
    <mergeCell ref="D971:D972"/>
    <mergeCell ref="B852:C852"/>
    <mergeCell ref="B895:C895"/>
    <mergeCell ref="B905:D905"/>
    <mergeCell ref="B918:D918"/>
    <mergeCell ref="B447:D447"/>
    <mergeCell ref="B693:C693"/>
    <mergeCell ref="B710:C710"/>
    <mergeCell ref="B294:D294"/>
    <mergeCell ref="B457:D457"/>
    <mergeCell ref="B467:D467"/>
    <mergeCell ref="B379:C379"/>
    <mergeCell ref="A1088:A1089"/>
    <mergeCell ref="B1088:B1089"/>
    <mergeCell ref="D1088:D1089"/>
    <mergeCell ref="B623:D623"/>
    <mergeCell ref="B634:D634"/>
    <mergeCell ref="B645:D645"/>
    <mergeCell ref="B938:D938"/>
    <mergeCell ref="B868:C868"/>
    <mergeCell ref="B885:C885"/>
    <mergeCell ref="B396:C396"/>
    <mergeCell ref="B477:D477"/>
    <mergeCell ref="A841:A842"/>
    <mergeCell ref="B841:B842"/>
    <mergeCell ref="D841:D842"/>
    <mergeCell ref="B676:C676"/>
    <mergeCell ref="B720:C720"/>
    <mergeCell ref="B750:C750"/>
  </mergeCells>
  <printOptions horizontalCentered="1"/>
  <pageMargins left="0.19685039370078741" right="0.19685039370078741" top="0.78740157480314965" bottom="0.19685039370078741" header="0" footer="0"/>
  <pageSetup paperSize="9" scale="8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03"/>
  <sheetViews>
    <sheetView topLeftCell="A221" workbookViewId="0">
      <selection activeCell="H236" sqref="H236"/>
    </sheetView>
  </sheetViews>
  <sheetFormatPr defaultRowHeight="15"/>
  <cols>
    <col min="1" max="1" width="36.5703125" customWidth="1"/>
    <col min="2" max="2" width="8.7109375" customWidth="1"/>
    <col min="3" max="3" width="3.5703125" customWidth="1"/>
    <col min="5" max="5" width="3.5703125" customWidth="1"/>
    <col min="7" max="7" width="3.7109375" customWidth="1"/>
    <col min="9" max="9" width="3.5703125" customWidth="1"/>
    <col min="11" max="11" width="3.140625" customWidth="1"/>
    <col min="12" max="12" width="10.140625" customWidth="1"/>
    <col min="13" max="13" width="3.5703125" customWidth="1"/>
    <col min="14" max="14" width="10.7109375" customWidth="1"/>
    <col min="15" max="15" width="3.42578125" customWidth="1"/>
    <col min="17" max="17" width="3.28515625" customWidth="1"/>
    <col min="18" max="18" width="10.5703125" customWidth="1"/>
    <col min="19" max="19" width="8" customWidth="1"/>
    <col min="20" max="20" width="12.42578125" customWidth="1"/>
    <col min="21" max="21" width="5.42578125" customWidth="1"/>
    <col min="22" max="22" width="6.7109375" customWidth="1"/>
    <col min="23" max="23" width="4.7109375" customWidth="1"/>
    <col min="25" max="25" width="3.7109375" customWidth="1"/>
  </cols>
  <sheetData>
    <row r="1" spans="1:28">
      <c r="A1" s="795" t="s">
        <v>848</v>
      </c>
      <c r="D1" s="875" t="s">
        <v>2187</v>
      </c>
      <c r="E1" s="798"/>
      <c r="F1" s="798"/>
      <c r="G1" s="798"/>
      <c r="H1" s="875" t="s">
        <v>2187</v>
      </c>
      <c r="I1" s="798"/>
      <c r="J1" s="798" t="s">
        <v>2159</v>
      </c>
      <c r="K1" s="798"/>
      <c r="L1" s="798"/>
      <c r="M1" s="798"/>
      <c r="N1" s="798"/>
      <c r="O1" s="798"/>
      <c r="P1" s="798"/>
      <c r="Q1" s="798"/>
      <c r="R1" s="798"/>
      <c r="S1" s="798"/>
    </row>
    <row r="2" spans="1:28" ht="23.25">
      <c r="A2" s="795"/>
      <c r="D2" s="925" t="s">
        <v>2186</v>
      </c>
      <c r="E2" s="798"/>
      <c r="F2" s="925" t="s">
        <v>2188</v>
      </c>
      <c r="G2" s="798"/>
      <c r="H2" s="924" t="s">
        <v>2189</v>
      </c>
      <c r="I2" s="798"/>
      <c r="J2" s="925" t="s">
        <v>2190</v>
      </c>
      <c r="K2" s="798"/>
      <c r="L2" s="925" t="s">
        <v>2191</v>
      </c>
      <c r="M2" s="798"/>
      <c r="N2" s="798"/>
      <c r="O2" s="798"/>
      <c r="P2" s="798"/>
      <c r="Q2" s="798"/>
      <c r="R2" s="798"/>
      <c r="S2" s="798"/>
    </row>
    <row r="3" spans="1:28">
      <c r="A3" s="790" t="s">
        <v>2183</v>
      </c>
      <c r="D3" s="789">
        <v>12</v>
      </c>
      <c r="E3" s="789" t="s">
        <v>1903</v>
      </c>
      <c r="F3" s="789">
        <v>2</v>
      </c>
      <c r="G3" s="789" t="s">
        <v>1903</v>
      </c>
      <c r="H3" s="789">
        <v>108</v>
      </c>
      <c r="I3" s="789" t="s">
        <v>1903</v>
      </c>
      <c r="J3" s="789">
        <v>1.24</v>
      </c>
      <c r="K3" s="789" t="s">
        <v>1903</v>
      </c>
      <c r="L3" s="922">
        <v>11</v>
      </c>
      <c r="M3" s="789" t="s">
        <v>1905</v>
      </c>
      <c r="N3" s="943">
        <f>D3*F3*H3*J3*L3</f>
        <v>35354.879999999997</v>
      </c>
      <c r="O3" s="948" t="s">
        <v>4</v>
      </c>
      <c r="P3" s="875" t="s">
        <v>1916</v>
      </c>
      <c r="R3" t="s">
        <v>2184</v>
      </c>
    </row>
    <row r="4" spans="1:28">
      <c r="D4" s="923">
        <f>N23</f>
        <v>2168.1000000000004</v>
      </c>
      <c r="E4" s="795" t="s">
        <v>12</v>
      </c>
      <c r="N4" s="948"/>
      <c r="O4" s="948"/>
    </row>
    <row r="5" spans="1:28">
      <c r="N5" s="948"/>
      <c r="O5" s="948"/>
    </row>
    <row r="6" spans="1:28">
      <c r="D6" s="789">
        <v>12</v>
      </c>
      <c r="E6" s="789" t="s">
        <v>1903</v>
      </c>
      <c r="F6" s="789">
        <v>2</v>
      </c>
      <c r="G6" s="789" t="s">
        <v>1903</v>
      </c>
      <c r="H6" s="789">
        <v>108</v>
      </c>
      <c r="I6" s="789" t="s">
        <v>1903</v>
      </c>
      <c r="J6" s="789">
        <v>1.24</v>
      </c>
      <c r="K6" s="789" t="s">
        <v>1903</v>
      </c>
      <c r="L6" s="922">
        <v>1</v>
      </c>
      <c r="M6" s="789" t="s">
        <v>1905</v>
      </c>
      <c r="N6" s="943">
        <f>D6*F6*H6*J6*L6</f>
        <v>3214.08</v>
      </c>
      <c r="O6" s="948" t="s">
        <v>4</v>
      </c>
      <c r="P6" s="875" t="s">
        <v>1915</v>
      </c>
      <c r="R6" t="s">
        <v>2481</v>
      </c>
    </row>
    <row r="7" spans="1:28">
      <c r="D7" s="876">
        <f>N27</f>
        <v>197.10000000000002</v>
      </c>
      <c r="E7" s="795" t="s">
        <v>12</v>
      </c>
      <c r="F7" s="789"/>
      <c r="G7" s="789"/>
      <c r="H7" s="789"/>
      <c r="I7" s="789"/>
      <c r="J7" s="789"/>
      <c r="K7" s="789"/>
      <c r="L7" s="922"/>
      <c r="M7" s="789"/>
      <c r="N7" s="943"/>
      <c r="O7" s="948"/>
      <c r="P7" s="875"/>
    </row>
    <row r="8" spans="1:28">
      <c r="N8" s="948"/>
      <c r="O8" s="948"/>
    </row>
    <row r="9" spans="1:28">
      <c r="D9" s="789">
        <v>24</v>
      </c>
      <c r="E9" s="789" t="s">
        <v>1903</v>
      </c>
      <c r="F9" s="789">
        <v>2</v>
      </c>
      <c r="G9" s="789" t="s">
        <v>1903</v>
      </c>
      <c r="H9" s="789">
        <v>108</v>
      </c>
      <c r="I9" s="789" t="s">
        <v>1903</v>
      </c>
      <c r="J9" s="789">
        <v>1.24</v>
      </c>
      <c r="K9" s="789" t="s">
        <v>1903</v>
      </c>
      <c r="L9" s="922">
        <v>1</v>
      </c>
      <c r="M9" s="789" t="s">
        <v>1905</v>
      </c>
      <c r="N9" s="943">
        <f>D9*F9*H9*J9*L9</f>
        <v>6428.16</v>
      </c>
      <c r="O9" s="948" t="s">
        <v>4</v>
      </c>
      <c r="P9" s="875" t="s">
        <v>1914</v>
      </c>
      <c r="R9" t="s">
        <v>2032</v>
      </c>
    </row>
    <row r="10" spans="1:28">
      <c r="D10" s="876">
        <f>N25</f>
        <v>394.20000000000005</v>
      </c>
      <c r="E10" s="795" t="s">
        <v>12</v>
      </c>
      <c r="F10" s="789"/>
      <c r="G10" s="789"/>
      <c r="H10" s="789"/>
      <c r="I10" s="789"/>
      <c r="J10" s="789"/>
      <c r="K10" s="789"/>
      <c r="L10" s="922"/>
      <c r="M10" s="789"/>
      <c r="N10" s="943"/>
      <c r="O10" s="948"/>
      <c r="P10" s="875"/>
    </row>
    <row r="11" spans="1:28">
      <c r="N11" s="948"/>
      <c r="O11" s="948"/>
    </row>
    <row r="12" spans="1:28">
      <c r="D12" s="789">
        <v>10</v>
      </c>
      <c r="E12" s="789" t="s">
        <v>1903</v>
      </c>
      <c r="F12" s="789">
        <v>2</v>
      </c>
      <c r="G12" s="789" t="s">
        <v>1903</v>
      </c>
      <c r="H12" s="789">
        <v>108</v>
      </c>
      <c r="I12" s="789" t="s">
        <v>1903</v>
      </c>
      <c r="J12" s="789">
        <v>1.24</v>
      </c>
      <c r="K12" s="789" t="s">
        <v>1903</v>
      </c>
      <c r="L12" s="922">
        <v>1</v>
      </c>
      <c r="M12" s="789" t="s">
        <v>1905</v>
      </c>
      <c r="N12" s="943">
        <f>D12*F12*H12*J12*L12</f>
        <v>2678.4</v>
      </c>
      <c r="O12" s="948" t="s">
        <v>4</v>
      </c>
      <c r="P12" s="875" t="s">
        <v>1913</v>
      </c>
      <c r="R12" t="s">
        <v>2185</v>
      </c>
    </row>
    <row r="13" spans="1:28">
      <c r="D13" s="876">
        <f>N29</f>
        <v>295.65000000000003</v>
      </c>
      <c r="E13" s="795" t="s">
        <v>12</v>
      </c>
      <c r="F13" s="789"/>
      <c r="G13" s="789"/>
      <c r="H13" s="789"/>
      <c r="I13" s="789"/>
      <c r="J13" s="789"/>
      <c r="K13" s="789"/>
      <c r="L13" s="922"/>
      <c r="M13" s="789"/>
      <c r="N13" s="943"/>
      <c r="O13" s="948"/>
      <c r="P13" s="875"/>
      <c r="T13" s="1161" t="s">
        <v>2892</v>
      </c>
      <c r="W13" t="s">
        <v>2893</v>
      </c>
      <c r="AA13">
        <f>12*3.3</f>
        <v>39.599999999999994</v>
      </c>
      <c r="AB13" t="s">
        <v>4</v>
      </c>
    </row>
    <row r="14" spans="1:28">
      <c r="W14" s="790" t="s">
        <v>2896</v>
      </c>
      <c r="X14" s="1163">
        <v>5000</v>
      </c>
      <c r="AA14">
        <f>40/AA13</f>
        <v>1.0101010101010102</v>
      </c>
      <c r="AB14" t="s">
        <v>2823</v>
      </c>
    </row>
    <row r="15" spans="1:28">
      <c r="L15" s="1135">
        <f>D13+D10+D7+D4</f>
        <v>3055.0500000000006</v>
      </c>
      <c r="M15" t="s">
        <v>1574</v>
      </c>
      <c r="N15" s="1135">
        <f>N12+N9+N6+N3</f>
        <v>47675.519999999997</v>
      </c>
      <c r="O15" t="s">
        <v>418</v>
      </c>
    </row>
    <row r="16" spans="1:28">
      <c r="L16" s="1135"/>
      <c r="N16" s="1135"/>
      <c r="R16" s="1135">
        <f>N15/3.3</f>
        <v>14447.127272727272</v>
      </c>
      <c r="S16" t="s">
        <v>2894</v>
      </c>
    </row>
    <row r="17" spans="1:21">
      <c r="L17" s="1135"/>
      <c r="N17" s="1135"/>
      <c r="R17" s="1135">
        <f>R16/12</f>
        <v>1203.9272727272726</v>
      </c>
      <c r="S17" t="s">
        <v>2895</v>
      </c>
      <c r="T17" s="1162">
        <f>R17*40</f>
        <v>48157.090909090904</v>
      </c>
    </row>
    <row r="18" spans="1:21">
      <c r="T18" s="1164">
        <v>7000</v>
      </c>
    </row>
    <row r="19" spans="1:21">
      <c r="T19" s="1165">
        <f>SUM(T17:T18)</f>
        <v>55157.090909090904</v>
      </c>
    </row>
    <row r="20" spans="1:21">
      <c r="T20" s="1162">
        <f>T19/L15</f>
        <v>18.054398752586994</v>
      </c>
      <c r="U20" t="s">
        <v>2897</v>
      </c>
    </row>
    <row r="21" spans="1:21">
      <c r="T21" s="1162">
        <f>T19/N15</f>
        <v>1.1569268863578397</v>
      </c>
      <c r="U21" t="s">
        <v>2988</v>
      </c>
    </row>
    <row r="23" spans="1:21">
      <c r="A23" s="790" t="s">
        <v>2192</v>
      </c>
      <c r="D23" s="791"/>
      <c r="E23" s="789"/>
      <c r="F23" s="789">
        <v>2</v>
      </c>
      <c r="G23" s="789" t="s">
        <v>1903</v>
      </c>
      <c r="H23" s="791">
        <v>15</v>
      </c>
      <c r="I23" s="789" t="s">
        <v>1903</v>
      </c>
      <c r="J23" s="791">
        <v>6.57</v>
      </c>
      <c r="K23" s="789" t="s">
        <v>1903</v>
      </c>
      <c r="L23" s="922">
        <v>11</v>
      </c>
      <c r="M23" s="789" t="s">
        <v>1905</v>
      </c>
      <c r="N23" s="923">
        <f>F23*H23*J23*L23</f>
        <v>2168.1000000000004</v>
      </c>
      <c r="O23" s="795" t="s">
        <v>12</v>
      </c>
      <c r="P23" s="875" t="s">
        <v>1916</v>
      </c>
      <c r="R23" t="s">
        <v>2184</v>
      </c>
    </row>
    <row r="24" spans="1:21">
      <c r="F24" s="789"/>
      <c r="G24" s="789"/>
      <c r="H24" s="791"/>
      <c r="I24" s="789"/>
      <c r="K24" s="789"/>
      <c r="M24" s="789"/>
      <c r="N24" s="923"/>
    </row>
    <row r="25" spans="1:21">
      <c r="F25" s="789">
        <v>2</v>
      </c>
      <c r="G25" s="789" t="s">
        <v>1903</v>
      </c>
      <c r="H25" s="791">
        <v>30</v>
      </c>
      <c r="I25" s="789" t="s">
        <v>1903</v>
      </c>
      <c r="J25" s="791">
        <f>J23</f>
        <v>6.57</v>
      </c>
      <c r="K25" s="789" t="s">
        <v>1903</v>
      </c>
      <c r="L25" s="789">
        <v>1</v>
      </c>
      <c r="M25" s="789" t="s">
        <v>1905</v>
      </c>
      <c r="N25" s="923">
        <f t="shared" ref="N25:N29" si="0">F25*H25*J25*L25</f>
        <v>394.20000000000005</v>
      </c>
      <c r="O25" s="795" t="s">
        <v>12</v>
      </c>
      <c r="P25" s="875" t="s">
        <v>1914</v>
      </c>
      <c r="R25" t="s">
        <v>2032</v>
      </c>
    </row>
    <row r="26" spans="1:21">
      <c r="F26" s="789"/>
      <c r="G26" s="789"/>
      <c r="H26" s="791"/>
      <c r="I26" s="789"/>
      <c r="J26" s="791"/>
      <c r="K26" s="789"/>
      <c r="L26" s="789"/>
      <c r="M26" s="789"/>
      <c r="N26" s="923"/>
      <c r="P26" s="875"/>
    </row>
    <row r="27" spans="1:21">
      <c r="F27" s="789">
        <v>2</v>
      </c>
      <c r="G27" s="789" t="s">
        <v>1903</v>
      </c>
      <c r="H27" s="791">
        <v>15</v>
      </c>
      <c r="I27" s="789" t="s">
        <v>1903</v>
      </c>
      <c r="J27" s="791">
        <f>J23</f>
        <v>6.57</v>
      </c>
      <c r="K27" s="789" t="s">
        <v>1903</v>
      </c>
      <c r="L27" s="789">
        <v>1</v>
      </c>
      <c r="M27" s="789" t="s">
        <v>1905</v>
      </c>
      <c r="N27" s="923">
        <f t="shared" si="0"/>
        <v>197.10000000000002</v>
      </c>
      <c r="O27" s="795" t="s">
        <v>12</v>
      </c>
      <c r="P27" s="875" t="s">
        <v>1915</v>
      </c>
      <c r="R27" t="s">
        <v>2481</v>
      </c>
    </row>
    <row r="28" spans="1:21">
      <c r="F28" s="789"/>
      <c r="G28" s="789"/>
      <c r="H28" s="791"/>
      <c r="I28" s="789"/>
      <c r="K28" s="789"/>
      <c r="M28" s="789"/>
      <c r="N28" s="923"/>
    </row>
    <row r="29" spans="1:21">
      <c r="F29" s="789">
        <v>2</v>
      </c>
      <c r="G29" s="789" t="s">
        <v>1903</v>
      </c>
      <c r="H29" s="791">
        <v>22.5</v>
      </c>
      <c r="I29" s="789" t="s">
        <v>1903</v>
      </c>
      <c r="J29" s="791">
        <f>J23</f>
        <v>6.57</v>
      </c>
      <c r="K29" s="789" t="s">
        <v>1903</v>
      </c>
      <c r="L29" s="789">
        <v>1</v>
      </c>
      <c r="M29" s="789" t="s">
        <v>1905</v>
      </c>
      <c r="N29" s="923">
        <f t="shared" si="0"/>
        <v>295.65000000000003</v>
      </c>
      <c r="O29" s="795" t="s">
        <v>12</v>
      </c>
      <c r="P29" s="875" t="s">
        <v>1913</v>
      </c>
      <c r="R29" t="s">
        <v>2185</v>
      </c>
    </row>
    <row r="30" spans="1:21">
      <c r="K30" s="789"/>
      <c r="N30" s="923"/>
    </row>
    <row r="31" spans="1:21">
      <c r="A31" s="790" t="s">
        <v>2194</v>
      </c>
      <c r="F31" s="789">
        <v>2</v>
      </c>
      <c r="G31" s="789" t="s">
        <v>1903</v>
      </c>
      <c r="H31" s="889">
        <v>6</v>
      </c>
      <c r="I31" s="789" t="s">
        <v>1903</v>
      </c>
      <c r="J31" s="791">
        <f>J23</f>
        <v>6.57</v>
      </c>
      <c r="K31" s="789" t="s">
        <v>1903</v>
      </c>
      <c r="L31" s="922">
        <v>11</v>
      </c>
      <c r="M31" s="789" t="s">
        <v>1905</v>
      </c>
      <c r="N31" s="943">
        <f>F31*H31*J31*L31</f>
        <v>867.24</v>
      </c>
    </row>
    <row r="32" spans="1:21">
      <c r="F32" s="789">
        <v>2</v>
      </c>
      <c r="G32" s="789" t="s">
        <v>1903</v>
      </c>
      <c r="H32" s="889">
        <v>2</v>
      </c>
      <c r="I32" s="789" t="s">
        <v>1903</v>
      </c>
      <c r="J32" s="791">
        <f>J23</f>
        <v>6.57</v>
      </c>
      <c r="K32" s="789" t="s">
        <v>1903</v>
      </c>
      <c r="L32" s="922">
        <v>11</v>
      </c>
      <c r="M32" s="789" t="s">
        <v>1905</v>
      </c>
      <c r="N32" s="943">
        <f>F32*H32*J32*L32</f>
        <v>289.08000000000004</v>
      </c>
    </row>
    <row r="33" spans="6:18">
      <c r="K33" s="789"/>
      <c r="N33" s="944">
        <f>SUM(N31:N32)</f>
        <v>1156.3200000000002</v>
      </c>
      <c r="O33" s="795" t="s">
        <v>4</v>
      </c>
      <c r="P33" s="875" t="s">
        <v>1916</v>
      </c>
      <c r="R33" t="s">
        <v>2482</v>
      </c>
    </row>
    <row r="34" spans="6:18">
      <c r="K34" s="789"/>
      <c r="N34" s="923"/>
    </row>
    <row r="35" spans="6:18">
      <c r="K35" s="789"/>
      <c r="N35" s="923"/>
    </row>
    <row r="36" spans="6:18">
      <c r="F36" s="789">
        <v>2</v>
      </c>
      <c r="G36" s="789" t="s">
        <v>1903</v>
      </c>
      <c r="H36" s="889">
        <v>6</v>
      </c>
      <c r="I36" s="789" t="s">
        <v>1903</v>
      </c>
      <c r="J36" s="791">
        <f>J23</f>
        <v>6.57</v>
      </c>
      <c r="K36" s="789" t="s">
        <v>1903</v>
      </c>
      <c r="L36" s="922">
        <v>1</v>
      </c>
      <c r="M36" s="789" t="s">
        <v>1905</v>
      </c>
      <c r="N36" s="943">
        <f>F36*H36*J36*L36</f>
        <v>78.84</v>
      </c>
    </row>
    <row r="37" spans="6:18">
      <c r="F37" s="789">
        <v>2</v>
      </c>
      <c r="G37" s="789" t="s">
        <v>1903</v>
      </c>
      <c r="H37" s="889">
        <v>2</v>
      </c>
      <c r="I37" s="789" t="s">
        <v>1903</v>
      </c>
      <c r="J37" s="791">
        <f>J23</f>
        <v>6.57</v>
      </c>
      <c r="K37" s="789" t="s">
        <v>1903</v>
      </c>
      <c r="L37" s="922">
        <v>1</v>
      </c>
      <c r="M37" s="789" t="s">
        <v>1905</v>
      </c>
      <c r="N37" s="943">
        <f>F37*H37*J37*L37</f>
        <v>26.28</v>
      </c>
    </row>
    <row r="38" spans="6:18">
      <c r="K38" s="789"/>
      <c r="N38" s="944">
        <f>SUM(N36:N37)</f>
        <v>105.12</v>
      </c>
      <c r="O38" s="795" t="s">
        <v>4</v>
      </c>
      <c r="P38" s="875" t="s">
        <v>1915</v>
      </c>
      <c r="R38" t="s">
        <v>2481</v>
      </c>
    </row>
    <row r="39" spans="6:18">
      <c r="K39" s="789"/>
      <c r="N39" s="923"/>
    </row>
    <row r="40" spans="6:18">
      <c r="F40" s="789">
        <v>2</v>
      </c>
      <c r="G40" s="789" t="s">
        <v>1903</v>
      </c>
      <c r="H40" s="889">
        <v>12</v>
      </c>
      <c r="I40" s="789" t="s">
        <v>1903</v>
      </c>
      <c r="J40" s="791">
        <f>J23</f>
        <v>6.57</v>
      </c>
      <c r="K40" s="789" t="s">
        <v>1903</v>
      </c>
      <c r="L40" s="922">
        <v>1</v>
      </c>
      <c r="M40" s="789" t="s">
        <v>1905</v>
      </c>
      <c r="N40" s="943">
        <f>F40*H40*J40*L40</f>
        <v>157.68</v>
      </c>
    </row>
    <row r="41" spans="6:18">
      <c r="F41" s="789">
        <v>2</v>
      </c>
      <c r="G41" s="789" t="s">
        <v>1903</v>
      </c>
      <c r="H41" s="889">
        <v>2</v>
      </c>
      <c r="I41" s="789" t="s">
        <v>1903</v>
      </c>
      <c r="J41" s="791">
        <f>J23</f>
        <v>6.57</v>
      </c>
      <c r="K41" s="789" t="s">
        <v>1903</v>
      </c>
      <c r="L41" s="922">
        <v>1</v>
      </c>
      <c r="M41" s="789" t="s">
        <v>1905</v>
      </c>
      <c r="N41" s="943">
        <f>F41*H41*J41*L41</f>
        <v>26.28</v>
      </c>
    </row>
    <row r="42" spans="6:18">
      <c r="K42" s="789"/>
      <c r="N42" s="944">
        <f>SUM(N40:N41)</f>
        <v>183.96</v>
      </c>
      <c r="O42" s="795" t="s">
        <v>4</v>
      </c>
      <c r="P42" s="875" t="s">
        <v>1914</v>
      </c>
      <c r="R42" t="s">
        <v>2032</v>
      </c>
    </row>
    <row r="45" spans="6:18">
      <c r="F45" s="789">
        <v>2</v>
      </c>
      <c r="G45" s="789" t="s">
        <v>1903</v>
      </c>
      <c r="H45" s="889">
        <v>9</v>
      </c>
      <c r="I45" s="789" t="s">
        <v>1903</v>
      </c>
      <c r="J45" s="791">
        <f>J23</f>
        <v>6.57</v>
      </c>
      <c r="K45" s="789" t="s">
        <v>1903</v>
      </c>
      <c r="L45" s="922">
        <v>1</v>
      </c>
      <c r="M45" s="789" t="s">
        <v>1905</v>
      </c>
      <c r="N45" s="943">
        <f>F45*H45*J45*L45</f>
        <v>118.26</v>
      </c>
    </row>
    <row r="46" spans="6:18">
      <c r="F46" s="789">
        <v>2</v>
      </c>
      <c r="G46" s="789" t="s">
        <v>1903</v>
      </c>
      <c r="H46" s="889">
        <v>2</v>
      </c>
      <c r="I46" s="789" t="s">
        <v>1903</v>
      </c>
      <c r="J46" s="791">
        <f>J23</f>
        <v>6.57</v>
      </c>
      <c r="K46" s="789" t="s">
        <v>1903</v>
      </c>
      <c r="L46" s="922">
        <v>1</v>
      </c>
      <c r="M46" s="789" t="s">
        <v>1905</v>
      </c>
      <c r="N46" s="943">
        <f>F46*H46*J46*L46</f>
        <v>26.28</v>
      </c>
    </row>
    <row r="47" spans="6:18">
      <c r="K47" s="789"/>
      <c r="N47" s="944">
        <f>SUM(N45:N46)</f>
        <v>144.54000000000002</v>
      </c>
      <c r="O47" s="795" t="s">
        <v>4</v>
      </c>
      <c r="P47" s="875" t="s">
        <v>1913</v>
      </c>
      <c r="R47" t="s">
        <v>2185</v>
      </c>
    </row>
    <row r="49" spans="1:6">
      <c r="A49" s="790" t="s">
        <v>2197</v>
      </c>
      <c r="B49">
        <f>F31*H31*L31</f>
        <v>132</v>
      </c>
    </row>
    <row r="50" spans="1:6">
      <c r="B50">
        <f>F32*H32*L32</f>
        <v>44</v>
      </c>
    </row>
    <row r="51" spans="1:6">
      <c r="B51" s="947">
        <f>SUM(B49:B50)</f>
        <v>176</v>
      </c>
      <c r="C51" s="795" t="s">
        <v>2022</v>
      </c>
      <c r="D51" s="875" t="s">
        <v>1916</v>
      </c>
      <c r="F51" t="s">
        <v>2184</v>
      </c>
    </row>
    <row r="53" spans="1:6">
      <c r="B53">
        <f>F36*H36*L36</f>
        <v>12</v>
      </c>
    </row>
    <row r="54" spans="1:6">
      <c r="B54">
        <f>F37*H37*L37</f>
        <v>4</v>
      </c>
    </row>
    <row r="55" spans="1:6">
      <c r="B55" s="947">
        <f>SUM(B53:B54)</f>
        <v>16</v>
      </c>
      <c r="C55" s="795" t="s">
        <v>2022</v>
      </c>
      <c r="D55" s="798" t="s">
        <v>1915</v>
      </c>
      <c r="F55" t="s">
        <v>2481</v>
      </c>
    </row>
    <row r="57" spans="1:6">
      <c r="B57">
        <f>F40*H40*L40</f>
        <v>24</v>
      </c>
    </row>
    <row r="58" spans="1:6">
      <c r="B58">
        <f>F41*H41*L41</f>
        <v>4</v>
      </c>
    </row>
    <row r="59" spans="1:6">
      <c r="B59" s="947">
        <f>SUM(B57:B58)</f>
        <v>28</v>
      </c>
      <c r="C59" s="795" t="s">
        <v>2022</v>
      </c>
      <c r="D59" s="875" t="s">
        <v>1914</v>
      </c>
      <c r="F59" t="s">
        <v>2032</v>
      </c>
    </row>
    <row r="61" spans="1:6">
      <c r="B61">
        <f>F45*H45*L45</f>
        <v>18</v>
      </c>
    </row>
    <row r="62" spans="1:6">
      <c r="B62">
        <f>F46*H46*L46</f>
        <v>4</v>
      </c>
    </row>
    <row r="63" spans="1:6">
      <c r="B63" s="947">
        <f>SUM(B61:B62)</f>
        <v>22</v>
      </c>
      <c r="C63" s="795" t="s">
        <v>2022</v>
      </c>
      <c r="D63" s="875" t="s">
        <v>1913</v>
      </c>
      <c r="F63" t="s">
        <v>2185</v>
      </c>
    </row>
    <row r="65" spans="1:18">
      <c r="A65" s="790" t="s">
        <v>2198</v>
      </c>
      <c r="B65" s="795">
        <f>B51</f>
        <v>176</v>
      </c>
      <c r="C65" s="795" t="s">
        <v>2022</v>
      </c>
      <c r="D65" s="875" t="s">
        <v>1916</v>
      </c>
      <c r="F65" t="s">
        <v>2184</v>
      </c>
    </row>
    <row r="66" spans="1:18">
      <c r="B66" s="795">
        <f>B59</f>
        <v>28</v>
      </c>
      <c r="C66" s="795" t="s">
        <v>2022</v>
      </c>
      <c r="D66" s="875" t="s">
        <v>1914</v>
      </c>
      <c r="F66" t="s">
        <v>2032</v>
      </c>
    </row>
    <row r="67" spans="1:18">
      <c r="B67" s="795">
        <f>B63</f>
        <v>22</v>
      </c>
      <c r="C67" s="795" t="s">
        <v>2022</v>
      </c>
      <c r="D67" s="875" t="s">
        <v>1913</v>
      </c>
      <c r="F67" t="s">
        <v>2185</v>
      </c>
    </row>
    <row r="68" spans="1:18">
      <c r="B68" s="795"/>
      <c r="C68" s="795"/>
      <c r="D68" s="875"/>
    </row>
    <row r="69" spans="1:18">
      <c r="A69" s="790" t="s">
        <v>2199</v>
      </c>
      <c r="B69" s="795">
        <f>B65</f>
        <v>176</v>
      </c>
      <c r="C69" s="795" t="s">
        <v>2022</v>
      </c>
      <c r="D69" s="875" t="s">
        <v>1916</v>
      </c>
      <c r="F69" t="s">
        <v>2184</v>
      </c>
    </row>
    <row r="70" spans="1:18">
      <c r="B70" s="795">
        <f>B66</f>
        <v>28</v>
      </c>
      <c r="C70" s="795" t="s">
        <v>2022</v>
      </c>
      <c r="D70" s="875" t="s">
        <v>1914</v>
      </c>
      <c r="F70" t="s">
        <v>2032</v>
      </c>
    </row>
    <row r="71" spans="1:18">
      <c r="B71" s="795">
        <f>B67</f>
        <v>22</v>
      </c>
      <c r="C71" s="795" t="s">
        <v>2022</v>
      </c>
      <c r="D71" s="875" t="s">
        <v>1913</v>
      </c>
      <c r="F71" t="s">
        <v>2185</v>
      </c>
    </row>
    <row r="72" spans="1:18">
      <c r="B72" s="795"/>
      <c r="C72" s="795"/>
      <c r="D72" s="875"/>
    </row>
    <row r="74" spans="1:18">
      <c r="A74" s="790" t="s">
        <v>2200</v>
      </c>
      <c r="B74" s="795">
        <f>B69</f>
        <v>176</v>
      </c>
      <c r="C74" s="795" t="s">
        <v>2022</v>
      </c>
      <c r="D74" s="875" t="s">
        <v>1916</v>
      </c>
      <c r="F74" t="s">
        <v>2184</v>
      </c>
    </row>
    <row r="75" spans="1:18">
      <c r="B75" s="795">
        <f>B70</f>
        <v>28</v>
      </c>
      <c r="C75" s="795" t="s">
        <v>2022</v>
      </c>
      <c r="D75" s="875" t="s">
        <v>1914</v>
      </c>
      <c r="F75" t="s">
        <v>2032</v>
      </c>
    </row>
    <row r="76" spans="1:18">
      <c r="B76" s="795">
        <f>B71</f>
        <v>22</v>
      </c>
      <c r="C76" s="795" t="s">
        <v>2022</v>
      </c>
      <c r="D76" s="875" t="s">
        <v>1913</v>
      </c>
      <c r="F76" t="s">
        <v>2185</v>
      </c>
    </row>
    <row r="77" spans="1:18">
      <c r="P77" t="s">
        <v>2910</v>
      </c>
    </row>
    <row r="78" spans="1:18">
      <c r="A78" s="795" t="s">
        <v>1902</v>
      </c>
      <c r="L78" s="798"/>
      <c r="P78" s="790" t="s">
        <v>2908</v>
      </c>
    </row>
    <row r="79" spans="1:18">
      <c r="A79" s="790" t="s">
        <v>1916</v>
      </c>
      <c r="B79" s="791">
        <v>2.5</v>
      </c>
      <c r="C79" s="789" t="s">
        <v>1903</v>
      </c>
      <c r="D79" s="791">
        <v>1.2</v>
      </c>
      <c r="E79" s="789" t="s">
        <v>1903</v>
      </c>
      <c r="F79" s="789">
        <f>(5*6)+6</f>
        <v>36</v>
      </c>
      <c r="G79" s="789" t="s">
        <v>1903</v>
      </c>
      <c r="H79" s="789">
        <v>11</v>
      </c>
      <c r="I79" s="789" t="s">
        <v>1905</v>
      </c>
      <c r="J79" s="876">
        <f>B79*D79*F79*H79</f>
        <v>1188</v>
      </c>
      <c r="K79" s="795" t="s">
        <v>12</v>
      </c>
      <c r="L79" s="798" t="str">
        <f>A79</f>
        <v>módulo 1</v>
      </c>
      <c r="P79" s="1199">
        <f>B79*D79*F79</f>
        <v>108</v>
      </c>
      <c r="Q79" t="s">
        <v>12</v>
      </c>
      <c r="R79" t="s">
        <v>2414</v>
      </c>
    </row>
    <row r="80" spans="1:18">
      <c r="L80" s="798"/>
      <c r="P80" s="1199">
        <f>(5*2.5)*2*0.3</f>
        <v>7.5</v>
      </c>
      <c r="Q80" t="s">
        <v>12</v>
      </c>
      <c r="R80" t="s">
        <v>2911</v>
      </c>
    </row>
    <row r="81" spans="1:18">
      <c r="A81" s="790" t="s">
        <v>1915</v>
      </c>
      <c r="B81" s="791">
        <v>2.5</v>
      </c>
      <c r="C81" s="789" t="s">
        <v>1903</v>
      </c>
      <c r="D81" s="791">
        <v>1.2</v>
      </c>
      <c r="E81" s="789" t="s">
        <v>1903</v>
      </c>
      <c r="F81" s="789">
        <f>(12*3)</f>
        <v>36</v>
      </c>
      <c r="I81" s="789" t="s">
        <v>1905</v>
      </c>
      <c r="J81" s="794">
        <f>B81*D81*F81</f>
        <v>108</v>
      </c>
      <c r="K81" s="795" t="s">
        <v>12</v>
      </c>
      <c r="L81" s="798" t="str">
        <f t="shared" ref="L81:L85" si="1">A81</f>
        <v>módulo 2</v>
      </c>
      <c r="P81" s="1200">
        <f>SUM(P79:P80)</f>
        <v>115.5</v>
      </c>
      <c r="Q81" t="s">
        <v>12</v>
      </c>
    </row>
    <row r="82" spans="1:18">
      <c r="L82" s="798"/>
    </row>
    <row r="83" spans="1:18">
      <c r="A83" s="790" t="s">
        <v>1914</v>
      </c>
      <c r="B83" s="791">
        <v>2.5</v>
      </c>
      <c r="C83" s="789" t="s">
        <v>1903</v>
      </c>
      <c r="D83" s="791">
        <v>1.2</v>
      </c>
      <c r="E83" s="789" t="s">
        <v>1903</v>
      </c>
      <c r="F83" s="789">
        <f>(11*6)+6</f>
        <v>72</v>
      </c>
      <c r="I83" s="789" t="s">
        <v>1905</v>
      </c>
      <c r="J83" s="794">
        <f>B83*D83*F83</f>
        <v>216</v>
      </c>
      <c r="K83" s="795" t="s">
        <v>12</v>
      </c>
      <c r="L83" s="798" t="str">
        <f t="shared" si="1"/>
        <v>módulo 3</v>
      </c>
    </row>
    <row r="84" spans="1:18">
      <c r="L84" s="798"/>
      <c r="P84" s="790" t="s">
        <v>2185</v>
      </c>
    </row>
    <row r="85" spans="1:18">
      <c r="A85" s="790" t="s">
        <v>1913</v>
      </c>
      <c r="B85" s="791">
        <v>2.5</v>
      </c>
      <c r="C85" s="789" t="s">
        <v>1903</v>
      </c>
      <c r="D85" s="791">
        <v>1.2</v>
      </c>
      <c r="E85" s="789" t="s">
        <v>1903</v>
      </c>
      <c r="F85" s="789">
        <f>(8*6)+6</f>
        <v>54</v>
      </c>
      <c r="I85" s="789" t="s">
        <v>1905</v>
      </c>
      <c r="J85" s="794">
        <f>B85*D85*F85</f>
        <v>162</v>
      </c>
      <c r="K85" s="795" t="s">
        <v>12</v>
      </c>
      <c r="L85" s="798" t="str">
        <f t="shared" si="1"/>
        <v>módulo 4</v>
      </c>
      <c r="P85" s="1199">
        <f>J85</f>
        <v>162</v>
      </c>
      <c r="R85" t="s">
        <v>2414</v>
      </c>
    </row>
    <row r="86" spans="1:18">
      <c r="L86" s="798"/>
      <c r="P86" s="1199">
        <f>(2.5*8)*2*0.3</f>
        <v>12</v>
      </c>
      <c r="R86" t="s">
        <v>2909</v>
      </c>
    </row>
    <row r="87" spans="1:18">
      <c r="P87" s="1200">
        <f>SUM(P85:P86)</f>
        <v>174</v>
      </c>
      <c r="Q87" t="s">
        <v>12</v>
      </c>
    </row>
    <row r="88" spans="1:18">
      <c r="A88" s="885" t="s">
        <v>3067</v>
      </c>
    </row>
    <row r="89" spans="1:18">
      <c r="A89" s="790" t="s">
        <v>3065</v>
      </c>
      <c r="B89" s="794">
        <f>7.2*(15-1.25-1.25)</f>
        <v>90</v>
      </c>
      <c r="C89" s="799" t="s">
        <v>12</v>
      </c>
      <c r="D89" s="800" t="s">
        <v>1916</v>
      </c>
      <c r="E89" s="789"/>
      <c r="F89" s="791"/>
      <c r="G89" s="789"/>
      <c r="H89" s="791"/>
      <c r="I89" s="789"/>
      <c r="J89" s="791"/>
      <c r="K89" s="789"/>
    </row>
    <row r="90" spans="1:18">
      <c r="A90" s="790" t="s">
        <v>2185</v>
      </c>
      <c r="B90" s="794">
        <f>(22.5-1.25-1.25)*7.2</f>
        <v>144</v>
      </c>
      <c r="C90" s="799" t="s">
        <v>12</v>
      </c>
      <c r="D90" s="800" t="s">
        <v>1913</v>
      </c>
      <c r="E90" s="789"/>
      <c r="F90" s="791"/>
      <c r="G90" s="789"/>
      <c r="H90" s="791"/>
      <c r="I90" s="789"/>
      <c r="J90" s="791"/>
      <c r="K90" s="789"/>
    </row>
    <row r="91" spans="1:18">
      <c r="A91" s="790" t="s">
        <v>2032</v>
      </c>
      <c r="B91" s="794">
        <f>(30-1.25-1.25)*7.2</f>
        <v>198</v>
      </c>
      <c r="C91" s="799" t="s">
        <v>12</v>
      </c>
      <c r="D91" s="800" t="s">
        <v>1914</v>
      </c>
      <c r="E91" s="789"/>
      <c r="F91" s="791"/>
      <c r="G91" s="789"/>
      <c r="H91" s="791"/>
      <c r="I91" s="789"/>
      <c r="J91" s="791"/>
      <c r="K91" s="789"/>
    </row>
    <row r="92" spans="1:18">
      <c r="A92" s="790"/>
      <c r="B92" s="1353"/>
      <c r="C92" s="799"/>
      <c r="D92" s="800"/>
      <c r="E92" s="789"/>
      <c r="F92" s="791"/>
      <c r="G92" s="789"/>
      <c r="H92" s="791"/>
      <c r="I92" s="789"/>
      <c r="J92" s="791"/>
      <c r="K92" s="789"/>
    </row>
    <row r="93" spans="1:18">
      <c r="B93" s="794"/>
      <c r="C93" s="799"/>
      <c r="D93" s="800"/>
      <c r="E93" s="789"/>
      <c r="F93" s="791"/>
      <c r="G93" s="789"/>
      <c r="H93" s="791"/>
      <c r="I93" s="789"/>
      <c r="J93" s="791"/>
      <c r="K93" s="789"/>
    </row>
    <row r="94" spans="1:18">
      <c r="A94" s="795" t="s">
        <v>3066</v>
      </c>
      <c r="B94" s="794"/>
      <c r="C94" s="799"/>
      <c r="D94" s="800"/>
      <c r="E94" s="789"/>
      <c r="F94" s="791"/>
      <c r="G94" s="789"/>
      <c r="H94" s="791"/>
      <c r="I94" s="789"/>
      <c r="J94" s="791"/>
      <c r="K94" s="789"/>
    </row>
    <row r="95" spans="1:18">
      <c r="A95" s="790" t="s">
        <v>3064</v>
      </c>
      <c r="B95" s="794">
        <f>7.2*(15-1.25-1.25)*9</f>
        <v>810</v>
      </c>
      <c r="C95" s="799" t="s">
        <v>12</v>
      </c>
      <c r="D95" s="800" t="s">
        <v>1916</v>
      </c>
      <c r="E95" s="789"/>
      <c r="F95" s="789"/>
      <c r="I95" s="789"/>
      <c r="J95" s="789"/>
      <c r="K95" s="789"/>
    </row>
    <row r="96" spans="1:18">
      <c r="A96" s="790"/>
      <c r="B96" s="794"/>
      <c r="C96" s="799"/>
      <c r="D96" s="800"/>
      <c r="E96" s="789"/>
      <c r="F96" s="789"/>
      <c r="I96" s="789"/>
      <c r="J96" s="789"/>
      <c r="K96" s="789"/>
    </row>
    <row r="97" spans="1:11">
      <c r="A97" s="790"/>
      <c r="B97" s="794"/>
      <c r="C97" s="799"/>
      <c r="D97" s="800"/>
      <c r="E97" s="789"/>
      <c r="F97" s="789"/>
      <c r="I97" s="789"/>
      <c r="J97" s="789"/>
      <c r="K97" s="789"/>
    </row>
    <row r="100" spans="1:11">
      <c r="A100" s="795" t="s">
        <v>2182</v>
      </c>
    </row>
    <row r="101" spans="1:11">
      <c r="A101" s="790" t="s">
        <v>1917</v>
      </c>
      <c r="B101" s="789">
        <v>43.08</v>
      </c>
    </row>
    <row r="102" spans="1:11">
      <c r="A102" s="790" t="s">
        <v>1918</v>
      </c>
      <c r="B102" s="789">
        <f>B101</f>
        <v>43.08</v>
      </c>
    </row>
    <row r="103" spans="1:11">
      <c r="B103" s="801">
        <f>SUM(B101:B102)</f>
        <v>86.16</v>
      </c>
      <c r="C103" s="799" t="s">
        <v>12</v>
      </c>
    </row>
    <row r="105" spans="1:11">
      <c r="A105" s="795" t="s">
        <v>1919</v>
      </c>
    </row>
    <row r="106" spans="1:11">
      <c r="A106" s="790" t="s">
        <v>1920</v>
      </c>
      <c r="B106" s="789">
        <v>255.19</v>
      </c>
    </row>
    <row r="107" spans="1:11">
      <c r="A107" s="790" t="s">
        <v>1921</v>
      </c>
      <c r="B107" s="789">
        <v>176.61</v>
      </c>
    </row>
    <row r="108" spans="1:11">
      <c r="A108" s="790" t="s">
        <v>2992</v>
      </c>
      <c r="B108" s="791">
        <f>22*10</f>
        <v>220</v>
      </c>
    </row>
    <row r="109" spans="1:11">
      <c r="A109" s="790" t="s">
        <v>2989</v>
      </c>
      <c r="B109" s="791">
        <v>128</v>
      </c>
    </row>
    <row r="110" spans="1:11">
      <c r="B110" s="796">
        <f>SUM(B106:B109)</f>
        <v>779.8</v>
      </c>
      <c r="C110" s="799" t="s">
        <v>12</v>
      </c>
    </row>
    <row r="113" spans="1:14">
      <c r="A113" s="795" t="s">
        <v>2016</v>
      </c>
    </row>
    <row r="114" spans="1:14">
      <c r="A114" s="1265"/>
      <c r="B114" s="1266"/>
      <c r="C114" s="795"/>
      <c r="D114" s="798"/>
      <c r="N114" s="1199"/>
    </row>
    <row r="115" spans="1:14">
      <c r="A115" s="790" t="s">
        <v>2024</v>
      </c>
      <c r="B115" s="793">
        <v>2</v>
      </c>
      <c r="C115" s="793" t="s">
        <v>1903</v>
      </c>
      <c r="D115" s="793">
        <v>1.25</v>
      </c>
      <c r="E115" s="789" t="s">
        <v>1903</v>
      </c>
      <c r="F115" s="878">
        <v>7.2</v>
      </c>
      <c r="G115" s="789" t="s">
        <v>1903</v>
      </c>
      <c r="H115" s="789">
        <v>11</v>
      </c>
      <c r="I115" s="789" t="s">
        <v>1905</v>
      </c>
      <c r="J115" s="794">
        <f>B115*D115*F115*H115</f>
        <v>198</v>
      </c>
      <c r="K115" s="795" t="s">
        <v>12</v>
      </c>
      <c r="L115" s="879" t="s">
        <v>2241</v>
      </c>
    </row>
    <row r="116" spans="1:14">
      <c r="A116" s="790" t="s">
        <v>2026</v>
      </c>
      <c r="B116" s="793">
        <v>2</v>
      </c>
      <c r="C116" s="793" t="s">
        <v>1903</v>
      </c>
      <c r="D116" s="793">
        <v>1.25</v>
      </c>
      <c r="E116" s="789" t="s">
        <v>1903</v>
      </c>
      <c r="F116" s="878">
        <v>7.2</v>
      </c>
      <c r="G116" s="789" t="s">
        <v>1905</v>
      </c>
      <c r="H116" s="794">
        <f>B116*D116*F116</f>
        <v>18</v>
      </c>
      <c r="I116" s="795" t="s">
        <v>12</v>
      </c>
      <c r="J116" s="879" t="s">
        <v>2028</v>
      </c>
    </row>
    <row r="117" spans="1:14">
      <c r="A117" s="790" t="s">
        <v>2027</v>
      </c>
      <c r="B117" s="793">
        <v>2</v>
      </c>
      <c r="C117" s="793" t="s">
        <v>1903</v>
      </c>
      <c r="D117" s="793">
        <v>1.25</v>
      </c>
      <c r="E117" s="789"/>
      <c r="F117" s="791">
        <v>7.2</v>
      </c>
      <c r="G117" s="789" t="s">
        <v>1905</v>
      </c>
      <c r="H117" s="791">
        <f>B117*D117*F117</f>
        <v>18</v>
      </c>
    </row>
    <row r="118" spans="1:14">
      <c r="A118" s="790" t="s">
        <v>2025</v>
      </c>
      <c r="B118" s="799"/>
      <c r="C118" s="795"/>
      <c r="D118" s="878">
        <v>3</v>
      </c>
      <c r="E118" s="789" t="s">
        <v>1903</v>
      </c>
      <c r="F118" s="878">
        <v>2</v>
      </c>
      <c r="G118" s="789" t="s">
        <v>1905</v>
      </c>
      <c r="H118" s="791">
        <f>D118*F118</f>
        <v>6</v>
      </c>
      <c r="J118" s="794">
        <f>H117+H118</f>
        <v>24</v>
      </c>
      <c r="K118" s="795" t="s">
        <v>12</v>
      </c>
      <c r="L118" s="798" t="s">
        <v>2029</v>
      </c>
    </row>
    <row r="119" spans="1:14">
      <c r="A119" s="790"/>
      <c r="B119" s="799"/>
      <c r="C119" s="795"/>
      <c r="D119" s="878"/>
      <c r="E119" s="789"/>
      <c r="F119" s="878"/>
      <c r="G119" s="789"/>
      <c r="H119" s="791"/>
    </row>
    <row r="120" spans="1:14">
      <c r="A120" s="1079" t="s">
        <v>1908</v>
      </c>
      <c r="B120" s="1080">
        <v>220.94</v>
      </c>
      <c r="C120" s="1081" t="s">
        <v>12</v>
      </c>
      <c r="D120" s="1082" t="s">
        <v>1909</v>
      </c>
      <c r="E120" s="1083"/>
      <c r="G120" s="789"/>
      <c r="H120" s="791"/>
    </row>
    <row r="121" spans="1:14">
      <c r="A121" s="1079" t="s">
        <v>1912</v>
      </c>
      <c r="B121" s="1084">
        <v>4.2290000000000001</v>
      </c>
      <c r="C121" s="1084" t="s">
        <v>1903</v>
      </c>
      <c r="D121" s="1084">
        <v>1.25</v>
      </c>
      <c r="E121" s="1084" t="s">
        <v>1903</v>
      </c>
      <c r="F121" s="1084">
        <v>14</v>
      </c>
      <c r="G121" s="1083"/>
      <c r="H121" s="1083"/>
      <c r="I121" s="1084" t="s">
        <v>1905</v>
      </c>
      <c r="J121" s="1085">
        <f>B121*D121*F121</f>
        <v>74.007499999999993</v>
      </c>
      <c r="K121" s="1081" t="s">
        <v>12</v>
      </c>
      <c r="L121" s="1082" t="str">
        <f>A121</f>
        <v>módulo 6</v>
      </c>
    </row>
    <row r="123" spans="1:14">
      <c r="A123" s="1079" t="s">
        <v>1910</v>
      </c>
      <c r="B123" s="1084">
        <v>4.6790000000000003</v>
      </c>
      <c r="C123" s="1084" t="s">
        <v>1903</v>
      </c>
      <c r="D123" s="1084">
        <v>1.25</v>
      </c>
      <c r="E123" s="1084" t="s">
        <v>1903</v>
      </c>
      <c r="F123" s="1084">
        <f>11-4</f>
        <v>7</v>
      </c>
      <c r="G123" s="1083"/>
      <c r="H123" s="1083"/>
      <c r="I123" s="1084" t="s">
        <v>1905</v>
      </c>
      <c r="J123" s="1086">
        <f>B123*D123*F123</f>
        <v>40.941250000000004</v>
      </c>
      <c r="K123" s="1083"/>
      <c r="L123" s="1082"/>
    </row>
    <row r="124" spans="1:14">
      <c r="A124" s="1083"/>
      <c r="B124" s="1084">
        <v>4.2789999999999999</v>
      </c>
      <c r="C124" s="1084" t="s">
        <v>1903</v>
      </c>
      <c r="D124" s="1084">
        <v>1.25</v>
      </c>
      <c r="E124" s="1084" t="s">
        <v>1903</v>
      </c>
      <c r="F124" s="1084">
        <v>11</v>
      </c>
      <c r="G124" s="1083"/>
      <c r="H124" s="1083"/>
      <c r="I124" s="1084" t="s">
        <v>1905</v>
      </c>
      <c r="J124" s="1086">
        <f>B124*D124*F124</f>
        <v>58.83625</v>
      </c>
      <c r="K124" s="1083"/>
      <c r="L124" s="1082"/>
    </row>
    <row r="125" spans="1:14">
      <c r="A125" s="1083"/>
      <c r="B125" s="1084">
        <v>5.17</v>
      </c>
      <c r="C125" s="1084" t="s">
        <v>1903</v>
      </c>
      <c r="D125" s="1084">
        <v>1.25</v>
      </c>
      <c r="E125" s="1084" t="s">
        <v>1903</v>
      </c>
      <c r="F125" s="1084">
        <v>1</v>
      </c>
      <c r="G125" s="1083"/>
      <c r="H125" s="1083"/>
      <c r="I125" s="1084" t="s">
        <v>1905</v>
      </c>
      <c r="J125" s="1086">
        <f t="shared" ref="J125:J127" si="2">B125*D125*F125</f>
        <v>6.4625000000000004</v>
      </c>
      <c r="K125" s="1083"/>
      <c r="L125" s="1082"/>
    </row>
    <row r="126" spans="1:14">
      <c r="A126" s="1083"/>
      <c r="B126" s="1086">
        <v>4.8</v>
      </c>
      <c r="C126" s="1084" t="s">
        <v>1903</v>
      </c>
      <c r="D126" s="1084">
        <v>1.25</v>
      </c>
      <c r="E126" s="1084" t="s">
        <v>1903</v>
      </c>
      <c r="F126" s="1084">
        <v>1</v>
      </c>
      <c r="G126" s="1083"/>
      <c r="H126" s="1083"/>
      <c r="I126" s="1084" t="s">
        <v>1905</v>
      </c>
      <c r="J126" s="1086">
        <f t="shared" si="2"/>
        <v>6</v>
      </c>
      <c r="K126" s="1083"/>
      <c r="L126" s="1082"/>
    </row>
    <row r="127" spans="1:14">
      <c r="A127" s="1083"/>
      <c r="B127" s="1086">
        <v>4.4000000000000004</v>
      </c>
      <c r="C127" s="1084" t="s">
        <v>1903</v>
      </c>
      <c r="D127" s="1084">
        <v>1.25</v>
      </c>
      <c r="E127" s="1084" t="s">
        <v>1903</v>
      </c>
      <c r="F127" s="1084">
        <v>1</v>
      </c>
      <c r="G127" s="1083"/>
      <c r="H127" s="1083"/>
      <c r="I127" s="1084" t="s">
        <v>1905</v>
      </c>
      <c r="J127" s="1086">
        <f t="shared" si="2"/>
        <v>5.5</v>
      </c>
      <c r="K127" s="1083"/>
      <c r="L127" s="1082"/>
    </row>
    <row r="128" spans="1:14">
      <c r="A128" s="1083"/>
      <c r="B128" s="1084"/>
      <c r="C128" s="1084"/>
      <c r="D128" s="1083"/>
      <c r="E128" s="1083"/>
      <c r="F128" s="1083"/>
      <c r="G128" s="1083"/>
      <c r="H128" s="1083"/>
      <c r="I128" s="1083"/>
      <c r="J128" s="1087">
        <f>SUM(J123:J127)</f>
        <v>117.74000000000001</v>
      </c>
      <c r="K128" s="1081" t="s">
        <v>12</v>
      </c>
      <c r="L128" s="1082" t="str">
        <f>A123</f>
        <v>módulo 7</v>
      </c>
    </row>
    <row r="129" spans="1:13">
      <c r="A129" s="790"/>
      <c r="B129" s="799"/>
      <c r="C129" s="795"/>
      <c r="D129" s="878"/>
      <c r="E129" s="789"/>
      <c r="F129" s="878"/>
      <c r="G129" s="789"/>
      <c r="H129" s="791"/>
    </row>
    <row r="130" spans="1:13">
      <c r="A130" s="1079" t="s">
        <v>1904</v>
      </c>
      <c r="B130" s="1084"/>
      <c r="C130" s="1084"/>
      <c r="D130" s="1084">
        <v>1.25</v>
      </c>
      <c r="E130" s="1084" t="s">
        <v>1903</v>
      </c>
      <c r="F130" s="1086">
        <v>3.8</v>
      </c>
      <c r="G130" s="1084" t="s">
        <v>1903</v>
      </c>
      <c r="H130" s="1084">
        <v>6</v>
      </c>
      <c r="I130" s="1084" t="s">
        <v>1905</v>
      </c>
      <c r="J130" s="1086">
        <f>H130*D130*F130</f>
        <v>28.5</v>
      </c>
      <c r="K130" s="1083"/>
      <c r="L130" s="1083"/>
      <c r="M130" s="1083"/>
    </row>
    <row r="131" spans="1:13">
      <c r="A131" s="1083"/>
      <c r="B131" s="1084"/>
      <c r="C131" s="1084"/>
      <c r="D131" s="1084">
        <v>1.25</v>
      </c>
      <c r="E131" s="1084" t="s">
        <v>1903</v>
      </c>
      <c r="F131" s="1086">
        <v>2.8</v>
      </c>
      <c r="G131" s="1084" t="s">
        <v>1903</v>
      </c>
      <c r="H131" s="1084">
        <v>2</v>
      </c>
      <c r="I131" s="1084" t="s">
        <v>1905</v>
      </c>
      <c r="J131" s="1086">
        <f t="shared" ref="J131:J132" si="3">H131*D131*F131</f>
        <v>7</v>
      </c>
      <c r="K131" s="1083"/>
      <c r="L131" s="1083"/>
      <c r="M131" s="1083"/>
    </row>
    <row r="132" spans="1:13">
      <c r="A132" s="1083"/>
      <c r="B132" s="1084"/>
      <c r="C132" s="1084"/>
      <c r="D132" s="1084">
        <v>1.25</v>
      </c>
      <c r="E132" s="1084" t="s">
        <v>1903</v>
      </c>
      <c r="F132" s="1088">
        <v>1.0920000000000001</v>
      </c>
      <c r="G132" s="1084" t="s">
        <v>1903</v>
      </c>
      <c r="H132" s="1084">
        <v>1</v>
      </c>
      <c r="I132" s="1084" t="s">
        <v>1905</v>
      </c>
      <c r="J132" s="1086">
        <f t="shared" si="3"/>
        <v>1.3650000000000002</v>
      </c>
      <c r="K132" s="1083"/>
      <c r="L132" s="1083"/>
      <c r="M132" s="1083"/>
    </row>
    <row r="133" spans="1:13">
      <c r="A133" s="1083"/>
      <c r="B133" s="1084">
        <f>4.081+3.776</f>
        <v>7.8570000000000002</v>
      </c>
      <c r="C133" s="1084" t="s">
        <v>1903</v>
      </c>
      <c r="D133" s="1084">
        <v>1.25</v>
      </c>
      <c r="E133" s="1089" t="s">
        <v>1906</v>
      </c>
      <c r="F133" s="1084">
        <v>2</v>
      </c>
      <c r="G133" s="1084" t="s">
        <v>1903</v>
      </c>
      <c r="H133" s="1084">
        <v>2</v>
      </c>
      <c r="I133" s="1084" t="s">
        <v>1905</v>
      </c>
      <c r="J133" s="1086">
        <f>(B133*D133)/F133*H133</f>
        <v>9.8212500000000009</v>
      </c>
      <c r="K133" s="1083"/>
      <c r="L133" s="1083"/>
      <c r="M133" s="1083"/>
    </row>
    <row r="134" spans="1:13">
      <c r="A134" s="1083"/>
      <c r="B134" s="1084">
        <f>3.776+3.471</f>
        <v>7.2469999999999999</v>
      </c>
      <c r="C134" s="1084" t="s">
        <v>1903</v>
      </c>
      <c r="D134" s="1084">
        <v>1.25</v>
      </c>
      <c r="E134" s="1089" t="s">
        <v>1906</v>
      </c>
      <c r="F134" s="1084">
        <v>2</v>
      </c>
      <c r="G134" s="1084" t="s">
        <v>1903</v>
      </c>
      <c r="H134" s="1084">
        <v>2</v>
      </c>
      <c r="I134" s="1084" t="s">
        <v>1905</v>
      </c>
      <c r="J134" s="1086">
        <f t="shared" ref="J134:J142" si="4">(B134*D134)/F134*H134</f>
        <v>9.0587499999999999</v>
      </c>
      <c r="K134" s="1083"/>
      <c r="L134" s="1083"/>
      <c r="M134" s="1083"/>
    </row>
    <row r="135" spans="1:13">
      <c r="A135" s="1083"/>
      <c r="B135" s="1084">
        <f>3.471+3.167</f>
        <v>6.6379999999999999</v>
      </c>
      <c r="C135" s="1084" t="s">
        <v>1903</v>
      </c>
      <c r="D135" s="1084">
        <v>1.25</v>
      </c>
      <c r="E135" s="1089" t="s">
        <v>1906</v>
      </c>
      <c r="F135" s="1084">
        <v>2</v>
      </c>
      <c r="G135" s="1084" t="s">
        <v>1903</v>
      </c>
      <c r="H135" s="1084">
        <v>2</v>
      </c>
      <c r="I135" s="1084" t="s">
        <v>1905</v>
      </c>
      <c r="J135" s="1086">
        <f t="shared" si="4"/>
        <v>8.2974999999999994</v>
      </c>
      <c r="K135" s="1083"/>
      <c r="L135" s="1083"/>
      <c r="M135" s="1083"/>
    </row>
    <row r="136" spans="1:13">
      <c r="A136" s="1083"/>
      <c r="B136" s="1084">
        <f>3.167+2.862</f>
        <v>6.0289999999999999</v>
      </c>
      <c r="C136" s="1084" t="s">
        <v>1903</v>
      </c>
      <c r="D136" s="1084">
        <v>1.25</v>
      </c>
      <c r="E136" s="1089" t="s">
        <v>1906</v>
      </c>
      <c r="F136" s="1084">
        <v>2</v>
      </c>
      <c r="G136" s="1084" t="s">
        <v>1903</v>
      </c>
      <c r="H136" s="1084">
        <v>2</v>
      </c>
      <c r="I136" s="1084" t="s">
        <v>1905</v>
      </c>
      <c r="J136" s="1086">
        <f t="shared" si="4"/>
        <v>7.5362499999999999</v>
      </c>
      <c r="K136" s="1083"/>
      <c r="L136" s="1083"/>
      <c r="M136" s="1083"/>
    </row>
    <row r="137" spans="1:13">
      <c r="A137" s="1083"/>
      <c r="B137" s="1084">
        <f>2.862+2.557</f>
        <v>5.4190000000000005</v>
      </c>
      <c r="C137" s="1084" t="s">
        <v>1903</v>
      </c>
      <c r="D137" s="1084">
        <v>1.25</v>
      </c>
      <c r="E137" s="1089" t="s">
        <v>1906</v>
      </c>
      <c r="F137" s="1084">
        <v>2</v>
      </c>
      <c r="G137" s="1084" t="s">
        <v>1903</v>
      </c>
      <c r="H137" s="1084">
        <v>2</v>
      </c>
      <c r="I137" s="1084" t="s">
        <v>1905</v>
      </c>
      <c r="J137" s="1086">
        <f t="shared" si="4"/>
        <v>6.7737500000000006</v>
      </c>
      <c r="K137" s="1083"/>
      <c r="L137" s="1083"/>
      <c r="M137" s="1083"/>
    </row>
    <row r="138" spans="1:13">
      <c r="A138" s="1083"/>
      <c r="B138" s="1084">
        <f>2.557+0.5+2.752</f>
        <v>5.8089999999999993</v>
      </c>
      <c r="C138" s="1084" t="s">
        <v>1903</v>
      </c>
      <c r="D138" s="1084">
        <v>1.25</v>
      </c>
      <c r="E138" s="1089" t="s">
        <v>1906</v>
      </c>
      <c r="F138" s="1084">
        <v>2</v>
      </c>
      <c r="G138" s="1084" t="s">
        <v>1903</v>
      </c>
      <c r="H138" s="1084">
        <v>2</v>
      </c>
      <c r="I138" s="1084" t="s">
        <v>1905</v>
      </c>
      <c r="J138" s="1086">
        <f t="shared" si="4"/>
        <v>7.2612499999999986</v>
      </c>
      <c r="K138" s="1083"/>
      <c r="L138" s="1083"/>
      <c r="M138" s="1083"/>
    </row>
    <row r="139" spans="1:13">
      <c r="A139" s="1083"/>
      <c r="B139" s="1084">
        <f>2.752+2.447</f>
        <v>5.1989999999999998</v>
      </c>
      <c r="C139" s="1084" t="s">
        <v>1903</v>
      </c>
      <c r="D139" s="1084">
        <v>1.25</v>
      </c>
      <c r="E139" s="1089" t="s">
        <v>1906</v>
      </c>
      <c r="F139" s="1084">
        <v>2</v>
      </c>
      <c r="G139" s="1084" t="s">
        <v>1903</v>
      </c>
      <c r="H139" s="1084">
        <v>2</v>
      </c>
      <c r="I139" s="1084" t="s">
        <v>1905</v>
      </c>
      <c r="J139" s="1086">
        <f t="shared" si="4"/>
        <v>6.4987499999999994</v>
      </c>
      <c r="K139" s="1083"/>
      <c r="L139" s="1083"/>
      <c r="M139" s="1083"/>
    </row>
    <row r="140" spans="1:13">
      <c r="A140" s="1083"/>
      <c r="B140" s="1084">
        <f>2.447+2.181</f>
        <v>4.6280000000000001</v>
      </c>
      <c r="C140" s="1084" t="s">
        <v>1903</v>
      </c>
      <c r="D140" s="1084">
        <v>1.25</v>
      </c>
      <c r="E140" s="1089" t="s">
        <v>1906</v>
      </c>
      <c r="F140" s="1084">
        <v>2</v>
      </c>
      <c r="G140" s="1084" t="s">
        <v>1903</v>
      </c>
      <c r="H140" s="1084">
        <v>2</v>
      </c>
      <c r="I140" s="1084" t="s">
        <v>1905</v>
      </c>
      <c r="J140" s="1086">
        <f t="shared" si="4"/>
        <v>5.7850000000000001</v>
      </c>
      <c r="K140" s="1083"/>
      <c r="L140" s="1083"/>
      <c r="M140" s="1083"/>
    </row>
    <row r="141" spans="1:13">
      <c r="A141" s="1083"/>
      <c r="B141" s="1084">
        <v>4.181</v>
      </c>
      <c r="C141" s="1084" t="s">
        <v>1903</v>
      </c>
      <c r="D141" s="1084">
        <v>1.25</v>
      </c>
      <c r="E141" s="1089" t="s">
        <v>1906</v>
      </c>
      <c r="F141" s="1084">
        <v>2</v>
      </c>
      <c r="G141" s="1084" t="s">
        <v>1903</v>
      </c>
      <c r="H141" s="1084">
        <v>2</v>
      </c>
      <c r="I141" s="1084" t="s">
        <v>1905</v>
      </c>
      <c r="J141" s="1086">
        <f>(B141*D141)/F141*H141</f>
        <v>5.2262500000000003</v>
      </c>
      <c r="K141" s="1083"/>
      <c r="L141" s="1083"/>
      <c r="M141" s="1083"/>
    </row>
    <row r="142" spans="1:13">
      <c r="A142" s="1083"/>
      <c r="B142" s="1086">
        <v>4.2</v>
      </c>
      <c r="C142" s="1084" t="s">
        <v>1903</v>
      </c>
      <c r="D142" s="1084">
        <v>0.61299999999999999</v>
      </c>
      <c r="E142" s="1089" t="s">
        <v>1906</v>
      </c>
      <c r="F142" s="1084">
        <v>2</v>
      </c>
      <c r="G142" s="1084" t="s">
        <v>1903</v>
      </c>
      <c r="H142" s="1084">
        <v>2</v>
      </c>
      <c r="I142" s="1084" t="s">
        <v>1905</v>
      </c>
      <c r="J142" s="1086">
        <f t="shared" si="4"/>
        <v>2.5746000000000002</v>
      </c>
      <c r="K142" s="1083"/>
      <c r="L142" s="1083"/>
      <c r="M142" s="1083"/>
    </row>
    <row r="143" spans="1:13">
      <c r="A143" s="1083"/>
      <c r="B143" s="1083"/>
      <c r="C143" s="1083"/>
      <c r="D143" s="1083"/>
      <c r="E143" s="1083"/>
      <c r="F143" s="1083"/>
      <c r="G143" s="1083"/>
      <c r="H143" s="1083"/>
      <c r="I143" s="1083"/>
      <c r="J143" s="1087">
        <f>SUM(J130:J142)</f>
        <v>105.69835</v>
      </c>
      <c r="K143" s="1081" t="s">
        <v>12</v>
      </c>
      <c r="L143" s="1082" t="str">
        <f>A130</f>
        <v>módulo 8</v>
      </c>
      <c r="M143" s="1083"/>
    </row>
    <row r="144" spans="1:13">
      <c r="A144" s="790"/>
      <c r="B144" s="799"/>
      <c r="C144" s="795"/>
      <c r="D144" s="878"/>
      <c r="E144" s="789"/>
      <c r="F144" s="878"/>
      <c r="G144" s="789"/>
      <c r="H144" s="791"/>
    </row>
    <row r="145" spans="1:14">
      <c r="A145" s="1079" t="s">
        <v>1911</v>
      </c>
      <c r="B145" s="1080">
        <v>89.02</v>
      </c>
      <c r="C145" s="1081" t="s">
        <v>12</v>
      </c>
      <c r="D145" s="1082" t="s">
        <v>1909</v>
      </c>
      <c r="E145" s="1083"/>
      <c r="G145" s="789"/>
      <c r="H145" s="791">
        <f>B145-B146</f>
        <v>62.019999999999996</v>
      </c>
    </row>
    <row r="146" spans="1:14">
      <c r="A146" s="790"/>
      <c r="B146" s="799">
        <f>3*3*3</f>
        <v>27</v>
      </c>
      <c r="C146" s="795"/>
      <c r="D146" s="878"/>
      <c r="E146" s="789"/>
      <c r="F146" s="878"/>
      <c r="G146" s="789"/>
      <c r="H146" s="791"/>
    </row>
    <row r="147" spans="1:14">
      <c r="A147" s="790"/>
      <c r="B147" s="799"/>
      <c r="C147" s="795"/>
      <c r="D147" s="878"/>
      <c r="E147" s="789"/>
      <c r="F147" s="878"/>
      <c r="G147" s="789"/>
      <c r="H147" s="791"/>
    </row>
    <row r="148" spans="1:14">
      <c r="A148" s="790"/>
      <c r="B148" s="799"/>
      <c r="C148" s="795"/>
      <c r="D148" s="878"/>
      <c r="E148" s="789"/>
      <c r="F148" s="878"/>
      <c r="G148" s="789"/>
      <c r="H148" s="791"/>
    </row>
    <row r="151" spans="1:14">
      <c r="A151" s="795" t="s">
        <v>2020</v>
      </c>
    </row>
    <row r="152" spans="1:14">
      <c r="A152" s="790" t="s">
        <v>2019</v>
      </c>
      <c r="B152" s="789"/>
      <c r="C152" s="789"/>
      <c r="D152" s="789">
        <v>8</v>
      </c>
      <c r="E152" s="789" t="s">
        <v>2021</v>
      </c>
      <c r="F152" s="789">
        <v>8</v>
      </c>
      <c r="G152" s="789" t="s">
        <v>1905</v>
      </c>
      <c r="H152" s="793">
        <f>D152+F152</f>
        <v>16</v>
      </c>
      <c r="I152" s="793" t="s">
        <v>1903</v>
      </c>
      <c r="J152" s="789">
        <v>11</v>
      </c>
      <c r="K152" s="789" t="s">
        <v>1905</v>
      </c>
      <c r="L152" s="799">
        <f>H152*J152</f>
        <v>176</v>
      </c>
      <c r="M152" s="799" t="s">
        <v>2022</v>
      </c>
      <c r="N152" s="789" t="s">
        <v>1916</v>
      </c>
    </row>
    <row r="153" spans="1:14">
      <c r="A153" s="790"/>
      <c r="B153" s="875"/>
      <c r="D153" s="789">
        <v>0.13</v>
      </c>
      <c r="E153" s="789" t="s">
        <v>1903</v>
      </c>
      <c r="F153" s="789">
        <v>0.13</v>
      </c>
      <c r="G153" s="789" t="s">
        <v>1905</v>
      </c>
      <c r="H153" s="789">
        <f>D153*F153</f>
        <v>1.6900000000000002E-2</v>
      </c>
      <c r="I153" s="789" t="s">
        <v>1903</v>
      </c>
      <c r="J153" s="789">
        <f>L152</f>
        <v>176</v>
      </c>
      <c r="K153" s="789" t="s">
        <v>1905</v>
      </c>
      <c r="L153" s="794">
        <f>H153*J153</f>
        <v>2.9744000000000002</v>
      </c>
      <c r="M153" s="799" t="s">
        <v>113</v>
      </c>
    </row>
    <row r="155" spans="1:14">
      <c r="D155" s="789">
        <v>8</v>
      </c>
      <c r="E155" s="789" t="s">
        <v>2021</v>
      </c>
      <c r="F155" s="789">
        <v>8</v>
      </c>
      <c r="G155" s="789" t="s">
        <v>1905</v>
      </c>
      <c r="H155" s="793">
        <f>D155+F155</f>
        <v>16</v>
      </c>
      <c r="I155" s="789" t="s">
        <v>1903</v>
      </c>
      <c r="J155" s="789">
        <v>1</v>
      </c>
      <c r="K155" s="789" t="s">
        <v>1905</v>
      </c>
      <c r="L155" s="799">
        <f>H155*J155</f>
        <v>16</v>
      </c>
      <c r="M155" s="799" t="s">
        <v>2022</v>
      </c>
      <c r="N155" t="s">
        <v>1915</v>
      </c>
    </row>
    <row r="156" spans="1:14">
      <c r="H156" s="789">
        <f>H153</f>
        <v>1.6900000000000002E-2</v>
      </c>
      <c r="I156" s="789" t="s">
        <v>1903</v>
      </c>
      <c r="J156" s="789">
        <f>L155</f>
        <v>16</v>
      </c>
      <c r="K156" s="789" t="s">
        <v>1905</v>
      </c>
      <c r="L156" s="794">
        <f>H156*J156</f>
        <v>0.27040000000000003</v>
      </c>
      <c r="M156" s="799" t="s">
        <v>113</v>
      </c>
    </row>
    <row r="158" spans="1:14">
      <c r="D158" s="789">
        <v>11</v>
      </c>
      <c r="E158" s="789" t="s">
        <v>2021</v>
      </c>
      <c r="F158" s="789">
        <v>11</v>
      </c>
      <c r="G158" s="789" t="s">
        <v>1905</v>
      </c>
      <c r="H158" s="789">
        <f>D158+F158</f>
        <v>22</v>
      </c>
      <c r="I158" s="789" t="s">
        <v>1903</v>
      </c>
      <c r="J158" s="789">
        <v>1</v>
      </c>
      <c r="K158" s="789" t="s">
        <v>1905</v>
      </c>
      <c r="L158" s="799">
        <f>H158*J158</f>
        <v>22</v>
      </c>
      <c r="M158" s="799" t="s">
        <v>2022</v>
      </c>
      <c r="N158" t="s">
        <v>2185</v>
      </c>
    </row>
    <row r="159" spans="1:14">
      <c r="D159" s="789"/>
      <c r="E159" s="789"/>
      <c r="F159" s="789"/>
      <c r="G159" s="789"/>
      <c r="H159" s="789">
        <f>H153</f>
        <v>1.6900000000000002E-2</v>
      </c>
      <c r="I159" s="789" t="s">
        <v>1903</v>
      </c>
      <c r="J159" s="789">
        <f>L158</f>
        <v>22</v>
      </c>
      <c r="K159" s="789" t="s">
        <v>1905</v>
      </c>
      <c r="L159" s="799">
        <f>H159*J159</f>
        <v>0.37180000000000002</v>
      </c>
      <c r="M159" s="799" t="s">
        <v>113</v>
      </c>
    </row>
    <row r="160" spans="1:14">
      <c r="D160" s="789"/>
      <c r="E160" s="789"/>
      <c r="F160" s="789"/>
      <c r="G160" s="789"/>
      <c r="H160" s="789"/>
      <c r="I160" s="789"/>
      <c r="J160" s="789"/>
      <c r="K160" s="789"/>
      <c r="L160" s="789"/>
    </row>
    <row r="161" spans="1:14">
      <c r="D161" s="789">
        <v>14</v>
      </c>
      <c r="E161" s="789" t="s">
        <v>2021</v>
      </c>
      <c r="F161" s="789">
        <v>14</v>
      </c>
      <c r="G161" s="789" t="s">
        <v>1905</v>
      </c>
      <c r="H161" s="789">
        <f>D161+F161</f>
        <v>28</v>
      </c>
      <c r="I161" s="789" t="s">
        <v>1903</v>
      </c>
      <c r="J161" s="789">
        <v>1</v>
      </c>
      <c r="K161" s="789" t="s">
        <v>1905</v>
      </c>
      <c r="L161" s="789">
        <f>H161*J161</f>
        <v>28</v>
      </c>
      <c r="M161" s="799" t="s">
        <v>2022</v>
      </c>
      <c r="N161" t="s">
        <v>2032</v>
      </c>
    </row>
    <row r="162" spans="1:14">
      <c r="D162" s="789"/>
      <c r="E162" s="789"/>
      <c r="F162" s="789"/>
      <c r="G162" s="789"/>
      <c r="H162" s="789">
        <f>H153</f>
        <v>1.6900000000000002E-2</v>
      </c>
      <c r="I162" s="789" t="s">
        <v>1903</v>
      </c>
      <c r="J162" s="789">
        <f>L161</f>
        <v>28</v>
      </c>
      <c r="K162" s="789" t="s">
        <v>1905</v>
      </c>
      <c r="L162" s="799">
        <f>H162*J162</f>
        <v>0.47320000000000007</v>
      </c>
      <c r="M162" s="799" t="s">
        <v>113</v>
      </c>
    </row>
    <row r="166" spans="1:14">
      <c r="A166" s="795" t="s">
        <v>2036</v>
      </c>
    </row>
    <row r="167" spans="1:14">
      <c r="A167" s="790" t="s">
        <v>2041</v>
      </c>
      <c r="B167" s="1328">
        <f>2+2</f>
        <v>4</v>
      </c>
      <c r="C167" s="793" t="s">
        <v>1903</v>
      </c>
      <c r="D167" s="791">
        <v>2.5</v>
      </c>
      <c r="E167" s="789" t="s">
        <v>1903</v>
      </c>
      <c r="F167" s="791">
        <v>2.1</v>
      </c>
      <c r="G167" s="789" t="s">
        <v>1905</v>
      </c>
      <c r="H167" s="794">
        <f>B167*D167*F167</f>
        <v>21</v>
      </c>
      <c r="I167" s="799" t="s">
        <v>12</v>
      </c>
      <c r="J167" s="789"/>
      <c r="K167" s="789"/>
      <c r="L167" s="789"/>
    </row>
    <row r="168" spans="1:14">
      <c r="A168" s="790" t="s">
        <v>2037</v>
      </c>
      <c r="B168" s="889">
        <v>1</v>
      </c>
      <c r="C168" s="793" t="s">
        <v>1903</v>
      </c>
      <c r="D168" s="791">
        <v>2.5</v>
      </c>
      <c r="E168" s="789" t="s">
        <v>1903</v>
      </c>
      <c r="F168" s="791">
        <v>2.1</v>
      </c>
      <c r="G168" s="789" t="s">
        <v>1905</v>
      </c>
      <c r="H168" s="794">
        <f>B168*D168*F168</f>
        <v>5.25</v>
      </c>
      <c r="I168" s="799" t="s">
        <v>12</v>
      </c>
    </row>
    <row r="170" spans="1:14">
      <c r="A170" s="885" t="s">
        <v>2018</v>
      </c>
    </row>
    <row r="171" spans="1:14">
      <c r="A171" s="790" t="s">
        <v>2039</v>
      </c>
      <c r="B171" s="886">
        <v>2.1</v>
      </c>
      <c r="D171" s="791">
        <f>2.5</f>
        <v>2.5</v>
      </c>
      <c r="E171" s="789" t="s">
        <v>1903</v>
      </c>
      <c r="F171" s="789">
        <f>2+8</f>
        <v>10</v>
      </c>
      <c r="G171" s="789" t="s">
        <v>1905</v>
      </c>
      <c r="H171" s="794">
        <f>D171*F171</f>
        <v>25</v>
      </c>
      <c r="I171" s="799" t="s">
        <v>4</v>
      </c>
    </row>
    <row r="172" spans="1:14">
      <c r="A172" s="790"/>
      <c r="B172" s="886"/>
      <c r="D172" s="791"/>
      <c r="E172" s="789"/>
      <c r="F172" s="789"/>
      <c r="G172" s="789"/>
      <c r="H172" s="794">
        <f>H171*B171</f>
        <v>52.5</v>
      </c>
      <c r="I172" s="799" t="s">
        <v>12</v>
      </c>
    </row>
    <row r="173" spans="1:14">
      <c r="A173" s="790"/>
      <c r="B173" s="886"/>
      <c r="D173" s="791"/>
      <c r="E173" s="789"/>
      <c r="F173" s="789"/>
      <c r="G173" s="789"/>
      <c r="H173" s="794"/>
      <c r="I173" s="799"/>
    </row>
    <row r="174" spans="1:14">
      <c r="A174" s="790" t="s">
        <v>2175</v>
      </c>
      <c r="B174" s="794">
        <f>H167+H168+H172</f>
        <v>78.75</v>
      </c>
      <c r="C174" s="795" t="s">
        <v>113</v>
      </c>
      <c r="D174" s="791"/>
      <c r="E174" s="789"/>
      <c r="F174" s="789"/>
      <c r="G174" s="789"/>
      <c r="H174" s="794"/>
      <c r="I174" s="799"/>
    </row>
    <row r="175" spans="1:14">
      <c r="A175" s="790"/>
      <c r="B175" s="886"/>
      <c r="D175" s="791"/>
      <c r="E175" s="789"/>
      <c r="F175" s="789"/>
      <c r="G175" s="789"/>
      <c r="H175" s="794"/>
      <c r="I175" s="799"/>
    </row>
    <row r="176" spans="1:14" ht="15.75" thickBot="1">
      <c r="H176" s="794"/>
      <c r="I176" s="799"/>
    </row>
    <row r="177" spans="1:27" ht="16.5" thickTop="1" thickBot="1">
      <c r="A177" s="790" t="s">
        <v>2170</v>
      </c>
      <c r="B177" s="904" t="s">
        <v>2157</v>
      </c>
      <c r="D177" s="798" t="s">
        <v>2158</v>
      </c>
      <c r="Q177" s="913"/>
      <c r="R177" s="913"/>
      <c r="S177" s="1582">
        <v>0.35</v>
      </c>
      <c r="T177" s="913"/>
      <c r="U177" s="917">
        <v>0.1</v>
      </c>
      <c r="V177" s="913"/>
      <c r="W177" s="913"/>
      <c r="X177" s="1582"/>
      <c r="Y177" s="913"/>
      <c r="Z177" s="913"/>
    </row>
    <row r="178" spans="1:27">
      <c r="A178" s="905" t="s">
        <v>2167</v>
      </c>
      <c r="B178" s="906">
        <v>0.15</v>
      </c>
      <c r="C178" s="799" t="s">
        <v>1903</v>
      </c>
      <c r="D178" s="907">
        <v>0.2</v>
      </c>
      <c r="P178" s="914"/>
      <c r="Q178" s="913"/>
      <c r="R178" s="913"/>
      <c r="S178" s="1583"/>
      <c r="T178" s="913"/>
      <c r="U178" s="917">
        <v>0.1</v>
      </c>
      <c r="V178" s="913"/>
      <c r="W178" s="913"/>
      <c r="X178" s="1583"/>
      <c r="Y178" s="913"/>
      <c r="Z178" s="913"/>
      <c r="AA178" s="914"/>
    </row>
    <row r="179" spans="1:27">
      <c r="P179" s="915"/>
      <c r="Q179" s="915"/>
      <c r="R179" s="915"/>
      <c r="S179" s="1583"/>
      <c r="T179" s="915"/>
      <c r="U179" s="1585">
        <v>0.2</v>
      </c>
      <c r="V179" s="915"/>
      <c r="W179" s="915"/>
      <c r="X179" s="1583"/>
      <c r="Y179" s="915"/>
      <c r="Z179" s="915"/>
      <c r="AA179" s="915"/>
    </row>
    <row r="180" spans="1:27" ht="15.75" thickBot="1">
      <c r="A180" s="790" t="s">
        <v>2159</v>
      </c>
      <c r="B180" s="906">
        <f>F180</f>
        <v>25</v>
      </c>
      <c r="C180" s="799" t="s">
        <v>4</v>
      </c>
      <c r="F180" s="909">
        <f>H171</f>
        <v>25</v>
      </c>
      <c r="G180" t="s">
        <v>4</v>
      </c>
      <c r="H180" s="908"/>
      <c r="I180" s="908"/>
      <c r="J180" s="909"/>
      <c r="K180" s="908"/>
      <c r="L180" s="909"/>
      <c r="M180" s="908"/>
      <c r="N180" s="909"/>
      <c r="P180" s="915"/>
      <c r="Q180" s="915"/>
      <c r="R180" s="915"/>
      <c r="S180" s="1584"/>
      <c r="T180" s="915"/>
      <c r="U180" s="1585"/>
      <c r="V180" s="915"/>
      <c r="W180" s="915"/>
      <c r="X180" s="1584"/>
      <c r="Y180" s="915"/>
      <c r="Z180" s="915"/>
      <c r="AA180" s="915"/>
    </row>
    <row r="181" spans="1:27" ht="15.75" thickTop="1">
      <c r="P181" s="915"/>
      <c r="Q181" s="915"/>
      <c r="R181" s="916" t="s">
        <v>2160</v>
      </c>
      <c r="S181" s="910"/>
      <c r="T181" s="915"/>
      <c r="U181" s="916">
        <v>0.05</v>
      </c>
      <c r="V181" s="915"/>
      <c r="W181" s="915"/>
      <c r="X181" s="910"/>
      <c r="Y181" s="915"/>
      <c r="Z181" s="915"/>
      <c r="AA181" s="915"/>
    </row>
    <row r="182" spans="1:27">
      <c r="A182" s="790" t="s">
        <v>2161</v>
      </c>
      <c r="B182" s="906">
        <f>J182</f>
        <v>3.75</v>
      </c>
      <c r="C182" s="799" t="s">
        <v>12</v>
      </c>
      <c r="F182" s="791">
        <f>B178</f>
        <v>0.15</v>
      </c>
      <c r="G182" s="789" t="s">
        <v>1903</v>
      </c>
      <c r="H182" s="791">
        <f>B180</f>
        <v>25</v>
      </c>
      <c r="I182" s="789" t="s">
        <v>1905</v>
      </c>
      <c r="J182" s="791">
        <f>F182*H182</f>
        <v>3.75</v>
      </c>
      <c r="K182" s="789" t="s">
        <v>12</v>
      </c>
      <c r="P182" s="915"/>
      <c r="Q182" s="915"/>
      <c r="R182" s="915"/>
      <c r="S182" s="915"/>
      <c r="T182" s="915"/>
      <c r="U182" s="915"/>
      <c r="V182" s="915"/>
      <c r="W182" s="915"/>
      <c r="X182" s="915"/>
      <c r="Y182" s="915"/>
      <c r="Z182" s="915"/>
      <c r="AA182" s="915"/>
    </row>
    <row r="184" spans="1:27">
      <c r="A184" s="790" t="s">
        <v>2162</v>
      </c>
      <c r="B184">
        <f>U181</f>
        <v>0.05</v>
      </c>
      <c r="C184" t="s">
        <v>4</v>
      </c>
    </row>
    <row r="185" spans="1:27">
      <c r="A185" s="790" t="s">
        <v>2168</v>
      </c>
      <c r="B185" s="911">
        <f>L185</f>
        <v>0.1875</v>
      </c>
      <c r="C185" s="799" t="s">
        <v>3</v>
      </c>
      <c r="F185" s="791">
        <f>B178</f>
        <v>0.15</v>
      </c>
      <c r="G185" s="789" t="s">
        <v>1903</v>
      </c>
      <c r="H185" s="791">
        <f>B180</f>
        <v>25</v>
      </c>
      <c r="I185" s="789" t="s">
        <v>1903</v>
      </c>
      <c r="J185" s="789">
        <f>B184</f>
        <v>0.05</v>
      </c>
      <c r="K185" s="789" t="s">
        <v>1905</v>
      </c>
      <c r="L185" s="791">
        <f t="shared" ref="L185" si="5">F185*H185*J185</f>
        <v>0.1875</v>
      </c>
      <c r="M185" s="789" t="s">
        <v>3</v>
      </c>
    </row>
    <row r="187" spans="1:27">
      <c r="A187" s="912" t="s">
        <v>2163</v>
      </c>
      <c r="B187" s="906">
        <f>L187</f>
        <v>0.375</v>
      </c>
      <c r="C187" s="799" t="s">
        <v>3</v>
      </c>
      <c r="F187" s="791">
        <f>U178</f>
        <v>0.1</v>
      </c>
      <c r="G187" s="789" t="s">
        <v>1903</v>
      </c>
      <c r="H187" s="791">
        <f>B178</f>
        <v>0.15</v>
      </c>
      <c r="I187" s="789" t="s">
        <v>1903</v>
      </c>
      <c r="J187" s="791">
        <f>B180</f>
        <v>25</v>
      </c>
      <c r="K187" s="789" t="s">
        <v>1905</v>
      </c>
      <c r="L187" s="791">
        <f t="shared" ref="L187" si="6">F187*H187*J187</f>
        <v>0.375</v>
      </c>
      <c r="M187" s="789" t="s">
        <v>3</v>
      </c>
      <c r="N187" t="s">
        <v>2164</v>
      </c>
    </row>
    <row r="188" spans="1:27">
      <c r="A188" s="912"/>
    </row>
    <row r="189" spans="1:27">
      <c r="A189" s="912" t="s">
        <v>2052</v>
      </c>
      <c r="B189" s="795">
        <f>B187*1.3</f>
        <v>0.48750000000000004</v>
      </c>
      <c r="C189" s="799" t="s">
        <v>3</v>
      </c>
      <c r="F189" s="886" t="s">
        <v>2178</v>
      </c>
      <c r="G189" s="789"/>
    </row>
    <row r="190" spans="1:27">
      <c r="A190" s="912"/>
    </row>
    <row r="191" spans="1:27">
      <c r="A191" s="912" t="s">
        <v>3027</v>
      </c>
      <c r="B191" s="906">
        <f>L191</f>
        <v>0.75</v>
      </c>
      <c r="C191" s="799" t="s">
        <v>3</v>
      </c>
      <c r="F191" s="791">
        <f>B178</f>
        <v>0.15</v>
      </c>
      <c r="G191" s="789" t="s">
        <v>1903</v>
      </c>
      <c r="H191" s="791">
        <f>D178</f>
        <v>0.2</v>
      </c>
      <c r="I191" s="789" t="s">
        <v>1903</v>
      </c>
      <c r="J191" s="791">
        <f>B180</f>
        <v>25</v>
      </c>
      <c r="K191" s="789" t="s">
        <v>1905</v>
      </c>
      <c r="L191" s="789">
        <f t="shared" ref="L191" si="7">F191*H191*J191</f>
        <v>0.75</v>
      </c>
      <c r="M191" s="789" t="s">
        <v>3</v>
      </c>
    </row>
    <row r="192" spans="1:27">
      <c r="A192" s="912"/>
    </row>
    <row r="193" spans="1:15">
      <c r="A193" s="912" t="s">
        <v>2165</v>
      </c>
      <c r="B193" s="906">
        <f>J193</f>
        <v>60</v>
      </c>
      <c r="C193" s="799" t="s">
        <v>115</v>
      </c>
      <c r="F193" s="789">
        <f>L191</f>
        <v>0.75</v>
      </c>
      <c r="G193" s="789" t="s">
        <v>1903</v>
      </c>
      <c r="H193" s="789">
        <v>80</v>
      </c>
      <c r="I193" s="789" t="s">
        <v>1905</v>
      </c>
      <c r="J193" s="791">
        <f>F193*H193</f>
        <v>60</v>
      </c>
      <c r="K193" s="789" t="s">
        <v>115</v>
      </c>
    </row>
    <row r="194" spans="1:15">
      <c r="A194" s="912" t="s">
        <v>2166</v>
      </c>
      <c r="E194" s="789"/>
      <c r="F194" s="789"/>
      <c r="G194" s="791"/>
      <c r="H194" s="789"/>
      <c r="I194" s="791"/>
      <c r="J194" s="789"/>
      <c r="K194" s="908"/>
      <c r="L194" s="789"/>
      <c r="M194" s="799"/>
      <c r="N194" s="799"/>
    </row>
    <row r="195" spans="1:15">
      <c r="H195" s="794"/>
      <c r="I195" s="799"/>
    </row>
    <row r="196" spans="1:15">
      <c r="H196" s="794"/>
      <c r="I196" s="799"/>
    </row>
    <row r="197" spans="1:15">
      <c r="A197" s="921" t="s">
        <v>2174</v>
      </c>
      <c r="B197" s="789">
        <v>0.35</v>
      </c>
      <c r="C197" s="789" t="s">
        <v>1903</v>
      </c>
      <c r="D197" s="789">
        <v>0.35</v>
      </c>
      <c r="E197" s="789" t="s">
        <v>1903</v>
      </c>
      <c r="F197" s="791">
        <v>0.4</v>
      </c>
      <c r="H197" s="794"/>
      <c r="I197" s="799"/>
      <c r="J197" s="1330"/>
      <c r="K197" s="1330"/>
      <c r="L197" s="1330"/>
      <c r="M197" s="1330" t="s">
        <v>3023</v>
      </c>
      <c r="N197" s="1330"/>
      <c r="O197" s="1330"/>
    </row>
    <row r="198" spans="1:15">
      <c r="A198" s="790" t="s">
        <v>2171</v>
      </c>
      <c r="B198" s="789">
        <f>F171+2+4</f>
        <v>16</v>
      </c>
      <c r="C198" s="789"/>
      <c r="D198" s="798" t="s">
        <v>3022</v>
      </c>
      <c r="E198" s="789"/>
      <c r="H198" s="794"/>
      <c r="I198" s="799"/>
      <c r="J198" s="1330"/>
      <c r="K198" s="1330"/>
      <c r="L198" s="1331" t="s">
        <v>2163</v>
      </c>
      <c r="M198" s="1330"/>
      <c r="N198" s="1332">
        <f>B187+B203</f>
        <v>1.04725</v>
      </c>
      <c r="O198" s="1330" t="s">
        <v>125</v>
      </c>
    </row>
    <row r="199" spans="1:15">
      <c r="E199" s="789"/>
      <c r="H199" s="794"/>
      <c r="I199" s="799"/>
      <c r="J199" s="1330"/>
      <c r="K199" s="1330"/>
      <c r="L199" s="1331" t="s">
        <v>2052</v>
      </c>
      <c r="M199" s="1330"/>
      <c r="N199" s="1332">
        <f>B189+B206</f>
        <v>1.3614250000000001</v>
      </c>
      <c r="O199" s="1330" t="s">
        <v>125</v>
      </c>
    </row>
    <row r="200" spans="1:15">
      <c r="A200" s="790" t="s">
        <v>2172</v>
      </c>
      <c r="B200" s="789">
        <v>0.45</v>
      </c>
      <c r="C200" s="789" t="s">
        <v>1903</v>
      </c>
      <c r="D200" s="789">
        <v>0.45</v>
      </c>
      <c r="E200" s="789" t="s">
        <v>1903</v>
      </c>
      <c r="F200" s="791">
        <v>0.6</v>
      </c>
      <c r="H200" s="794"/>
      <c r="I200" s="799"/>
      <c r="J200" s="1330"/>
      <c r="K200" s="1330"/>
      <c r="L200" s="1331" t="s">
        <v>3024</v>
      </c>
      <c r="M200" s="1330"/>
      <c r="N200" s="1332">
        <f>B185+B209</f>
        <v>0.30574999999999997</v>
      </c>
      <c r="O200" s="1330" t="s">
        <v>125</v>
      </c>
    </row>
    <row r="201" spans="1:15">
      <c r="A201" s="790" t="s">
        <v>2171</v>
      </c>
      <c r="B201" s="789">
        <v>2</v>
      </c>
      <c r="C201" s="789"/>
      <c r="D201" s="798" t="s">
        <v>2173</v>
      </c>
      <c r="H201" s="794"/>
      <c r="I201" s="799"/>
      <c r="J201" s="1330"/>
      <c r="K201" s="1330"/>
      <c r="L201" s="1331" t="s">
        <v>2165</v>
      </c>
      <c r="M201" s="1330"/>
      <c r="N201" s="1332">
        <f>B193+B214</f>
        <v>142.16</v>
      </c>
      <c r="O201" s="1330" t="s">
        <v>115</v>
      </c>
    </row>
    <row r="202" spans="1:15">
      <c r="H202" s="794"/>
      <c r="I202" s="799"/>
      <c r="J202" s="1330"/>
      <c r="K202" s="1330"/>
      <c r="L202" s="1331" t="s">
        <v>2169</v>
      </c>
      <c r="M202" s="1330"/>
      <c r="N202" s="1332">
        <f>B191+B211</f>
        <v>1.7769999999999999</v>
      </c>
      <c r="O202" s="1330" t="s">
        <v>125</v>
      </c>
    </row>
    <row r="203" spans="1:15">
      <c r="A203" s="912" t="s">
        <v>2163</v>
      </c>
      <c r="B203" s="919">
        <f>F203+F204</f>
        <v>0.67225000000000001</v>
      </c>
      <c r="C203" s="795" t="s">
        <v>3</v>
      </c>
      <c r="F203" s="920">
        <f>(U179+U181)*B197*D197*B198</f>
        <v>0.48999999999999994</v>
      </c>
      <c r="H203" s="794"/>
      <c r="I203" s="799"/>
    </row>
    <row r="204" spans="1:15">
      <c r="F204" s="920">
        <f>(F200-U177-U178+B208)*B200*D200*B201</f>
        <v>0.18225000000000002</v>
      </c>
      <c r="H204" s="794"/>
      <c r="I204" s="799"/>
    </row>
    <row r="205" spans="1:15">
      <c r="F205" s="920"/>
      <c r="H205" s="794"/>
      <c r="I205" s="799"/>
    </row>
    <row r="206" spans="1:15">
      <c r="A206" s="790" t="s">
        <v>2052</v>
      </c>
      <c r="B206" s="906">
        <f>B203*1.3</f>
        <v>0.87392500000000006</v>
      </c>
      <c r="C206" s="795" t="s">
        <v>3</v>
      </c>
      <c r="F206" s="1329" t="s">
        <v>2178</v>
      </c>
      <c r="H206" s="794"/>
      <c r="I206" s="799"/>
    </row>
    <row r="207" spans="1:15">
      <c r="F207" s="920"/>
      <c r="H207" s="794"/>
      <c r="I207" s="799"/>
    </row>
    <row r="208" spans="1:15">
      <c r="A208" s="790" t="s">
        <v>2162</v>
      </c>
      <c r="B208" s="790">
        <f>U181</f>
        <v>0.05</v>
      </c>
      <c r="C208" t="s">
        <v>4</v>
      </c>
      <c r="F208" s="790">
        <f>B197*D197*B208*B198</f>
        <v>9.799999999999999E-2</v>
      </c>
      <c r="H208" s="794"/>
      <c r="I208" s="799"/>
    </row>
    <row r="209" spans="1:13">
      <c r="A209" s="790" t="s">
        <v>2168</v>
      </c>
      <c r="B209" s="911">
        <f>F208+F209</f>
        <v>0.11824999999999999</v>
      </c>
      <c r="C209" s="799" t="s">
        <v>3</v>
      </c>
      <c r="F209" s="790">
        <f>B200*D200*B208*B201</f>
        <v>2.0250000000000004E-2</v>
      </c>
      <c r="H209" s="794"/>
      <c r="I209" s="799"/>
    </row>
    <row r="210" spans="1:13">
      <c r="H210" s="794"/>
      <c r="I210" s="799"/>
    </row>
    <row r="211" spans="1:13">
      <c r="A211" s="912" t="s">
        <v>3027</v>
      </c>
      <c r="B211" s="919">
        <f>F211+F212</f>
        <v>1.0269999999999999</v>
      </c>
      <c r="C211" s="799" t="s">
        <v>3</v>
      </c>
      <c r="F211">
        <f>B197*D197*F197*B198</f>
        <v>0.78399999999999992</v>
      </c>
      <c r="I211" s="799"/>
    </row>
    <row r="212" spans="1:13">
      <c r="A212" s="912"/>
      <c r="B212" s="906"/>
      <c r="C212" s="799"/>
      <c r="F212">
        <f>B200*D200*F200*B201</f>
        <v>0.24299999999999999</v>
      </c>
      <c r="I212" s="799"/>
    </row>
    <row r="213" spans="1:13">
      <c r="I213" s="799"/>
    </row>
    <row r="214" spans="1:13">
      <c r="A214" s="912" t="s">
        <v>2165</v>
      </c>
      <c r="B214" s="906">
        <f>F214*H214</f>
        <v>82.16</v>
      </c>
      <c r="C214" s="799" t="s">
        <v>115</v>
      </c>
      <c r="F214" s="918">
        <f>B211</f>
        <v>1.0269999999999999</v>
      </c>
      <c r="G214" s="789" t="s">
        <v>1903</v>
      </c>
      <c r="H214" s="878">
        <v>80</v>
      </c>
      <c r="I214" s="799"/>
    </row>
    <row r="215" spans="1:13">
      <c r="A215" s="912" t="s">
        <v>2166</v>
      </c>
      <c r="I215" s="799"/>
    </row>
    <row r="216" spans="1:13">
      <c r="H216" s="794"/>
      <c r="I216" s="799"/>
    </row>
    <row r="218" spans="1:13">
      <c r="A218" s="795" t="s">
        <v>2042</v>
      </c>
    </row>
    <row r="219" spans="1:13">
      <c r="A219" s="790" t="s">
        <v>2106</v>
      </c>
      <c r="B219" s="895">
        <v>1</v>
      </c>
      <c r="C219" s="793" t="s">
        <v>1903</v>
      </c>
      <c r="D219" s="791">
        <v>2</v>
      </c>
      <c r="E219" s="789" t="s">
        <v>1903</v>
      </c>
      <c r="F219" s="791">
        <v>2.14</v>
      </c>
      <c r="G219" s="789" t="s">
        <v>1905</v>
      </c>
      <c r="H219" s="794">
        <f>B219*D219*F219</f>
        <v>4.28</v>
      </c>
      <c r="I219" s="799" t="s">
        <v>12</v>
      </c>
    </row>
    <row r="220" spans="1:13">
      <c r="A220" s="790" t="s">
        <v>2107</v>
      </c>
      <c r="B220" s="895">
        <v>1</v>
      </c>
      <c r="C220" s="793" t="s">
        <v>1903</v>
      </c>
      <c r="D220" s="791">
        <v>2</v>
      </c>
      <c r="E220" s="789" t="s">
        <v>1903</v>
      </c>
      <c r="F220" s="791">
        <v>2.2200000000000002</v>
      </c>
      <c r="G220" s="789" t="s">
        <v>1905</v>
      </c>
      <c r="H220" s="794">
        <f>B220*D220*F220</f>
        <v>4.4400000000000004</v>
      </c>
      <c r="I220" s="799" t="s">
        <v>12</v>
      </c>
    </row>
    <row r="221" spans="1:13">
      <c r="A221" s="790" t="s">
        <v>2048</v>
      </c>
      <c r="B221" s="878"/>
      <c r="C221" s="793"/>
      <c r="D221" s="791">
        <v>2.04</v>
      </c>
      <c r="E221" s="789" t="s">
        <v>1903</v>
      </c>
      <c r="F221" s="791">
        <v>1.9</v>
      </c>
      <c r="G221" s="789" t="s">
        <v>1905</v>
      </c>
      <c r="H221" s="878">
        <f>D221*F221</f>
        <v>3.8759999999999999</v>
      </c>
      <c r="I221" s="793" t="s">
        <v>12</v>
      </c>
    </row>
    <row r="222" spans="1:13">
      <c r="A222" s="790" t="s">
        <v>2047</v>
      </c>
      <c r="B222" s="878"/>
      <c r="C222" s="793"/>
      <c r="D222" s="791">
        <f>0.5+2+0.5</f>
        <v>3</v>
      </c>
      <c r="E222" s="789" t="s">
        <v>1903</v>
      </c>
      <c r="F222" s="791">
        <f>0.5+1.9+0.5</f>
        <v>2.9</v>
      </c>
      <c r="G222" s="789" t="s">
        <v>1905</v>
      </c>
      <c r="H222" s="878">
        <f>D222*F222</f>
        <v>8.6999999999999993</v>
      </c>
      <c r="I222" s="793" t="s">
        <v>12</v>
      </c>
      <c r="J222" s="893" t="s">
        <v>2078</v>
      </c>
    </row>
    <row r="223" spans="1:13">
      <c r="A223" s="790" t="s">
        <v>2049</v>
      </c>
      <c r="D223" s="791">
        <f>H221</f>
        <v>3.8759999999999999</v>
      </c>
      <c r="E223" s="793" t="s">
        <v>1903</v>
      </c>
      <c r="F223" s="791">
        <v>0.08</v>
      </c>
      <c r="G223" s="789" t="s">
        <v>1905</v>
      </c>
      <c r="H223" s="791">
        <f>D223*F223</f>
        <v>0.31008000000000002</v>
      </c>
      <c r="I223" s="793" t="s">
        <v>3</v>
      </c>
    </row>
    <row r="224" spans="1:13">
      <c r="A224" s="790" t="s">
        <v>2050</v>
      </c>
      <c r="B224" s="791"/>
      <c r="C224" s="793"/>
      <c r="D224" s="791">
        <f>H222</f>
        <v>8.6999999999999993</v>
      </c>
      <c r="E224" s="793" t="s">
        <v>1903</v>
      </c>
      <c r="F224" s="791">
        <v>0.15</v>
      </c>
      <c r="G224" s="789" t="s">
        <v>1905</v>
      </c>
      <c r="H224" s="789">
        <f>D224*F224</f>
        <v>1.3049999999999999</v>
      </c>
      <c r="I224" s="793" t="s">
        <v>3</v>
      </c>
      <c r="L224" s="888">
        <f>H223+H224</f>
        <v>1.6150799999999998</v>
      </c>
      <c r="M224" s="795" t="s">
        <v>3</v>
      </c>
    </row>
    <row r="225" spans="1:9">
      <c r="A225" s="790" t="s">
        <v>2055</v>
      </c>
      <c r="B225" s="889">
        <v>2</v>
      </c>
      <c r="C225" s="793" t="s">
        <v>1903</v>
      </c>
      <c r="D225" s="791">
        <f>D221+F221</f>
        <v>3.94</v>
      </c>
      <c r="E225" s="789" t="s">
        <v>1903</v>
      </c>
      <c r="F225" s="791">
        <v>0.08</v>
      </c>
      <c r="G225" s="789" t="s">
        <v>1905</v>
      </c>
      <c r="H225" s="794">
        <f>B225*D225*F225</f>
        <v>0.63039999999999996</v>
      </c>
      <c r="I225" s="799" t="s">
        <v>12</v>
      </c>
    </row>
    <row r="226" spans="1:9">
      <c r="A226" s="790" t="s">
        <v>2079</v>
      </c>
      <c r="D226" s="791">
        <f>H222+H221</f>
        <v>12.575999999999999</v>
      </c>
      <c r="E226" s="789" t="s">
        <v>1903</v>
      </c>
      <c r="F226" s="791">
        <v>2.2000000000000002</v>
      </c>
      <c r="G226" s="789" t="s">
        <v>1905</v>
      </c>
      <c r="H226" s="794">
        <f>D226*F226</f>
        <v>27.667200000000001</v>
      </c>
      <c r="I226" s="799" t="s">
        <v>115</v>
      </c>
    </row>
    <row r="227" spans="1:9">
      <c r="A227" s="790" t="s">
        <v>2051</v>
      </c>
      <c r="D227" s="791">
        <f>H222</f>
        <v>8.6999999999999993</v>
      </c>
      <c r="E227" s="789" t="s">
        <v>1903</v>
      </c>
      <c r="F227" s="791">
        <v>0.05</v>
      </c>
      <c r="G227" s="789" t="s">
        <v>1905</v>
      </c>
      <c r="H227" s="890">
        <f>D227*F227</f>
        <v>0.435</v>
      </c>
      <c r="I227" s="795" t="s">
        <v>3</v>
      </c>
    </row>
    <row r="228" spans="1:9">
      <c r="A228" s="790" t="s">
        <v>2061</v>
      </c>
      <c r="D228" s="791">
        <f>H222</f>
        <v>8.6999999999999993</v>
      </c>
      <c r="E228" s="789" t="s">
        <v>1903</v>
      </c>
      <c r="F228" s="791">
        <f>F224+F227</f>
        <v>0.2</v>
      </c>
      <c r="G228" s="789" t="s">
        <v>1905</v>
      </c>
      <c r="H228" s="799">
        <f>D228*F228</f>
        <v>1.74</v>
      </c>
      <c r="I228" s="799" t="s">
        <v>3</v>
      </c>
    </row>
    <row r="229" spans="1:9">
      <c r="A229" s="790" t="s">
        <v>2052</v>
      </c>
      <c r="D229" s="789">
        <f>H228</f>
        <v>1.74</v>
      </c>
      <c r="E229" s="789" t="s">
        <v>1903</v>
      </c>
      <c r="F229" s="791">
        <v>1.3</v>
      </c>
      <c r="G229" s="789" t="s">
        <v>1905</v>
      </c>
      <c r="H229" s="890">
        <f>D229*F229</f>
        <v>2.262</v>
      </c>
      <c r="I229" s="799" t="s">
        <v>3</v>
      </c>
    </row>
    <row r="230" spans="1:9">
      <c r="A230" s="790" t="s">
        <v>2059</v>
      </c>
      <c r="H230" s="794">
        <f>H222</f>
        <v>8.6999999999999993</v>
      </c>
      <c r="I230" s="799" t="s">
        <v>12</v>
      </c>
    </row>
    <row r="231" spans="1:9">
      <c r="A231" s="790" t="s">
        <v>2060</v>
      </c>
      <c r="H231" s="794">
        <f>H221</f>
        <v>3.8759999999999999</v>
      </c>
      <c r="I231" s="799" t="s">
        <v>12</v>
      </c>
    </row>
    <row r="232" spans="1:9">
      <c r="A232" s="790" t="s">
        <v>2077</v>
      </c>
      <c r="B232" s="889">
        <v>2</v>
      </c>
      <c r="C232" s="793" t="s">
        <v>1903</v>
      </c>
      <c r="D232" s="791">
        <f>2.22+2.14</f>
        <v>4.3600000000000003</v>
      </c>
      <c r="E232" s="789" t="s">
        <v>1903</v>
      </c>
      <c r="F232" s="789">
        <f>1.82/2</f>
        <v>0.91</v>
      </c>
      <c r="G232" s="789" t="s">
        <v>1905</v>
      </c>
      <c r="H232" s="794">
        <f>B232*D232*F232</f>
        <v>7.9352000000000009</v>
      </c>
      <c r="I232" s="799" t="s">
        <v>12</v>
      </c>
    </row>
    <row r="233" spans="1:9">
      <c r="A233" s="790" t="s">
        <v>2080</v>
      </c>
      <c r="B233" s="889">
        <v>2</v>
      </c>
      <c r="C233" s="793" t="s">
        <v>1903</v>
      </c>
      <c r="D233" s="791">
        <f>H232</f>
        <v>7.9352000000000009</v>
      </c>
      <c r="G233" s="789" t="s">
        <v>1905</v>
      </c>
      <c r="H233" s="794">
        <f>B233*D233</f>
        <v>15.870400000000002</v>
      </c>
      <c r="I233" s="799" t="s">
        <v>12</v>
      </c>
    </row>
    <row r="234" spans="1:9">
      <c r="A234" s="790" t="s">
        <v>2086</v>
      </c>
      <c r="G234" s="789" t="s">
        <v>1905</v>
      </c>
      <c r="H234" s="794">
        <f>H232</f>
        <v>7.9352000000000009</v>
      </c>
      <c r="I234" s="799" t="s">
        <v>12</v>
      </c>
    </row>
    <row r="235" spans="1:9">
      <c r="A235" s="790" t="s">
        <v>2087</v>
      </c>
      <c r="G235" s="789" t="s">
        <v>1905</v>
      </c>
      <c r="H235" s="794">
        <f>H232</f>
        <v>7.9352000000000009</v>
      </c>
      <c r="I235" s="799" t="s">
        <v>12</v>
      </c>
    </row>
    <row r="236" spans="1:9">
      <c r="A236" s="790" t="s">
        <v>2088</v>
      </c>
      <c r="G236" s="789" t="s">
        <v>1905</v>
      </c>
      <c r="H236" s="794">
        <f>H234</f>
        <v>7.9352000000000009</v>
      </c>
      <c r="I236" s="799" t="s">
        <v>12</v>
      </c>
    </row>
    <row r="237" spans="1:9">
      <c r="A237" s="790" t="s">
        <v>2089</v>
      </c>
      <c r="G237" s="789" t="s">
        <v>1905</v>
      </c>
      <c r="H237" s="794">
        <f>H235</f>
        <v>7.9352000000000009</v>
      </c>
      <c r="I237" s="799" t="s">
        <v>12</v>
      </c>
    </row>
    <row r="238" spans="1:9">
      <c r="A238" s="790" t="s">
        <v>2090</v>
      </c>
      <c r="D238" s="791">
        <f>2-0.15-0.15</f>
        <v>1.7000000000000002</v>
      </c>
      <c r="E238" s="789" t="s">
        <v>1903</v>
      </c>
      <c r="F238" s="791">
        <v>1.9</v>
      </c>
      <c r="G238" s="789" t="s">
        <v>1905</v>
      </c>
      <c r="H238" s="799">
        <f>D238*F238</f>
        <v>3.23</v>
      </c>
      <c r="I238" s="799" t="s">
        <v>12</v>
      </c>
    </row>
    <row r="239" spans="1:9">
      <c r="A239" s="790" t="s">
        <v>2108</v>
      </c>
      <c r="G239" s="789" t="s">
        <v>1905</v>
      </c>
      <c r="H239" s="794">
        <f>H219+H220</f>
        <v>8.7200000000000006</v>
      </c>
      <c r="I239" s="799" t="s">
        <v>12</v>
      </c>
    </row>
    <row r="240" spans="1:9">
      <c r="A240" s="790" t="s">
        <v>2116</v>
      </c>
      <c r="G240" s="789" t="s">
        <v>1905</v>
      </c>
      <c r="H240" s="799">
        <v>1</v>
      </c>
      <c r="I240" s="799" t="s">
        <v>1943</v>
      </c>
    </row>
    <row r="241" spans="1:9">
      <c r="A241" s="790" t="s">
        <v>2119</v>
      </c>
      <c r="G241" s="789" t="s">
        <v>1905</v>
      </c>
      <c r="H241" s="799">
        <v>1</v>
      </c>
      <c r="I241" s="799" t="s">
        <v>1943</v>
      </c>
    </row>
    <row r="242" spans="1:9">
      <c r="A242" s="790" t="s">
        <v>2154</v>
      </c>
      <c r="G242" s="789" t="s">
        <v>1905</v>
      </c>
      <c r="H242" s="799">
        <v>1</v>
      </c>
      <c r="I242" s="799" t="s">
        <v>1943</v>
      </c>
    </row>
    <row r="244" spans="1:9">
      <c r="A244" s="795" t="s">
        <v>2124</v>
      </c>
    </row>
    <row r="245" spans="1:9">
      <c r="A245" s="790" t="s">
        <v>2106</v>
      </c>
      <c r="B245" s="895">
        <v>2</v>
      </c>
      <c r="C245" s="793" t="s">
        <v>1903</v>
      </c>
      <c r="D245" s="791">
        <v>2.8</v>
      </c>
      <c r="E245" s="789" t="s">
        <v>1903</v>
      </c>
      <c r="F245" s="791">
        <v>2.14</v>
      </c>
      <c r="G245" s="789" t="s">
        <v>1905</v>
      </c>
      <c r="H245" s="794">
        <f>B245*D245*F245</f>
        <v>11.984</v>
      </c>
      <c r="I245" s="799" t="s">
        <v>12</v>
      </c>
    </row>
    <row r="246" spans="1:9">
      <c r="A246" s="790" t="s">
        <v>2048</v>
      </c>
      <c r="B246" s="878"/>
      <c r="C246" s="793"/>
      <c r="D246" s="791">
        <v>1.49</v>
      </c>
      <c r="E246" s="789" t="s">
        <v>1903</v>
      </c>
      <c r="F246" s="791">
        <v>5.9</v>
      </c>
      <c r="G246" s="789" t="s">
        <v>1905</v>
      </c>
      <c r="H246" s="878">
        <f>D246*F246</f>
        <v>8.7910000000000004</v>
      </c>
      <c r="I246" s="793" t="s">
        <v>12</v>
      </c>
    </row>
    <row r="247" spans="1:9">
      <c r="A247" s="790" t="s">
        <v>2047</v>
      </c>
      <c r="B247" s="878"/>
      <c r="C247" s="793"/>
      <c r="D247" s="791">
        <f>0.5+1.2+0.5</f>
        <v>2.2000000000000002</v>
      </c>
      <c r="E247" s="789" t="s">
        <v>1903</v>
      </c>
      <c r="F247" s="791">
        <f>0.5+5.9+0.5</f>
        <v>6.9</v>
      </c>
      <c r="G247" s="789" t="s">
        <v>1905</v>
      </c>
      <c r="H247" s="878">
        <f>D247*F247</f>
        <v>15.180000000000001</v>
      </c>
      <c r="I247" s="793" t="s">
        <v>12</v>
      </c>
    </row>
    <row r="248" spans="1:9">
      <c r="A248" s="790" t="s">
        <v>2049</v>
      </c>
      <c r="D248" s="791">
        <f>H246</f>
        <v>8.7910000000000004</v>
      </c>
      <c r="E248" s="793" t="s">
        <v>1903</v>
      </c>
      <c r="F248" s="791">
        <v>0.08</v>
      </c>
      <c r="G248" s="789" t="s">
        <v>1905</v>
      </c>
      <c r="H248" s="791">
        <f>D248*F248</f>
        <v>0.70328000000000002</v>
      </c>
      <c r="I248" s="793" t="s">
        <v>3</v>
      </c>
    </row>
    <row r="249" spans="1:9">
      <c r="A249" s="790" t="s">
        <v>2050</v>
      </c>
      <c r="B249" s="791"/>
      <c r="C249" s="793"/>
      <c r="D249" s="791">
        <f>H247</f>
        <v>15.180000000000001</v>
      </c>
      <c r="E249" s="793" t="s">
        <v>1903</v>
      </c>
      <c r="F249" s="791">
        <v>0.15</v>
      </c>
      <c r="G249" s="789" t="s">
        <v>1905</v>
      </c>
      <c r="H249" s="789">
        <f>D249*F249</f>
        <v>2.2770000000000001</v>
      </c>
      <c r="I249" s="793" t="s">
        <v>3</v>
      </c>
    </row>
    <row r="250" spans="1:9">
      <c r="A250" s="790" t="s">
        <v>2055</v>
      </c>
      <c r="B250" s="889">
        <v>2</v>
      </c>
      <c r="C250" s="793" t="s">
        <v>1903</v>
      </c>
      <c r="D250" s="791">
        <f>D246+F246</f>
        <v>7.3900000000000006</v>
      </c>
      <c r="E250" s="789" t="s">
        <v>1903</v>
      </c>
      <c r="F250" s="791">
        <v>0.08</v>
      </c>
      <c r="G250" s="789" t="s">
        <v>1905</v>
      </c>
      <c r="H250" s="794">
        <f>B250*D250*F250</f>
        <v>1.1824000000000001</v>
      </c>
      <c r="I250" s="799" t="s">
        <v>12</v>
      </c>
    </row>
    <row r="251" spans="1:9">
      <c r="A251" s="790" t="s">
        <v>2079</v>
      </c>
      <c r="D251" s="791">
        <f>H247+H246</f>
        <v>23.971000000000004</v>
      </c>
      <c r="E251" s="789" t="s">
        <v>1903</v>
      </c>
      <c r="F251" s="791">
        <v>2.2000000000000002</v>
      </c>
      <c r="G251" s="789" t="s">
        <v>1905</v>
      </c>
      <c r="H251" s="794">
        <f>D251*F251</f>
        <v>52.736200000000011</v>
      </c>
      <c r="I251" s="799" t="s">
        <v>115</v>
      </c>
    </row>
    <row r="252" spans="1:9">
      <c r="A252" s="790" t="s">
        <v>2051</v>
      </c>
      <c r="D252" s="791">
        <f>H247</f>
        <v>15.180000000000001</v>
      </c>
      <c r="E252" s="789" t="s">
        <v>1903</v>
      </c>
      <c r="F252" s="791">
        <v>0.05</v>
      </c>
      <c r="G252" s="789" t="s">
        <v>1905</v>
      </c>
      <c r="H252" s="890">
        <f>D252*F252</f>
        <v>0.75900000000000012</v>
      </c>
      <c r="I252" s="795" t="s">
        <v>3</v>
      </c>
    </row>
    <row r="253" spans="1:9">
      <c r="A253" s="790" t="s">
        <v>2061</v>
      </c>
      <c r="D253" s="791">
        <f>H247</f>
        <v>15.180000000000001</v>
      </c>
      <c r="E253" s="789" t="s">
        <v>1903</v>
      </c>
      <c r="F253" s="791">
        <f>F249+F252</f>
        <v>0.2</v>
      </c>
      <c r="G253" s="789" t="s">
        <v>1905</v>
      </c>
      <c r="H253" s="799">
        <f>D253*F253</f>
        <v>3.0360000000000005</v>
      </c>
      <c r="I253" s="799" t="s">
        <v>3</v>
      </c>
    </row>
    <row r="254" spans="1:9">
      <c r="A254" s="790" t="s">
        <v>2052</v>
      </c>
      <c r="D254" s="789">
        <f>H253</f>
        <v>3.0360000000000005</v>
      </c>
      <c r="E254" s="789" t="s">
        <v>1903</v>
      </c>
      <c r="F254" s="791">
        <v>1.3</v>
      </c>
      <c r="G254" s="789" t="s">
        <v>1905</v>
      </c>
      <c r="H254" s="890">
        <f>D254*F254</f>
        <v>3.946800000000001</v>
      </c>
      <c r="I254" s="799" t="s">
        <v>3</v>
      </c>
    </row>
    <row r="255" spans="1:9">
      <c r="A255" s="790" t="s">
        <v>2059</v>
      </c>
      <c r="H255" s="794">
        <f>H247</f>
        <v>15.180000000000001</v>
      </c>
      <c r="I255" s="799" t="s">
        <v>12</v>
      </c>
    </row>
    <row r="256" spans="1:9">
      <c r="A256" s="790" t="s">
        <v>2060</v>
      </c>
      <c r="H256" s="794">
        <f>H246</f>
        <v>8.7910000000000004</v>
      </c>
      <c r="I256" s="799" t="s">
        <v>12</v>
      </c>
    </row>
    <row r="257" spans="1:9">
      <c r="A257" s="790" t="s">
        <v>2077</v>
      </c>
      <c r="B257" s="791">
        <f>1.35+1.35</f>
        <v>2.7</v>
      </c>
      <c r="C257" s="793" t="s">
        <v>2021</v>
      </c>
      <c r="D257" s="791">
        <v>5.9</v>
      </c>
      <c r="E257" s="789" t="s">
        <v>1903</v>
      </c>
      <c r="F257" s="791">
        <v>2.2000000000000002</v>
      </c>
      <c r="G257" s="789" t="s">
        <v>1905</v>
      </c>
      <c r="H257" s="794">
        <f>(B257+D257)*F257</f>
        <v>18.920000000000005</v>
      </c>
      <c r="I257" s="799" t="s">
        <v>12</v>
      </c>
    </row>
    <row r="258" spans="1:9">
      <c r="A258" s="790" t="s">
        <v>2080</v>
      </c>
      <c r="B258" s="889">
        <v>2</v>
      </c>
      <c r="C258" s="793" t="s">
        <v>1903</v>
      </c>
      <c r="D258" s="791">
        <f>H257</f>
        <v>18.920000000000005</v>
      </c>
      <c r="G258" s="789" t="s">
        <v>1905</v>
      </c>
      <c r="H258" s="794">
        <f>B258*D258</f>
        <v>37.840000000000011</v>
      </c>
      <c r="I258" s="799" t="s">
        <v>12</v>
      </c>
    </row>
    <row r="259" spans="1:9">
      <c r="A259" s="790" t="s">
        <v>2142</v>
      </c>
      <c r="G259" s="789" t="s">
        <v>1905</v>
      </c>
      <c r="H259" s="794">
        <f>H258</f>
        <v>37.840000000000011</v>
      </c>
      <c r="I259" s="799" t="s">
        <v>12</v>
      </c>
    </row>
    <row r="260" spans="1:9">
      <c r="A260" s="790" t="s">
        <v>2141</v>
      </c>
      <c r="G260" s="789" t="s">
        <v>1905</v>
      </c>
      <c r="H260" s="794">
        <f>H259</f>
        <v>37.840000000000011</v>
      </c>
      <c r="I260" s="799" t="s">
        <v>12</v>
      </c>
    </row>
    <row r="261" spans="1:9">
      <c r="A261" s="790" t="s">
        <v>2090</v>
      </c>
      <c r="D261" s="791">
        <v>1.2</v>
      </c>
      <c r="E261" s="789" t="s">
        <v>1903</v>
      </c>
      <c r="F261" s="791">
        <v>5.9</v>
      </c>
      <c r="G261" s="789" t="s">
        <v>1905</v>
      </c>
      <c r="H261" s="799">
        <f>D261*F261</f>
        <v>7.08</v>
      </c>
      <c r="I261" s="799" t="s">
        <v>12</v>
      </c>
    </row>
    <row r="262" spans="1:9">
      <c r="A262" s="790" t="s">
        <v>2108</v>
      </c>
      <c r="G262" s="789" t="s">
        <v>1905</v>
      </c>
      <c r="H262" s="794">
        <f>H245</f>
        <v>11.984</v>
      </c>
      <c r="I262" s="799" t="s">
        <v>12</v>
      </c>
    </row>
    <row r="263" spans="1:9">
      <c r="A263" s="790" t="s">
        <v>2153</v>
      </c>
      <c r="G263" s="789" t="s">
        <v>1905</v>
      </c>
      <c r="H263" s="799">
        <v>8</v>
      </c>
      <c r="I263" s="799" t="s">
        <v>1943</v>
      </c>
    </row>
    <row r="264" spans="1:9">
      <c r="A264" s="790" t="s">
        <v>2409</v>
      </c>
      <c r="D264" s="791">
        <v>25</v>
      </c>
      <c r="E264" s="789" t="s">
        <v>2021</v>
      </c>
      <c r="F264" s="791">
        <v>1.5</v>
      </c>
      <c r="G264" s="789" t="s">
        <v>1905</v>
      </c>
      <c r="H264" s="794">
        <f>D264+F264</f>
        <v>26.5</v>
      </c>
      <c r="I264" s="799" t="s">
        <v>4</v>
      </c>
    </row>
    <row r="265" spans="1:9" ht="45.75">
      <c r="D265" s="924" t="s">
        <v>2411</v>
      </c>
      <c r="F265" s="978" t="s">
        <v>2410</v>
      </c>
    </row>
    <row r="269" spans="1:9">
      <c r="A269" s="885" t="s">
        <v>2276</v>
      </c>
    </row>
    <row r="270" spans="1:9">
      <c r="A270" s="790" t="s">
        <v>2163</v>
      </c>
      <c r="B270" s="791">
        <v>0.3</v>
      </c>
      <c r="C270" s="789" t="s">
        <v>1903</v>
      </c>
      <c r="D270" s="789">
        <v>0.35</v>
      </c>
      <c r="E270" s="789" t="s">
        <v>1903</v>
      </c>
      <c r="F270" s="791">
        <f>12.5+14.5+16+15+18+14.5+13.6+17+14.5+14.5+13.9</f>
        <v>164</v>
      </c>
      <c r="G270" s="789" t="s">
        <v>1905</v>
      </c>
      <c r="H270" s="953">
        <f>B270*D270*F270</f>
        <v>17.22</v>
      </c>
    </row>
    <row r="271" spans="1:9">
      <c r="A271" s="790"/>
      <c r="B271" s="791">
        <v>0.3</v>
      </c>
      <c r="C271" s="789" t="s">
        <v>1903</v>
      </c>
      <c r="D271" s="789">
        <v>0.35</v>
      </c>
      <c r="E271" s="789" t="s">
        <v>1903</v>
      </c>
      <c r="F271" s="878">
        <f>13.3+13.5+9.8+9.5+7+7+14.5+7</f>
        <v>81.599999999999994</v>
      </c>
      <c r="G271" s="789" t="s">
        <v>1905</v>
      </c>
      <c r="H271" s="793">
        <f>B271*D271*F271</f>
        <v>8.5679999999999996</v>
      </c>
      <c r="I271" s="795"/>
    </row>
    <row r="272" spans="1:9">
      <c r="A272" s="790"/>
      <c r="B272" s="791"/>
      <c r="C272" s="789"/>
      <c r="D272" s="789"/>
      <c r="E272" s="789"/>
      <c r="F272" s="791"/>
      <c r="G272" s="789"/>
      <c r="H272" s="801">
        <f>SUM(H270:H271)</f>
        <v>25.787999999999997</v>
      </c>
      <c r="I272" s="795" t="s">
        <v>3</v>
      </c>
    </row>
    <row r="273" spans="1:16">
      <c r="A273" s="790"/>
      <c r="B273" s="791"/>
      <c r="C273" s="789"/>
      <c r="D273" s="789"/>
      <c r="E273" s="789"/>
      <c r="F273" s="791"/>
      <c r="G273" s="789"/>
      <c r="H273" s="799"/>
      <c r="I273" s="795"/>
    </row>
    <row r="274" spans="1:16">
      <c r="A274" s="790" t="s">
        <v>2278</v>
      </c>
      <c r="B274" s="791">
        <v>0.3</v>
      </c>
      <c r="C274" s="789" t="s">
        <v>1903</v>
      </c>
      <c r="D274" s="789">
        <v>0.05</v>
      </c>
      <c r="E274" s="789" t="s">
        <v>1903</v>
      </c>
      <c r="F274" s="791">
        <f>F270</f>
        <v>164</v>
      </c>
      <c r="G274" s="789" t="s">
        <v>1905</v>
      </c>
      <c r="H274" s="793">
        <f>B274*D274*F274</f>
        <v>2.46</v>
      </c>
    </row>
    <row r="275" spans="1:16">
      <c r="A275" s="790"/>
      <c r="B275" s="791">
        <v>0.3</v>
      </c>
      <c r="C275" s="789" t="s">
        <v>1903</v>
      </c>
      <c r="D275" s="789">
        <v>0.05</v>
      </c>
      <c r="E275" s="789" t="s">
        <v>1903</v>
      </c>
      <c r="F275" s="791">
        <f>F271</f>
        <v>81.599999999999994</v>
      </c>
      <c r="G275" s="789" t="s">
        <v>1905</v>
      </c>
      <c r="H275" s="793">
        <f>B275*D275*F275</f>
        <v>1.224</v>
      </c>
      <c r="I275" s="795"/>
    </row>
    <row r="276" spans="1:16">
      <c r="A276" s="790"/>
      <c r="B276" s="791"/>
      <c r="C276" s="789"/>
      <c r="D276" s="789"/>
      <c r="E276" s="789"/>
      <c r="F276" s="791"/>
      <c r="G276" s="789"/>
      <c r="H276" s="801">
        <f>SUM(H274:H275)</f>
        <v>3.6840000000000002</v>
      </c>
      <c r="I276" s="795" t="s">
        <v>3</v>
      </c>
    </row>
    <row r="277" spans="1:16">
      <c r="A277" s="790"/>
      <c r="B277" s="791"/>
      <c r="C277" s="789"/>
      <c r="D277" s="789"/>
      <c r="E277" s="789"/>
      <c r="F277" s="791"/>
      <c r="G277" s="789"/>
      <c r="H277" s="799"/>
      <c r="I277" s="795"/>
    </row>
    <row r="278" spans="1:16">
      <c r="A278" s="790" t="s">
        <v>2280</v>
      </c>
      <c r="B278" s="791">
        <f>0.35+0.3+0.35</f>
        <v>0.99999999999999989</v>
      </c>
      <c r="C278" s="789" t="s">
        <v>1903</v>
      </c>
      <c r="D278" s="791">
        <f>F270</f>
        <v>164</v>
      </c>
      <c r="G278" s="789" t="s">
        <v>1905</v>
      </c>
      <c r="H278" s="794">
        <f>B278*D278</f>
        <v>163.99999999999997</v>
      </c>
      <c r="I278" s="795" t="s">
        <v>12</v>
      </c>
    </row>
    <row r="279" spans="1:16">
      <c r="A279" s="790" t="s">
        <v>2282</v>
      </c>
      <c r="H279" s="794">
        <f>F271</f>
        <v>81.599999999999994</v>
      </c>
      <c r="I279" s="795" t="s">
        <v>4</v>
      </c>
    </row>
    <row r="280" spans="1:16">
      <c r="A280" s="790" t="s">
        <v>2283</v>
      </c>
      <c r="H280" s="794">
        <f>F270</f>
        <v>164</v>
      </c>
      <c r="I280" s="795" t="s">
        <v>4</v>
      </c>
    </row>
    <row r="281" spans="1:16">
      <c r="A281" s="790" t="s">
        <v>2284</v>
      </c>
      <c r="B281" s="789">
        <f>H270</f>
        <v>17.22</v>
      </c>
      <c r="C281" s="789" t="s">
        <v>2285</v>
      </c>
      <c r="D281" s="791">
        <f>3.14*0.075*0.075*H280</f>
        <v>2.8966499999999997</v>
      </c>
      <c r="E281" s="789" t="s">
        <v>2285</v>
      </c>
      <c r="F281" s="789">
        <f>H274</f>
        <v>2.46</v>
      </c>
      <c r="G281" s="789" t="s">
        <v>1905</v>
      </c>
      <c r="H281" s="890">
        <f>B281-D281-F281</f>
        <v>11.863350000000001</v>
      </c>
      <c r="I281" s="795" t="s">
        <v>3</v>
      </c>
    </row>
    <row r="282" spans="1:16">
      <c r="A282" s="790"/>
      <c r="E282" s="789"/>
    </row>
    <row r="283" spans="1:16">
      <c r="A283" s="790" t="s">
        <v>2287</v>
      </c>
      <c r="B283" s="789">
        <f>H271</f>
        <v>8.5679999999999996</v>
      </c>
      <c r="C283" s="789" t="s">
        <v>2285</v>
      </c>
      <c r="D283" s="791">
        <f>D281</f>
        <v>2.8966499999999997</v>
      </c>
      <c r="E283" s="789" t="s">
        <v>2285</v>
      </c>
      <c r="F283" s="789">
        <f>H275</f>
        <v>1.224</v>
      </c>
      <c r="G283" s="789" t="s">
        <v>1905</v>
      </c>
      <c r="H283" s="890">
        <f>B283-D283-F283</f>
        <v>4.4473500000000001</v>
      </c>
      <c r="I283" s="799" t="s">
        <v>3</v>
      </c>
    </row>
    <row r="284" spans="1:16">
      <c r="H284" s="918"/>
      <c r="I284" s="795"/>
    </row>
    <row r="285" spans="1:16">
      <c r="A285" s="790" t="s">
        <v>2052</v>
      </c>
      <c r="B285" s="789">
        <f>H272</f>
        <v>25.787999999999997</v>
      </c>
      <c r="C285" s="789" t="s">
        <v>2285</v>
      </c>
      <c r="D285" s="791">
        <f>H283</f>
        <v>4.4473500000000001</v>
      </c>
      <c r="E285" s="789" t="s">
        <v>1903</v>
      </c>
      <c r="F285" s="791">
        <v>1.3</v>
      </c>
      <c r="G285" s="789" t="s">
        <v>1905</v>
      </c>
      <c r="H285" s="890">
        <f>(B285-D285)*F285</f>
        <v>27.742844999999996</v>
      </c>
      <c r="I285" s="799" t="s">
        <v>3</v>
      </c>
      <c r="J285" s="789"/>
    </row>
    <row r="287" spans="1:16">
      <c r="A287" s="795" t="s">
        <v>2412</v>
      </c>
    </row>
    <row r="288" spans="1:16">
      <c r="A288" s="790" t="s">
        <v>2413</v>
      </c>
      <c r="H288" s="794">
        <f>H290+H289</f>
        <v>170.94</v>
      </c>
      <c r="I288" s="799" t="s">
        <v>4</v>
      </c>
      <c r="J288" t="s">
        <v>1916</v>
      </c>
      <c r="N288" s="794">
        <f>SUM(N289:N290)</f>
        <v>60.300000000000004</v>
      </c>
      <c r="O288" s="795" t="s">
        <v>4</v>
      </c>
      <c r="P288" t="s">
        <v>2426</v>
      </c>
    </row>
    <row r="289" spans="1:15">
      <c r="A289" s="790" t="s">
        <v>2414</v>
      </c>
      <c r="B289" s="789">
        <v>4.32</v>
      </c>
      <c r="C289" s="789" t="s">
        <v>2021</v>
      </c>
      <c r="D289" s="789">
        <v>0.25</v>
      </c>
      <c r="E289" s="789" t="s">
        <v>1903</v>
      </c>
      <c r="F289" s="789">
        <f>11*2</f>
        <v>22</v>
      </c>
      <c r="G289" s="789" t="s">
        <v>1905</v>
      </c>
      <c r="H289" s="791">
        <f>(B289+D289)*F289</f>
        <v>100.54</v>
      </c>
      <c r="N289" s="791">
        <f>6.15*6</f>
        <v>36.900000000000006</v>
      </c>
    </row>
    <row r="290" spans="1:15">
      <c r="A290" s="790" t="s">
        <v>2415</v>
      </c>
      <c r="B290" s="791">
        <v>3.2</v>
      </c>
      <c r="C290" s="789" t="s">
        <v>1903</v>
      </c>
      <c r="D290" s="789">
        <f>11*2</f>
        <v>22</v>
      </c>
      <c r="E290" s="789"/>
      <c r="F290" s="789"/>
      <c r="G290" s="789" t="s">
        <v>1905</v>
      </c>
      <c r="H290" s="791">
        <f>D290*B290</f>
        <v>70.400000000000006</v>
      </c>
      <c r="N290" s="791">
        <f>3.9*6</f>
        <v>23.4</v>
      </c>
    </row>
    <row r="292" spans="1:15">
      <c r="A292" s="790" t="s">
        <v>2163</v>
      </c>
      <c r="B292" s="791">
        <v>0.3</v>
      </c>
      <c r="C292" s="789" t="s">
        <v>1903</v>
      </c>
      <c r="D292" s="791">
        <v>0.3</v>
      </c>
      <c r="E292" s="789" t="s">
        <v>1903</v>
      </c>
      <c r="F292" s="791">
        <f>H289</f>
        <v>100.54</v>
      </c>
      <c r="G292" s="789" t="s">
        <v>1905</v>
      </c>
      <c r="H292" s="799">
        <f>B292*D292*F292</f>
        <v>9.0486000000000004</v>
      </c>
      <c r="I292" s="799" t="s">
        <v>3</v>
      </c>
      <c r="N292" s="799">
        <f>B292*D292*N289</f>
        <v>3.3210000000000002</v>
      </c>
      <c r="O292" s="799" t="s">
        <v>3</v>
      </c>
    </row>
    <row r="293" spans="1:15">
      <c r="A293" s="790" t="s">
        <v>2416</v>
      </c>
      <c r="B293" s="791">
        <v>0.3</v>
      </c>
      <c r="C293" s="789" t="s">
        <v>1903</v>
      </c>
      <c r="D293" s="789">
        <v>0.05</v>
      </c>
      <c r="E293" s="789" t="s">
        <v>1903</v>
      </c>
      <c r="F293" s="791">
        <f>H289</f>
        <v>100.54</v>
      </c>
      <c r="G293" s="789" t="s">
        <v>1905</v>
      </c>
      <c r="H293" s="799">
        <f>B293*D293*F293</f>
        <v>1.5081</v>
      </c>
      <c r="I293" s="799" t="s">
        <v>3</v>
      </c>
      <c r="N293" s="981">
        <f>B293*D293*N289</f>
        <v>0.5535000000000001</v>
      </c>
      <c r="O293" s="799" t="s">
        <v>3</v>
      </c>
    </row>
    <row r="294" spans="1:15">
      <c r="A294" s="790" t="s">
        <v>2287</v>
      </c>
      <c r="B294" s="792">
        <f>H292</f>
        <v>9.0486000000000004</v>
      </c>
      <c r="C294" s="789" t="s">
        <v>2285</v>
      </c>
      <c r="D294" s="789">
        <f>H293</f>
        <v>1.5081</v>
      </c>
      <c r="E294" s="789" t="s">
        <v>2285</v>
      </c>
      <c r="F294" s="980">
        <f>3.14*0.016*0.016*H289</f>
        <v>8.0818073599999998E-2</v>
      </c>
      <c r="G294" s="789" t="s">
        <v>1905</v>
      </c>
      <c r="H294" s="981">
        <f>B294-D294-F294</f>
        <v>7.4596819264000009</v>
      </c>
      <c r="I294" s="799" t="s">
        <v>3</v>
      </c>
      <c r="L294">
        <f>(3.14*0.016*0.016*N289)</f>
        <v>2.9661696000000005E-2</v>
      </c>
      <c r="N294" s="981">
        <f>N292-N293-L294</f>
        <v>2.7378383040000003</v>
      </c>
      <c r="O294" s="799" t="s">
        <v>3</v>
      </c>
    </row>
    <row r="295" spans="1:15">
      <c r="A295" s="790" t="s">
        <v>2417</v>
      </c>
      <c r="B295" s="792"/>
      <c r="D295" s="980">
        <f>D294+F294</f>
        <v>1.5889180735999999</v>
      </c>
      <c r="E295" s="789" t="s">
        <v>1903</v>
      </c>
      <c r="F295" s="791">
        <v>1.3</v>
      </c>
      <c r="G295" s="789" t="s">
        <v>1905</v>
      </c>
      <c r="H295" s="981">
        <f>D295*F295</f>
        <v>2.0655934956799999</v>
      </c>
      <c r="I295" s="799" t="s">
        <v>3</v>
      </c>
      <c r="N295" s="981">
        <f>(L294+N293)*1.3</f>
        <v>0.75811020480000013</v>
      </c>
      <c r="O295" s="799" t="s">
        <v>3</v>
      </c>
    </row>
    <row r="299" spans="1:15">
      <c r="F299">
        <v>50</v>
      </c>
    </row>
    <row r="300" spans="1:15">
      <c r="F300">
        <f>50*1.11857</f>
        <v>55.9285</v>
      </c>
    </row>
    <row r="301" spans="1:15">
      <c r="F301">
        <v>182.3</v>
      </c>
    </row>
    <row r="302" spans="1:15">
      <c r="F302">
        <f>SUM(F299:F301)</f>
        <v>288.2285</v>
      </c>
    </row>
    <row r="303" spans="1:15">
      <c r="F303">
        <f>F302*1.245</f>
        <v>358.84448250000003</v>
      </c>
    </row>
  </sheetData>
  <mergeCells count="3">
    <mergeCell ref="S177:S180"/>
    <mergeCell ref="X177:X180"/>
    <mergeCell ref="U179:U180"/>
  </mergeCells>
  <hyperlinks>
    <hyperlink ref="T13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8"/>
  <sheetViews>
    <sheetView showGridLines="0" view="pageBreakPreview" topLeftCell="A16" zoomScale="90" zoomScaleSheetLayoutView="90" workbookViewId="0">
      <selection activeCell="I38" sqref="I38"/>
    </sheetView>
  </sheetViews>
  <sheetFormatPr defaultColWidth="11.42578125" defaultRowHeight="12.75"/>
  <cols>
    <col min="1" max="1" width="10.140625" style="88" customWidth="1"/>
    <col min="2" max="2" width="18.5703125" style="88" customWidth="1"/>
    <col min="3" max="3" width="33.85546875" style="21" customWidth="1"/>
    <col min="4" max="4" width="7.85546875" style="20" customWidth="1"/>
    <col min="5" max="5" width="8.85546875" style="20" customWidth="1"/>
    <col min="6" max="6" width="8.140625" style="89" customWidth="1"/>
    <col min="7" max="7" width="9.42578125" style="89" customWidth="1"/>
    <col min="8" max="8" width="10.140625" style="89" customWidth="1"/>
    <col min="9" max="9" width="10.85546875" style="89" customWidth="1"/>
    <col min="10" max="11" width="7.85546875" style="89" customWidth="1"/>
    <col min="12" max="12" width="8.5703125" style="89" customWidth="1"/>
    <col min="13" max="13" width="11" style="89" customWidth="1"/>
    <col min="14" max="15" width="15.5703125" style="89" customWidth="1"/>
    <col min="16" max="16" width="6.42578125" style="21" customWidth="1"/>
    <col min="17" max="17" width="9.42578125" style="18" customWidth="1"/>
    <col min="18" max="18" width="12.140625" style="19" customWidth="1"/>
    <col min="19" max="19" width="13" style="20" customWidth="1"/>
    <col min="20" max="16384" width="11.42578125" style="21"/>
  </cols>
  <sheetData>
    <row r="1" spans="1:19" s="8" customFormat="1" ht="46.5" customHeight="1">
      <c r="A1" s="3" t="s">
        <v>2472</v>
      </c>
      <c r="B1" s="4"/>
      <c r="C1" s="5"/>
      <c r="D1" s="23"/>
      <c r="E1" s="5"/>
      <c r="F1" s="5"/>
      <c r="G1" s="5"/>
      <c r="H1" s="24"/>
      <c r="I1" s="24"/>
      <c r="J1" s="6" t="s">
        <v>2471</v>
      </c>
      <c r="K1" s="7"/>
      <c r="L1" s="7"/>
      <c r="M1" s="7"/>
      <c r="N1" s="7"/>
      <c r="O1" s="9"/>
    </row>
    <row r="2" spans="1:19" s="33" customFormat="1" ht="3" customHeight="1">
      <c r="A2" s="25"/>
      <c r="B2" s="26"/>
      <c r="C2" s="17"/>
      <c r="D2" s="17"/>
      <c r="E2" s="17"/>
      <c r="F2" s="17"/>
      <c r="G2" s="17"/>
      <c r="H2" s="17"/>
      <c r="I2" s="17"/>
      <c r="J2" s="27"/>
      <c r="K2" s="28"/>
      <c r="L2" s="28"/>
      <c r="M2" s="17"/>
      <c r="N2" s="17"/>
      <c r="O2" s="17"/>
      <c r="P2" s="29"/>
      <c r="Q2" s="30"/>
      <c r="R2" s="31"/>
      <c r="S2" s="32"/>
    </row>
    <row r="3" spans="1:19" ht="18" customHeight="1">
      <c r="A3" s="1586" t="s">
        <v>31</v>
      </c>
      <c r="B3" s="1587"/>
      <c r="C3" s="1587"/>
      <c r="D3" s="1587"/>
      <c r="E3" s="1587"/>
      <c r="F3" s="1587"/>
      <c r="G3" s="1587"/>
      <c r="H3" s="1587"/>
      <c r="I3" s="1587"/>
      <c r="J3" s="1588"/>
      <c r="K3" s="1589" t="s">
        <v>36</v>
      </c>
      <c r="L3" s="1590"/>
      <c r="M3" s="14" t="s">
        <v>37</v>
      </c>
      <c r="N3" s="34"/>
      <c r="O3" s="35">
        <v>7.5</v>
      </c>
      <c r="Q3" s="19"/>
      <c r="R3" s="20"/>
      <c r="S3" s="21"/>
    </row>
    <row r="4" spans="1:19" ht="18" customHeight="1">
      <c r="A4" s="1593" t="s">
        <v>89</v>
      </c>
      <c r="B4" s="1594"/>
      <c r="C4" s="1594"/>
      <c r="D4" s="1594"/>
      <c r="E4" s="1594"/>
      <c r="F4" s="1594"/>
      <c r="G4" s="1594"/>
      <c r="H4" s="1594"/>
      <c r="I4" s="1594"/>
      <c r="J4" s="1595"/>
      <c r="K4" s="1591"/>
      <c r="L4" s="1592"/>
      <c r="M4" s="36" t="s">
        <v>38</v>
      </c>
      <c r="N4" s="37"/>
      <c r="O4" s="38">
        <v>15</v>
      </c>
      <c r="Q4" s="19"/>
      <c r="R4" s="20"/>
      <c r="S4" s="21"/>
    </row>
    <row r="5" spans="1:19" s="10" customFormat="1" ht="15" customHeight="1">
      <c r="A5" s="39" t="s">
        <v>32</v>
      </c>
      <c r="B5" s="39" t="s">
        <v>33</v>
      </c>
      <c r="C5" s="40" t="s">
        <v>34</v>
      </c>
      <c r="D5" s="41" t="s">
        <v>39</v>
      </c>
      <c r="E5" s="42"/>
      <c r="F5" s="779" t="s">
        <v>37</v>
      </c>
      <c r="G5" s="780"/>
      <c r="H5" s="780"/>
      <c r="I5" s="780"/>
      <c r="J5" s="779" t="s">
        <v>38</v>
      </c>
      <c r="K5" s="780"/>
      <c r="L5" s="780"/>
      <c r="M5" s="780"/>
      <c r="N5" s="781"/>
      <c r="O5" s="1603" t="s">
        <v>40</v>
      </c>
      <c r="R5" s="11"/>
      <c r="S5" s="12"/>
    </row>
    <row r="6" spans="1:19" s="10" customFormat="1" ht="15" customHeight="1">
      <c r="A6" s="39"/>
      <c r="B6" s="39"/>
      <c r="C6" s="40"/>
      <c r="D6" s="1599" t="s">
        <v>41</v>
      </c>
      <c r="E6" s="1601" t="s">
        <v>42</v>
      </c>
      <c r="F6" s="782" t="s">
        <v>43</v>
      </c>
      <c r="G6" s="783"/>
      <c r="H6" s="784" t="s">
        <v>44</v>
      </c>
      <c r="I6" s="785"/>
      <c r="J6" s="1604" t="s">
        <v>45</v>
      </c>
      <c r="K6" s="782" t="s">
        <v>43</v>
      </c>
      <c r="L6" s="783"/>
      <c r="M6" s="784" t="s">
        <v>44</v>
      </c>
      <c r="N6" s="785"/>
      <c r="O6" s="1597"/>
      <c r="R6" s="11"/>
      <c r="S6" s="12"/>
    </row>
    <row r="7" spans="1:19" s="10" customFormat="1" ht="15" customHeight="1">
      <c r="A7" s="49"/>
      <c r="B7" s="49"/>
      <c r="C7" s="50"/>
      <c r="D7" s="1600"/>
      <c r="E7" s="1602"/>
      <c r="F7" s="776" t="s">
        <v>46</v>
      </c>
      <c r="G7" s="776" t="s">
        <v>47</v>
      </c>
      <c r="H7" s="777" t="s">
        <v>48</v>
      </c>
      <c r="I7" s="778" t="s">
        <v>49</v>
      </c>
      <c r="J7" s="1598"/>
      <c r="K7" s="776" t="s">
        <v>46</v>
      </c>
      <c r="L7" s="776" t="s">
        <v>47</v>
      </c>
      <c r="M7" s="777" t="s">
        <v>48</v>
      </c>
      <c r="N7" s="778" t="s">
        <v>49</v>
      </c>
      <c r="O7" s="1598"/>
      <c r="R7" s="11"/>
      <c r="S7" s="12"/>
    </row>
    <row r="8" spans="1:19" s="33" customFormat="1" ht="3" customHeight="1">
      <c r="A8" s="25"/>
      <c r="B8" s="26"/>
      <c r="C8" s="17"/>
      <c r="D8" s="17"/>
      <c r="E8" s="17"/>
      <c r="F8" s="17"/>
      <c r="G8" s="17"/>
      <c r="H8" s="17"/>
      <c r="I8" s="17"/>
      <c r="J8" s="27"/>
      <c r="K8" s="28"/>
      <c r="L8" s="28"/>
      <c r="M8" s="17"/>
      <c r="N8" s="17"/>
      <c r="O8" s="17"/>
      <c r="P8" s="29"/>
      <c r="Q8" s="30"/>
      <c r="R8" s="31"/>
      <c r="S8" s="32"/>
    </row>
    <row r="9" spans="1:19" s="10" customFormat="1" ht="15.75">
      <c r="A9" s="1316" t="s">
        <v>6</v>
      </c>
      <c r="B9" s="1317"/>
      <c r="C9" s="1318" t="s">
        <v>50</v>
      </c>
      <c r="D9" s="1319"/>
      <c r="E9" s="1319"/>
      <c r="F9" s="1320"/>
      <c r="G9" s="1320"/>
      <c r="H9" s="1320"/>
      <c r="I9" s="1321"/>
      <c r="J9" s="1321"/>
      <c r="K9" s="1321"/>
      <c r="L9" s="1321"/>
      <c r="M9" s="1321"/>
      <c r="N9" s="1321"/>
      <c r="O9" s="1322"/>
      <c r="R9" s="11"/>
      <c r="S9" s="12"/>
    </row>
    <row r="10" spans="1:19" s="10" customFormat="1" ht="15" customHeight="1">
      <c r="A10" s="1309" t="s">
        <v>20</v>
      </c>
      <c r="B10" s="1309"/>
      <c r="C10" s="1310" t="s">
        <v>51</v>
      </c>
      <c r="D10" s="1311"/>
      <c r="E10" s="1312"/>
      <c r="F10" s="1313"/>
      <c r="G10" s="1313"/>
      <c r="H10" s="1314"/>
      <c r="I10" s="1315"/>
      <c r="J10" s="1313"/>
      <c r="K10" s="1315"/>
      <c r="L10" s="1315"/>
      <c r="M10" s="1315"/>
      <c r="N10" s="1315"/>
      <c r="O10" s="1315"/>
      <c r="R10" s="11"/>
      <c r="S10" s="12"/>
    </row>
    <row r="11" spans="1:19" s="10" customFormat="1" ht="15" customHeight="1">
      <c r="A11" s="13" t="s">
        <v>3003</v>
      </c>
      <c r="B11" s="52" t="s">
        <v>53</v>
      </c>
      <c r="C11" s="53" t="s">
        <v>54</v>
      </c>
      <c r="D11" s="54">
        <v>1</v>
      </c>
      <c r="E11" s="55">
        <v>4</v>
      </c>
      <c r="F11" s="52">
        <v>30</v>
      </c>
      <c r="G11" s="51">
        <f>F11*D11*J11</f>
        <v>30</v>
      </c>
      <c r="H11" s="56">
        <f>G11*O$3</f>
        <v>225</v>
      </c>
      <c r="I11" s="56">
        <f>E11*H11</f>
        <v>900</v>
      </c>
      <c r="J11" s="51">
        <v>1</v>
      </c>
      <c r="K11" s="52">
        <v>30</v>
      </c>
      <c r="L11" s="52">
        <f t="shared" ref="L11:L20" si="0">D11*J11*K11</f>
        <v>30</v>
      </c>
      <c r="M11" s="57">
        <f t="shared" ref="M11:M20" si="1">L11*O$4</f>
        <v>450</v>
      </c>
      <c r="N11" s="56">
        <f t="shared" ref="N11:N20" si="2">E11*M11</f>
        <v>1800</v>
      </c>
      <c r="O11" s="56">
        <f t="shared" ref="O11:O20" si="3">I11+N11</f>
        <v>2700</v>
      </c>
      <c r="R11" s="11"/>
      <c r="S11" s="12"/>
    </row>
    <row r="12" spans="1:19" s="10" customFormat="1" ht="15" customHeight="1">
      <c r="A12" s="13" t="s">
        <v>3004</v>
      </c>
      <c r="B12" s="52" t="s">
        <v>57</v>
      </c>
      <c r="C12" s="53" t="s">
        <v>58</v>
      </c>
      <c r="D12" s="54">
        <v>1</v>
      </c>
      <c r="E12" s="55">
        <v>2</v>
      </c>
      <c r="F12" s="52">
        <v>30</v>
      </c>
      <c r="G12" s="51">
        <f t="shared" ref="G12:G20" si="4">F12*D12*J12</f>
        <v>30</v>
      </c>
      <c r="H12" s="56">
        <f t="shared" ref="H12:H20" si="5">G12*O$3</f>
        <v>225</v>
      </c>
      <c r="I12" s="56">
        <f t="shared" ref="I12:I20" si="6">E12*H12</f>
        <v>450</v>
      </c>
      <c r="J12" s="51">
        <v>1</v>
      </c>
      <c r="K12" s="52">
        <v>30</v>
      </c>
      <c r="L12" s="52">
        <f t="shared" si="0"/>
        <v>30</v>
      </c>
      <c r="M12" s="57">
        <f t="shared" si="1"/>
        <v>450</v>
      </c>
      <c r="N12" s="56">
        <f t="shared" si="2"/>
        <v>900</v>
      </c>
      <c r="O12" s="56">
        <f t="shared" si="3"/>
        <v>1350</v>
      </c>
      <c r="R12" s="11"/>
      <c r="S12" s="12"/>
    </row>
    <row r="13" spans="1:19" s="10" customFormat="1" ht="15" customHeight="1">
      <c r="A13" s="13" t="s">
        <v>3005</v>
      </c>
      <c r="B13" s="52" t="s">
        <v>59</v>
      </c>
      <c r="C13" s="53" t="s">
        <v>60</v>
      </c>
      <c r="D13" s="54">
        <v>1</v>
      </c>
      <c r="E13" s="55">
        <v>4</v>
      </c>
      <c r="F13" s="52">
        <v>30</v>
      </c>
      <c r="G13" s="51">
        <f t="shared" si="4"/>
        <v>30</v>
      </c>
      <c r="H13" s="56">
        <f t="shared" si="5"/>
        <v>225</v>
      </c>
      <c r="I13" s="56">
        <f t="shared" si="6"/>
        <v>900</v>
      </c>
      <c r="J13" s="51">
        <v>1</v>
      </c>
      <c r="K13" s="52">
        <v>30</v>
      </c>
      <c r="L13" s="52">
        <f t="shared" si="0"/>
        <v>30</v>
      </c>
      <c r="M13" s="57">
        <f t="shared" si="1"/>
        <v>450</v>
      </c>
      <c r="N13" s="56">
        <f t="shared" si="2"/>
        <v>1800</v>
      </c>
      <c r="O13" s="56">
        <f t="shared" si="3"/>
        <v>2700</v>
      </c>
      <c r="R13" s="11"/>
      <c r="S13" s="12"/>
    </row>
    <row r="14" spans="1:19" s="10" customFormat="1" ht="15" customHeight="1">
      <c r="A14" s="13" t="s">
        <v>3006</v>
      </c>
      <c r="B14" s="52" t="s">
        <v>61</v>
      </c>
      <c r="C14" s="53" t="s">
        <v>62</v>
      </c>
      <c r="D14" s="54">
        <v>1</v>
      </c>
      <c r="E14" s="55">
        <v>4</v>
      </c>
      <c r="F14" s="52">
        <v>30</v>
      </c>
      <c r="G14" s="51">
        <f t="shared" si="4"/>
        <v>30</v>
      </c>
      <c r="H14" s="56">
        <f t="shared" si="5"/>
        <v>225</v>
      </c>
      <c r="I14" s="56">
        <f t="shared" si="6"/>
        <v>900</v>
      </c>
      <c r="J14" s="51">
        <v>1</v>
      </c>
      <c r="K14" s="52">
        <v>30</v>
      </c>
      <c r="L14" s="52">
        <f t="shared" si="0"/>
        <v>30</v>
      </c>
      <c r="M14" s="57">
        <f t="shared" si="1"/>
        <v>450</v>
      </c>
      <c r="N14" s="56">
        <f t="shared" si="2"/>
        <v>1800</v>
      </c>
      <c r="O14" s="56">
        <f t="shared" si="3"/>
        <v>2700</v>
      </c>
      <c r="R14" s="11"/>
      <c r="S14" s="12"/>
    </row>
    <row r="15" spans="1:19" s="10" customFormat="1" ht="15" customHeight="1">
      <c r="A15" s="13" t="s">
        <v>3007</v>
      </c>
      <c r="B15" s="52" t="s">
        <v>63</v>
      </c>
      <c r="C15" s="53" t="s">
        <v>157</v>
      </c>
      <c r="D15" s="54">
        <v>1</v>
      </c>
      <c r="E15" s="55">
        <v>2</v>
      </c>
      <c r="F15" s="52">
        <v>30</v>
      </c>
      <c r="G15" s="51">
        <f t="shared" si="4"/>
        <v>30</v>
      </c>
      <c r="H15" s="56">
        <f t="shared" si="5"/>
        <v>225</v>
      </c>
      <c r="I15" s="56">
        <f t="shared" si="6"/>
        <v>450</v>
      </c>
      <c r="J15" s="51">
        <v>1</v>
      </c>
      <c r="K15" s="52">
        <v>30</v>
      </c>
      <c r="L15" s="52">
        <f t="shared" si="0"/>
        <v>30</v>
      </c>
      <c r="M15" s="57">
        <f t="shared" si="1"/>
        <v>450</v>
      </c>
      <c r="N15" s="56">
        <f t="shared" si="2"/>
        <v>900</v>
      </c>
      <c r="O15" s="56">
        <f t="shared" si="3"/>
        <v>1350</v>
      </c>
      <c r="R15" s="11"/>
      <c r="S15" s="12"/>
    </row>
    <row r="16" spans="1:19" s="10" customFormat="1" ht="15" customHeight="1">
      <c r="A16" s="13" t="s">
        <v>3008</v>
      </c>
      <c r="B16" s="52" t="s">
        <v>64</v>
      </c>
      <c r="C16" s="53" t="s">
        <v>158</v>
      </c>
      <c r="D16" s="54">
        <v>1</v>
      </c>
      <c r="E16" s="55">
        <v>1</v>
      </c>
      <c r="F16" s="52">
        <v>30</v>
      </c>
      <c r="G16" s="51">
        <f t="shared" si="4"/>
        <v>30</v>
      </c>
      <c r="H16" s="56">
        <f t="shared" si="5"/>
        <v>225</v>
      </c>
      <c r="I16" s="56">
        <f t="shared" si="6"/>
        <v>225</v>
      </c>
      <c r="J16" s="51">
        <v>1</v>
      </c>
      <c r="K16" s="52">
        <v>30</v>
      </c>
      <c r="L16" s="52">
        <f t="shared" si="0"/>
        <v>30</v>
      </c>
      <c r="M16" s="57">
        <f t="shared" si="1"/>
        <v>450</v>
      </c>
      <c r="N16" s="56">
        <f t="shared" si="2"/>
        <v>450</v>
      </c>
      <c r="O16" s="56">
        <f t="shared" si="3"/>
        <v>675</v>
      </c>
      <c r="R16" s="11"/>
      <c r="S16" s="12"/>
    </row>
    <row r="17" spans="1:19" s="10" customFormat="1" ht="15" customHeight="1">
      <c r="A17" s="13" t="s">
        <v>3009</v>
      </c>
      <c r="B17" s="52" t="s">
        <v>65</v>
      </c>
      <c r="C17" s="53" t="s">
        <v>159</v>
      </c>
      <c r="D17" s="54">
        <v>1</v>
      </c>
      <c r="E17" s="55">
        <v>2</v>
      </c>
      <c r="F17" s="52">
        <v>30</v>
      </c>
      <c r="G17" s="51">
        <f t="shared" si="4"/>
        <v>30</v>
      </c>
      <c r="H17" s="56">
        <f t="shared" si="5"/>
        <v>225</v>
      </c>
      <c r="I17" s="56">
        <f t="shared" si="6"/>
        <v>450</v>
      </c>
      <c r="J17" s="51">
        <v>1</v>
      </c>
      <c r="K17" s="52">
        <v>30</v>
      </c>
      <c r="L17" s="52">
        <f t="shared" si="0"/>
        <v>30</v>
      </c>
      <c r="M17" s="57">
        <f t="shared" si="1"/>
        <v>450</v>
      </c>
      <c r="N17" s="56">
        <f t="shared" si="2"/>
        <v>900</v>
      </c>
      <c r="O17" s="56">
        <f t="shared" si="3"/>
        <v>1350</v>
      </c>
      <c r="R17" s="11"/>
      <c r="S17" s="12"/>
    </row>
    <row r="18" spans="1:19" s="10" customFormat="1" ht="15" customHeight="1">
      <c r="A18" s="13" t="s">
        <v>3010</v>
      </c>
      <c r="B18" s="1146"/>
      <c r="C18" s="1147" t="s">
        <v>3002</v>
      </c>
      <c r="D18" s="1148">
        <v>1</v>
      </c>
      <c r="E18" s="1149">
        <v>4</v>
      </c>
      <c r="F18" s="1146">
        <v>30</v>
      </c>
      <c r="G18" s="51">
        <f t="shared" si="4"/>
        <v>30</v>
      </c>
      <c r="H18" s="56">
        <f t="shared" si="5"/>
        <v>225</v>
      </c>
      <c r="I18" s="56">
        <f t="shared" si="6"/>
        <v>900</v>
      </c>
      <c r="J18" s="58">
        <v>1</v>
      </c>
      <c r="K18" s="1146">
        <v>30</v>
      </c>
      <c r="L18" s="1146">
        <f t="shared" si="0"/>
        <v>30</v>
      </c>
      <c r="M18" s="1150">
        <f t="shared" si="1"/>
        <v>450</v>
      </c>
      <c r="N18" s="59">
        <f t="shared" si="2"/>
        <v>1800</v>
      </c>
      <c r="O18" s="59">
        <f t="shared" si="3"/>
        <v>2700</v>
      </c>
      <c r="R18" s="11"/>
      <c r="S18" s="12"/>
    </row>
    <row r="19" spans="1:19" s="10" customFormat="1" ht="15" customHeight="1">
      <c r="A19" s="13" t="s">
        <v>3011</v>
      </c>
      <c r="B19" s="1146"/>
      <c r="C19" s="1147" t="s">
        <v>2834</v>
      </c>
      <c r="D19" s="1148">
        <v>1</v>
      </c>
      <c r="E19" s="1149">
        <v>4</v>
      </c>
      <c r="F19" s="1146">
        <v>30</v>
      </c>
      <c r="G19" s="51">
        <f t="shared" si="4"/>
        <v>30</v>
      </c>
      <c r="H19" s="56">
        <f t="shared" si="5"/>
        <v>225</v>
      </c>
      <c r="I19" s="56">
        <f t="shared" si="6"/>
        <v>900</v>
      </c>
      <c r="J19" s="58">
        <v>1</v>
      </c>
      <c r="K19" s="1146">
        <v>30</v>
      </c>
      <c r="L19" s="1146">
        <f t="shared" si="0"/>
        <v>30</v>
      </c>
      <c r="M19" s="1150">
        <f t="shared" si="1"/>
        <v>450</v>
      </c>
      <c r="N19" s="59">
        <f t="shared" si="2"/>
        <v>1800</v>
      </c>
      <c r="O19" s="59">
        <f t="shared" si="3"/>
        <v>2700</v>
      </c>
      <c r="R19" s="11"/>
      <c r="S19" s="12"/>
    </row>
    <row r="20" spans="1:19" s="10" customFormat="1" ht="15" customHeight="1">
      <c r="A20" s="13" t="s">
        <v>3012</v>
      </c>
      <c r="B20" s="60"/>
      <c r="C20" s="1016" t="s">
        <v>2470</v>
      </c>
      <c r="D20" s="61">
        <v>1</v>
      </c>
      <c r="E20" s="61">
        <v>4</v>
      </c>
      <c r="F20" s="62">
        <v>30</v>
      </c>
      <c r="G20" s="51">
        <f t="shared" si="4"/>
        <v>30</v>
      </c>
      <c r="H20" s="56">
        <f t="shared" si="5"/>
        <v>225</v>
      </c>
      <c r="I20" s="56">
        <f t="shared" si="6"/>
        <v>900</v>
      </c>
      <c r="J20" s="62">
        <v>1</v>
      </c>
      <c r="K20" s="61">
        <v>30</v>
      </c>
      <c r="L20" s="61">
        <f t="shared" si="0"/>
        <v>30</v>
      </c>
      <c r="M20" s="1017">
        <f t="shared" si="1"/>
        <v>450</v>
      </c>
      <c r="N20" s="63">
        <f t="shared" si="2"/>
        <v>1800</v>
      </c>
      <c r="O20" s="63">
        <f t="shared" si="3"/>
        <v>2700</v>
      </c>
      <c r="R20" s="11"/>
      <c r="S20" s="12"/>
    </row>
    <row r="21" spans="1:19" s="10" customFormat="1" ht="16.5" customHeight="1">
      <c r="A21" s="64" t="s">
        <v>66</v>
      </c>
      <c r="B21" s="65"/>
      <c r="C21" s="66"/>
      <c r="D21" s="67">
        <f>SUM(D11:D20)</f>
        <v>10</v>
      </c>
      <c r="E21" s="67"/>
      <c r="F21" s="68"/>
      <c r="G21" s="68">
        <f>SUM(G11:G20)</f>
        <v>300</v>
      </c>
      <c r="H21" s="69">
        <f>SUM(H11:H20)</f>
        <v>2250</v>
      </c>
      <c r="I21" s="69"/>
      <c r="J21" s="68"/>
      <c r="K21" s="67"/>
      <c r="L21" s="68">
        <f>SUM(L11:L20)</f>
        <v>300</v>
      </c>
      <c r="M21" s="70">
        <f>SUM(M11:M20)</f>
        <v>4500</v>
      </c>
      <c r="N21" s="71"/>
      <c r="O21" s="72"/>
      <c r="R21" s="11"/>
      <c r="S21" s="12"/>
    </row>
    <row r="22" spans="1:19" s="10" customFormat="1" ht="16.5" customHeight="1">
      <c r="A22" s="73"/>
      <c r="B22" s="74"/>
      <c r="C22" s="75"/>
      <c r="D22" s="74"/>
      <c r="E22" s="74"/>
      <c r="F22" s="74"/>
      <c r="G22" s="74"/>
      <c r="H22" s="65" t="s">
        <v>67</v>
      </c>
      <c r="I22" s="65"/>
      <c r="J22" s="65"/>
      <c r="K22" s="65"/>
      <c r="L22" s="65"/>
      <c r="M22" s="66"/>
      <c r="N22" s="22"/>
      <c r="O22" s="22">
        <f>SUM(O11:O20)</f>
        <v>20925</v>
      </c>
      <c r="P22" s="16"/>
      <c r="S22" s="76"/>
    </row>
    <row r="23" spans="1:19" ht="16.5" customHeight="1">
      <c r="A23" s="77"/>
      <c r="B23" s="78"/>
      <c r="C23" s="33"/>
      <c r="D23" s="79"/>
      <c r="E23" s="79"/>
      <c r="F23" s="79"/>
      <c r="G23" s="79"/>
      <c r="H23" s="65" t="s">
        <v>35</v>
      </c>
      <c r="I23" s="65"/>
      <c r="J23" s="65"/>
      <c r="K23" s="65"/>
      <c r="L23" s="65"/>
      <c r="M23" s="66"/>
      <c r="N23" s="1145">
        <v>0.245</v>
      </c>
      <c r="O23" s="15">
        <f>O22*N23</f>
        <v>5126.625</v>
      </c>
      <c r="P23" s="17"/>
      <c r="Q23" s="10"/>
      <c r="R23" s="21"/>
      <c r="S23" s="21"/>
    </row>
    <row r="24" spans="1:19" ht="18.75" customHeight="1">
      <c r="A24" s="80" t="s">
        <v>68</v>
      </c>
      <c r="B24" s="81"/>
      <c r="C24" s="81"/>
      <c r="D24" s="82">
        <v>4</v>
      </c>
      <c r="E24" s="79" t="s">
        <v>69</v>
      </c>
      <c r="F24" s="83" t="s">
        <v>70</v>
      </c>
      <c r="G24" s="65"/>
      <c r="H24" s="65"/>
      <c r="I24" s="65"/>
      <c r="J24" s="65"/>
      <c r="K24" s="65"/>
      <c r="L24" s="65"/>
      <c r="M24" s="66"/>
      <c r="N24" s="84"/>
      <c r="O24" s="15">
        <f>O22+O23</f>
        <v>26051.625</v>
      </c>
      <c r="P24" s="17"/>
      <c r="Q24" s="10"/>
      <c r="R24" s="10"/>
      <c r="S24" s="76"/>
    </row>
    <row r="25" spans="1:19" ht="16.5" customHeight="1">
      <c r="A25" s="73" t="s">
        <v>71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6"/>
      <c r="N25" s="87"/>
      <c r="O25" s="15">
        <f>TRUNC(O24/D24,2)</f>
        <v>6512.9</v>
      </c>
      <c r="P25" s="17"/>
      <c r="Q25" s="10"/>
      <c r="R25" s="10"/>
      <c r="S25" s="76"/>
    </row>
    <row r="29" spans="1:19" ht="15.75">
      <c r="A29" s="1586" t="s">
        <v>31</v>
      </c>
      <c r="B29" s="1587"/>
      <c r="C29" s="1587"/>
      <c r="D29" s="1587"/>
      <c r="E29" s="1587"/>
      <c r="F29" s="1587"/>
      <c r="G29" s="1587"/>
      <c r="H29" s="1587"/>
      <c r="I29" s="1587"/>
      <c r="J29" s="1588"/>
      <c r="K29" s="1589"/>
      <c r="L29" s="1590"/>
      <c r="M29" s="14"/>
      <c r="N29" s="34"/>
      <c r="O29" s="35"/>
    </row>
    <row r="30" spans="1:19" ht="15.75">
      <c r="A30" s="1593" t="s">
        <v>165</v>
      </c>
      <c r="B30" s="1594"/>
      <c r="C30" s="1594"/>
      <c r="D30" s="1594"/>
      <c r="E30" s="1594"/>
      <c r="F30" s="1594"/>
      <c r="G30" s="1594"/>
      <c r="H30" s="1594"/>
      <c r="I30" s="1594"/>
      <c r="J30" s="1595"/>
      <c r="K30" s="1591"/>
      <c r="L30" s="1592"/>
      <c r="M30" s="36"/>
      <c r="N30" s="37"/>
      <c r="O30" s="38"/>
    </row>
    <row r="31" spans="1:19">
      <c r="A31" s="39" t="s">
        <v>32</v>
      </c>
      <c r="B31" s="39" t="s">
        <v>33</v>
      </c>
      <c r="C31" s="40" t="s">
        <v>34</v>
      </c>
      <c r="D31" s="41" t="s">
        <v>39</v>
      </c>
      <c r="E31" s="42"/>
      <c r="F31" s="43"/>
      <c r="G31" s="43"/>
      <c r="H31" s="43"/>
      <c r="I31" s="44"/>
      <c r="J31" s="1596"/>
      <c r="K31" s="21"/>
      <c r="L31" s="18"/>
      <c r="M31" s="19"/>
      <c r="N31" s="20"/>
      <c r="O31" s="21"/>
    </row>
    <row r="32" spans="1:19">
      <c r="A32" s="39"/>
      <c r="B32" s="39"/>
      <c r="C32" s="40"/>
      <c r="D32" s="1599" t="s">
        <v>41</v>
      </c>
      <c r="E32" s="1601" t="s">
        <v>42</v>
      </c>
      <c r="F32" s="45" t="s">
        <v>43</v>
      </c>
      <c r="G32" s="46"/>
      <c r="H32" s="47" t="s">
        <v>44</v>
      </c>
      <c r="I32" s="48"/>
      <c r="J32" s="1597"/>
      <c r="K32" s="21"/>
      <c r="L32" s="18"/>
      <c r="M32" s="19"/>
      <c r="N32" s="20"/>
      <c r="O32" s="21"/>
    </row>
    <row r="33" spans="1:15" ht="18" customHeight="1">
      <c r="A33" s="49"/>
      <c r="B33" s="49"/>
      <c r="C33" s="50"/>
      <c r="D33" s="1600"/>
      <c r="E33" s="1602"/>
      <c r="F33" s="776" t="s">
        <v>17</v>
      </c>
      <c r="G33" s="776" t="s">
        <v>160</v>
      </c>
      <c r="H33" s="777" t="s">
        <v>48</v>
      </c>
      <c r="I33" s="778" t="s">
        <v>49</v>
      </c>
      <c r="J33" s="1598"/>
      <c r="K33" s="21"/>
      <c r="L33" s="18"/>
      <c r="M33" s="19"/>
      <c r="N33" s="20"/>
      <c r="O33" s="21"/>
    </row>
    <row r="34" spans="1:15" ht="15.75">
      <c r="A34" s="25"/>
      <c r="B34" s="26"/>
      <c r="C34" s="17"/>
      <c r="D34" s="17"/>
      <c r="E34" s="17"/>
      <c r="F34" s="28"/>
      <c r="G34" s="28"/>
      <c r="H34" s="17"/>
      <c r="I34" s="17"/>
      <c r="J34" s="17"/>
      <c r="K34" s="21"/>
      <c r="L34" s="18"/>
      <c r="M34" s="19"/>
      <c r="N34" s="20"/>
      <c r="O34" s="21"/>
    </row>
    <row r="35" spans="1:15" ht="18.75" customHeight="1">
      <c r="A35" s="1166" t="s">
        <v>7</v>
      </c>
      <c r="B35" s="1167"/>
      <c r="C35" s="1168" t="s">
        <v>166</v>
      </c>
      <c r="D35" s="1169"/>
      <c r="E35" s="1169"/>
      <c r="F35" s="1170"/>
      <c r="G35" s="1170"/>
      <c r="H35" s="1170"/>
      <c r="I35" s="1171"/>
      <c r="J35" s="21"/>
      <c r="K35" s="18"/>
      <c r="L35" s="19"/>
      <c r="M35" s="20"/>
      <c r="N35" s="21"/>
      <c r="O35" s="21"/>
    </row>
    <row r="36" spans="1:15" ht="15.75" customHeight="1">
      <c r="A36" s="1172" t="s">
        <v>21</v>
      </c>
      <c r="B36" s="1172"/>
      <c r="C36" s="1173" t="s">
        <v>51</v>
      </c>
      <c r="D36" s="1174"/>
      <c r="E36" s="1175"/>
      <c r="F36" s="1176"/>
      <c r="G36" s="1176"/>
      <c r="H36" s="1176"/>
      <c r="I36" s="1176"/>
      <c r="J36" s="21"/>
      <c r="K36" s="18"/>
      <c r="L36" s="19"/>
      <c r="M36" s="20"/>
      <c r="N36" s="21"/>
      <c r="O36" s="21"/>
    </row>
    <row r="37" spans="1:15" ht="18" customHeight="1">
      <c r="A37" s="13" t="s">
        <v>3013</v>
      </c>
      <c r="B37" s="204" t="s">
        <v>168</v>
      </c>
      <c r="C37" s="53" t="s">
        <v>2832</v>
      </c>
      <c r="D37" s="54">
        <v>1</v>
      </c>
      <c r="E37" s="55">
        <v>4</v>
      </c>
      <c r="F37" s="52">
        <v>1</v>
      </c>
      <c r="G37" s="1143">
        <v>20000</v>
      </c>
      <c r="H37" s="57">
        <f>G37*F37</f>
        <v>20000</v>
      </c>
      <c r="I37" s="56">
        <f t="shared" ref="I37" si="7">E37*H37</f>
        <v>80000</v>
      </c>
      <c r="J37" s="21" t="s">
        <v>2835</v>
      </c>
      <c r="K37" s="18"/>
      <c r="L37" s="19"/>
      <c r="M37" s="20"/>
      <c r="N37" s="21"/>
      <c r="O37" s="21"/>
    </row>
    <row r="38" spans="1:15" ht="17.25" customHeight="1">
      <c r="A38" s="13" t="s">
        <v>3014</v>
      </c>
      <c r="B38" s="204" t="s">
        <v>168</v>
      </c>
      <c r="C38" s="205" t="s">
        <v>169</v>
      </c>
      <c r="D38" s="54">
        <v>1</v>
      </c>
      <c r="E38" s="55">
        <v>4</v>
      </c>
      <c r="F38" s="52">
        <v>1</v>
      </c>
      <c r="G38" s="1143">
        <v>5236</v>
      </c>
      <c r="H38" s="57">
        <f>G38*F38</f>
        <v>5236</v>
      </c>
      <c r="I38" s="56">
        <f>E38*H38</f>
        <v>20944</v>
      </c>
      <c r="J38" s="21"/>
      <c r="K38" s="18"/>
      <c r="L38" s="19"/>
      <c r="M38" s="20"/>
      <c r="N38" s="21"/>
      <c r="O38" s="21"/>
    </row>
    <row r="39" spans="1:15" ht="17.25" customHeight="1">
      <c r="A39" s="13" t="s">
        <v>3015</v>
      </c>
      <c r="B39" s="204" t="s">
        <v>168</v>
      </c>
      <c r="C39" s="205" t="s">
        <v>173</v>
      </c>
      <c r="D39" s="54">
        <v>1</v>
      </c>
      <c r="E39" s="55">
        <v>4</v>
      </c>
      <c r="F39" s="52">
        <v>308</v>
      </c>
      <c r="G39" s="1018">
        <v>4.5999999999999996</v>
      </c>
      <c r="H39" s="57">
        <f>G39*F39</f>
        <v>1416.8</v>
      </c>
      <c r="I39" s="56">
        <f>E39*H39</f>
        <v>5667.2</v>
      </c>
      <c r="J39" s="21"/>
      <c r="K39" s="18"/>
      <c r="L39" s="19"/>
      <c r="M39" s="20"/>
      <c r="N39" s="21"/>
      <c r="O39" s="21"/>
    </row>
    <row r="40" spans="1:15" ht="15">
      <c r="A40" s="64" t="s">
        <v>66</v>
      </c>
      <c r="B40" s="65"/>
      <c r="C40" s="66"/>
      <c r="D40" s="1144">
        <f>SUM(D37:D39)</f>
        <v>3</v>
      </c>
      <c r="E40" s="67"/>
      <c r="F40" s="67"/>
      <c r="G40" s="68"/>
      <c r="H40" s="70"/>
      <c r="I40" s="72">
        <f>SUM(I37:I39)</f>
        <v>106611.2</v>
      </c>
      <c r="J40" s="21"/>
      <c r="K40" s="18"/>
      <c r="L40" s="19"/>
      <c r="M40" s="20"/>
      <c r="N40" s="21"/>
      <c r="O40" s="21"/>
    </row>
    <row r="41" spans="1:15" ht="18" customHeight="1">
      <c r="A41" s="73"/>
      <c r="B41" s="74"/>
      <c r="C41" s="75"/>
      <c r="D41" s="74"/>
      <c r="E41" s="74"/>
      <c r="F41" s="74"/>
      <c r="G41" s="74"/>
      <c r="H41" s="65" t="s">
        <v>67</v>
      </c>
      <c r="I41" s="65"/>
      <c r="J41" s="1019"/>
      <c r="K41" s="65"/>
      <c r="L41" s="65"/>
      <c r="M41" s="66"/>
      <c r="N41" s="1323">
        <f>I40</f>
        <v>106611.2</v>
      </c>
      <c r="O41" s="1324">
        <f>N41</f>
        <v>106611.2</v>
      </c>
    </row>
    <row r="42" spans="1:15" ht="18" customHeight="1">
      <c r="A42" s="77"/>
      <c r="B42" s="78"/>
      <c r="C42" s="33"/>
      <c r="D42" s="79"/>
      <c r="E42" s="79"/>
      <c r="F42" s="79"/>
      <c r="G42" s="79"/>
      <c r="H42" s="65" t="s">
        <v>35</v>
      </c>
      <c r="I42" s="65"/>
      <c r="J42" s="1019"/>
      <c r="K42" s="65"/>
      <c r="L42" s="65"/>
      <c r="M42" s="66"/>
      <c r="N42" s="1325">
        <v>0.245</v>
      </c>
      <c r="O42" s="1324">
        <f>N41*N42</f>
        <v>26119.743999999999</v>
      </c>
    </row>
    <row r="43" spans="1:15" ht="18" customHeight="1">
      <c r="A43" s="80" t="s">
        <v>68</v>
      </c>
      <c r="B43" s="81"/>
      <c r="C43" s="81"/>
      <c r="D43" s="82">
        <v>4</v>
      </c>
      <c r="E43" s="79" t="s">
        <v>69</v>
      </c>
      <c r="F43" s="83" t="s">
        <v>70</v>
      </c>
      <c r="G43" s="65"/>
      <c r="H43" s="65"/>
      <c r="I43" s="65"/>
      <c r="J43" s="1019"/>
      <c r="K43" s="65"/>
      <c r="L43" s="65"/>
      <c r="M43" s="66"/>
      <c r="N43" s="1326"/>
      <c r="O43" s="1324">
        <f>O41+O42</f>
        <v>132730.94399999999</v>
      </c>
    </row>
    <row r="44" spans="1:15" ht="18" customHeight="1">
      <c r="A44" s="73" t="s">
        <v>2473</v>
      </c>
      <c r="B44" s="85"/>
      <c r="C44" s="85"/>
      <c r="D44" s="85"/>
      <c r="E44" s="85"/>
      <c r="F44" s="85"/>
      <c r="G44" s="85"/>
      <c r="H44" s="85"/>
      <c r="I44" s="85"/>
      <c r="J44" s="1019"/>
      <c r="K44" s="85"/>
      <c r="L44" s="85"/>
      <c r="M44" s="86"/>
      <c r="N44" s="87"/>
      <c r="O44" s="15">
        <f>TRUNC(O43/D43,2)</f>
        <v>33182.730000000003</v>
      </c>
    </row>
    <row r="46" spans="1:15" ht="15.75">
      <c r="A46" s="1586" t="s">
        <v>31</v>
      </c>
      <c r="B46" s="1587"/>
      <c r="C46" s="1587"/>
      <c r="D46" s="1587"/>
      <c r="E46" s="1587"/>
      <c r="F46" s="1587"/>
      <c r="G46" s="1587"/>
      <c r="H46" s="1587"/>
      <c r="I46" s="1587"/>
      <c r="J46" s="1588"/>
    </row>
    <row r="47" spans="1:15" ht="15.75">
      <c r="A47" s="1593" t="s">
        <v>2900</v>
      </c>
      <c r="B47" s="1594"/>
      <c r="C47" s="1594"/>
      <c r="D47" s="1594"/>
      <c r="E47" s="1594"/>
      <c r="F47" s="1594"/>
      <c r="G47" s="1594"/>
      <c r="H47" s="1594"/>
      <c r="I47" s="1594"/>
      <c r="J47" s="1595"/>
    </row>
    <row r="48" spans="1:15">
      <c r="A48" s="39" t="s">
        <v>32</v>
      </c>
      <c r="B48" s="39" t="s">
        <v>33</v>
      </c>
      <c r="C48" s="40" t="s">
        <v>34</v>
      </c>
      <c r="D48" s="41" t="s">
        <v>39</v>
      </c>
      <c r="E48" s="42"/>
      <c r="F48" s="43"/>
      <c r="G48" s="43"/>
      <c r="H48" s="43"/>
      <c r="I48" s="44"/>
      <c r="J48" s="1596"/>
    </row>
    <row r="49" spans="1:15">
      <c r="A49" s="39"/>
      <c r="B49" s="39"/>
      <c r="C49" s="40"/>
      <c r="D49" s="1599" t="s">
        <v>41</v>
      </c>
      <c r="E49" s="1601" t="s">
        <v>42</v>
      </c>
      <c r="F49" s="45" t="s">
        <v>43</v>
      </c>
      <c r="G49" s="46"/>
      <c r="H49" s="47" t="s">
        <v>44</v>
      </c>
      <c r="I49" s="48"/>
      <c r="J49" s="1597"/>
    </row>
    <row r="50" spans="1:15">
      <c r="A50" s="49"/>
      <c r="B50" s="49"/>
      <c r="C50" s="50"/>
      <c r="D50" s="1600"/>
      <c r="E50" s="1602"/>
      <c r="F50" s="776" t="s">
        <v>17</v>
      </c>
      <c r="G50" s="776" t="s">
        <v>160</v>
      </c>
      <c r="H50" s="777" t="s">
        <v>48</v>
      </c>
      <c r="I50" s="778" t="s">
        <v>49</v>
      </c>
      <c r="J50" s="1598"/>
    </row>
    <row r="52" spans="1:15" ht="15.75">
      <c r="A52" s="1166" t="s">
        <v>8</v>
      </c>
      <c r="B52" s="1167"/>
      <c r="C52" s="1168" t="s">
        <v>2900</v>
      </c>
      <c r="D52" s="1169"/>
      <c r="E52" s="1169"/>
      <c r="F52" s="1170"/>
      <c r="G52" s="1170"/>
      <c r="H52" s="1170"/>
      <c r="I52" s="1171"/>
    </row>
    <row r="53" spans="1:15" ht="18" customHeight="1">
      <c r="A53" s="1195" t="s">
        <v>22</v>
      </c>
      <c r="B53" s="1300" t="s">
        <v>2935</v>
      </c>
      <c r="C53" s="1177" t="s">
        <v>54</v>
      </c>
      <c r="D53" s="1178">
        <v>1</v>
      </c>
      <c r="E53" s="1179">
        <v>4</v>
      </c>
      <c r="F53" s="1180">
        <v>1</v>
      </c>
      <c r="G53" s="1181">
        <v>2492.86</v>
      </c>
      <c r="H53" s="1182">
        <f>G53*F53</f>
        <v>2492.86</v>
      </c>
      <c r="I53" s="1183">
        <f>E53*H53</f>
        <v>9971.44</v>
      </c>
      <c r="K53" s="89" t="s">
        <v>2933</v>
      </c>
    </row>
    <row r="54" spans="1:15" ht="15.95" customHeight="1">
      <c r="A54" s="1308" t="s">
        <v>52</v>
      </c>
      <c r="B54" s="1198" t="s">
        <v>2907</v>
      </c>
      <c r="C54" s="1184" t="s">
        <v>58</v>
      </c>
      <c r="D54" s="1185">
        <v>1</v>
      </c>
      <c r="E54" s="1186">
        <v>2</v>
      </c>
      <c r="F54" s="1187">
        <v>1</v>
      </c>
      <c r="G54" s="1188">
        <v>3730.16</v>
      </c>
      <c r="H54" s="1189">
        <f t="shared" ref="H54:H62" si="8">G54*F54</f>
        <v>3730.16</v>
      </c>
      <c r="I54" s="1190">
        <f t="shared" ref="I54:I62" si="9">E54*H54</f>
        <v>7460.32</v>
      </c>
    </row>
    <row r="55" spans="1:15" ht="15.95" customHeight="1">
      <c r="A55" s="1308" t="s">
        <v>55</v>
      </c>
      <c r="B55" s="1198" t="s">
        <v>2996</v>
      </c>
      <c r="C55" s="1184" t="s">
        <v>60</v>
      </c>
      <c r="D55" s="1185">
        <v>1</v>
      </c>
      <c r="E55" s="1186">
        <v>4</v>
      </c>
      <c r="F55" s="1187">
        <v>1</v>
      </c>
      <c r="G55" s="1188">
        <v>3469.95</v>
      </c>
      <c r="H55" s="1189">
        <f t="shared" si="8"/>
        <v>3469.95</v>
      </c>
      <c r="I55" s="1190">
        <f t="shared" si="9"/>
        <v>13879.8</v>
      </c>
    </row>
    <row r="56" spans="1:15" ht="15.95" customHeight="1">
      <c r="A56" s="1308" t="s">
        <v>56</v>
      </c>
      <c r="B56" s="1198" t="s">
        <v>2906</v>
      </c>
      <c r="C56" s="1184" t="s">
        <v>2934</v>
      </c>
      <c r="D56" s="1185">
        <v>1</v>
      </c>
      <c r="E56" s="1186">
        <v>4</v>
      </c>
      <c r="F56" s="1187">
        <v>1</v>
      </c>
      <c r="G56" s="1188">
        <v>2590.89</v>
      </c>
      <c r="H56" s="1189">
        <f t="shared" si="8"/>
        <v>2590.89</v>
      </c>
      <c r="I56" s="1190">
        <f t="shared" si="9"/>
        <v>10363.56</v>
      </c>
    </row>
    <row r="57" spans="1:15" ht="15.95" customHeight="1">
      <c r="A57" s="1308" t="s">
        <v>2899</v>
      </c>
      <c r="B57" s="1198" t="s">
        <v>2905</v>
      </c>
      <c r="C57" s="1184" t="s">
        <v>72</v>
      </c>
      <c r="D57" s="1185">
        <v>1</v>
      </c>
      <c r="E57" s="1186">
        <v>2</v>
      </c>
      <c r="F57" s="1187">
        <v>1</v>
      </c>
      <c r="G57" s="1188">
        <v>2590.89</v>
      </c>
      <c r="H57" s="1189">
        <f t="shared" si="8"/>
        <v>2590.89</v>
      </c>
      <c r="I57" s="1190">
        <f t="shared" si="9"/>
        <v>5181.78</v>
      </c>
    </row>
    <row r="58" spans="1:15" ht="15.95" customHeight="1">
      <c r="A58" s="1308" t="s">
        <v>3016</v>
      </c>
      <c r="B58" s="1198" t="s">
        <v>2904</v>
      </c>
      <c r="C58" s="1184" t="s">
        <v>2912</v>
      </c>
      <c r="D58" s="1185">
        <v>1</v>
      </c>
      <c r="E58" s="1186">
        <v>1</v>
      </c>
      <c r="F58" s="1187">
        <v>1</v>
      </c>
      <c r="G58" s="1188">
        <v>2590.89</v>
      </c>
      <c r="H58" s="1189">
        <f t="shared" si="8"/>
        <v>2590.89</v>
      </c>
      <c r="I58" s="1190">
        <f t="shared" si="9"/>
        <v>2590.89</v>
      </c>
    </row>
    <row r="59" spans="1:15" ht="15.95" customHeight="1">
      <c r="A59" s="1308" t="s">
        <v>3017</v>
      </c>
      <c r="B59" s="1198" t="s">
        <v>2997</v>
      </c>
      <c r="C59" s="1184" t="s">
        <v>2913</v>
      </c>
      <c r="D59" s="1185">
        <v>1</v>
      </c>
      <c r="E59" s="1186">
        <v>2</v>
      </c>
      <c r="F59" s="1187">
        <v>1</v>
      </c>
      <c r="G59" s="1188">
        <v>2679.57</v>
      </c>
      <c r="H59" s="1189">
        <f t="shared" si="8"/>
        <v>2679.57</v>
      </c>
      <c r="I59" s="1190">
        <f t="shared" si="9"/>
        <v>5359.14</v>
      </c>
    </row>
    <row r="60" spans="1:15" ht="15.95" customHeight="1">
      <c r="A60" s="1308" t="s">
        <v>3018</v>
      </c>
      <c r="B60" s="1196" t="s">
        <v>2833</v>
      </c>
      <c r="C60" s="1184" t="s">
        <v>2902</v>
      </c>
      <c r="D60" s="1185">
        <v>1</v>
      </c>
      <c r="E60" s="1186">
        <v>4</v>
      </c>
      <c r="F60" s="1187">
        <v>1</v>
      </c>
      <c r="G60" s="1188">
        <v>2325.23</v>
      </c>
      <c r="H60" s="1189">
        <f t="shared" si="8"/>
        <v>2325.23</v>
      </c>
      <c r="I60" s="1190">
        <f t="shared" si="9"/>
        <v>9300.92</v>
      </c>
    </row>
    <row r="61" spans="1:15" ht="15.95" customHeight="1">
      <c r="A61" s="1308" t="s">
        <v>3019</v>
      </c>
      <c r="B61" s="1196" t="s">
        <v>2903</v>
      </c>
      <c r="C61" s="1184" t="s">
        <v>2901</v>
      </c>
      <c r="D61" s="1185">
        <v>1</v>
      </c>
      <c r="E61" s="1186">
        <v>4</v>
      </c>
      <c r="F61" s="1187">
        <v>1</v>
      </c>
      <c r="G61" s="1188">
        <v>2495.36</v>
      </c>
      <c r="H61" s="1189">
        <f t="shared" si="8"/>
        <v>2495.36</v>
      </c>
      <c r="I61" s="1190">
        <f t="shared" si="9"/>
        <v>9981.44</v>
      </c>
    </row>
    <row r="62" spans="1:15" ht="15.95" customHeight="1">
      <c r="A62" s="1197"/>
      <c r="B62" s="1202"/>
      <c r="C62" s="1201" t="s">
        <v>3121</v>
      </c>
      <c r="D62" s="1191">
        <v>1</v>
      </c>
      <c r="E62" s="1191">
        <v>4</v>
      </c>
      <c r="F62" s="1191">
        <v>1</v>
      </c>
      <c r="G62" s="1192">
        <v>3850</v>
      </c>
      <c r="H62" s="1193">
        <f t="shared" si="8"/>
        <v>3850</v>
      </c>
      <c r="I62" s="1194">
        <f t="shared" si="9"/>
        <v>15400</v>
      </c>
      <c r="N62" s="1239"/>
      <c r="O62" s="1239"/>
    </row>
    <row r="63" spans="1:15" ht="14.1" customHeight="1">
      <c r="A63" s="1229"/>
      <c r="B63" s="1231"/>
      <c r="C63" s="1233" t="s">
        <v>3000</v>
      </c>
      <c r="D63" s="1235"/>
      <c r="E63" s="1235"/>
      <c r="F63" s="1236"/>
      <c r="G63" s="1236"/>
      <c r="H63" s="1236"/>
      <c r="I63" s="1236">
        <f>SUM(I53:I62)</f>
        <v>89489.29</v>
      </c>
    </row>
    <row r="64" spans="1:15" ht="14.1" customHeight="1">
      <c r="A64" s="1303"/>
      <c r="B64" s="1304"/>
      <c r="C64" s="1305" t="s">
        <v>3001</v>
      </c>
      <c r="D64" s="1306"/>
      <c r="E64" s="1306"/>
      <c r="F64" s="1307"/>
      <c r="G64" s="1307"/>
      <c r="H64" s="1307"/>
      <c r="I64" s="1307">
        <f>I63/1.7525</f>
        <v>51063.788873038517</v>
      </c>
    </row>
    <row r="65" spans="1:9" ht="14.1" customHeight="1">
      <c r="A65" s="1230"/>
      <c r="B65" s="1232"/>
      <c r="C65" s="1234" t="s">
        <v>2998</v>
      </c>
      <c r="D65" s="1237"/>
      <c r="E65" s="1237"/>
      <c r="F65" s="1238"/>
      <c r="G65" s="1238"/>
      <c r="H65" s="1238"/>
      <c r="I65" s="1238">
        <f>(I64)*1.1875</f>
        <v>60638.24928673324</v>
      </c>
    </row>
    <row r="66" spans="1:9" ht="14.1" customHeight="1">
      <c r="A66" s="1230"/>
      <c r="B66" s="1232"/>
      <c r="C66" s="1234" t="s">
        <v>2931</v>
      </c>
      <c r="D66" s="1237"/>
      <c r="E66" s="1237"/>
      <c r="F66" s="1238"/>
      <c r="G66" s="1238"/>
      <c r="H66" s="1238"/>
      <c r="I66" s="1238">
        <f>(I64+I65)*0.245</f>
        <v>27366.99934914408</v>
      </c>
    </row>
    <row r="67" spans="1:9" ht="14.1" customHeight="1">
      <c r="A67" s="1230"/>
      <c r="B67" s="1232"/>
      <c r="C67" s="1234" t="s">
        <v>2932</v>
      </c>
      <c r="D67" s="1237"/>
      <c r="E67" s="1237"/>
      <c r="F67" s="1238"/>
      <c r="G67" s="1238"/>
      <c r="H67" s="1238"/>
      <c r="I67" s="1238">
        <f>SUM(I64:I66)</f>
        <v>139069.03750891585</v>
      </c>
    </row>
    <row r="68" spans="1:9" ht="14.1" customHeight="1">
      <c r="C68" s="1301" t="s">
        <v>2999</v>
      </c>
      <c r="I68" s="1302">
        <f>I67/E61</f>
        <v>34767.259377228962</v>
      </c>
    </row>
  </sheetData>
  <mergeCells count="18">
    <mergeCell ref="A46:J46"/>
    <mergeCell ref="A47:J47"/>
    <mergeCell ref="J48:J50"/>
    <mergeCell ref="D49:D50"/>
    <mergeCell ref="E49:E50"/>
    <mergeCell ref="A3:J3"/>
    <mergeCell ref="K3:L4"/>
    <mergeCell ref="A4:J4"/>
    <mergeCell ref="O5:O7"/>
    <mergeCell ref="D6:D7"/>
    <mergeCell ref="E6:E7"/>
    <mergeCell ref="J6:J7"/>
    <mergeCell ref="A29:J29"/>
    <mergeCell ref="K29:L30"/>
    <mergeCell ref="A30:J30"/>
    <mergeCell ref="J31:J33"/>
    <mergeCell ref="D32:D33"/>
    <mergeCell ref="E32:E33"/>
  </mergeCells>
  <printOptions horizontalCentered="1"/>
  <pageMargins left="0.39370078740157483" right="0.39370078740157483" top="0.78740157480314965" bottom="0.59055118110236227" header="0.51181102362204722" footer="0.31496062992125984"/>
  <pageSetup paperSize="9" scale="75" firstPageNumber="9" orientation="landscape" r:id="rId1"/>
  <headerFooter alignWithMargins="0"/>
  <rowBreaks count="1" manualBreakCount="1">
    <brk id="25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4"/>
  <sheetViews>
    <sheetView showGridLines="0" view="pageBreakPreview" zoomScaleSheetLayoutView="100" workbookViewId="0">
      <selection activeCell="B16" sqref="B16"/>
    </sheetView>
  </sheetViews>
  <sheetFormatPr defaultColWidth="8.42578125" defaultRowHeight="20.100000000000001" customHeight="1"/>
  <cols>
    <col min="1" max="1" width="10.28515625" style="1" customWidth="1"/>
    <col min="2" max="2" width="36.85546875" style="1" customWidth="1"/>
    <col min="3" max="3" width="12.28515625" style="1" bestFit="1" customWidth="1"/>
    <col min="4" max="4" width="11.140625" style="1" customWidth="1"/>
    <col min="5" max="5" width="12.28515625" style="1" bestFit="1" customWidth="1"/>
    <col min="6" max="6" width="9.42578125" style="1" bestFit="1" customWidth="1"/>
    <col min="7" max="7" width="12.28515625" style="1" bestFit="1" customWidth="1"/>
    <col min="8" max="8" width="9" style="1" bestFit="1" customWidth="1"/>
    <col min="9" max="9" width="8.140625" style="1" bestFit="1" customWidth="1"/>
    <col min="10" max="10" width="12.28515625" style="1" bestFit="1" customWidth="1"/>
    <col min="11" max="11" width="8.140625" style="1" bestFit="1" customWidth="1"/>
    <col min="12" max="12" width="12.28515625" style="1" bestFit="1" customWidth="1"/>
    <col min="13" max="13" width="8.140625" style="1" bestFit="1" customWidth="1"/>
    <col min="14" max="14" width="12.28515625" style="1" bestFit="1" customWidth="1"/>
    <col min="15" max="15" width="8.140625" style="1" bestFit="1" customWidth="1"/>
    <col min="16" max="16" width="12.28515625" style="1" bestFit="1" customWidth="1"/>
    <col min="17" max="17" width="8.140625" style="1" bestFit="1" customWidth="1"/>
    <col min="18" max="18" width="12.28515625" style="1" bestFit="1" customWidth="1"/>
    <col min="19" max="19" width="8.140625" style="1" bestFit="1" customWidth="1"/>
    <col min="20" max="20" width="12.28515625" style="1" bestFit="1" customWidth="1"/>
    <col min="21" max="21" width="8.140625" style="1" bestFit="1" customWidth="1"/>
    <col min="22" max="22" width="12.28515625" style="1" bestFit="1" customWidth="1"/>
    <col min="23" max="23" width="8.140625" style="1" bestFit="1" customWidth="1"/>
    <col min="24" max="24" width="12.28515625" style="1" bestFit="1" customWidth="1"/>
    <col min="25" max="25" width="8.140625" style="1" bestFit="1" customWidth="1"/>
    <col min="26" max="26" width="12.28515625" style="1" bestFit="1" customWidth="1"/>
    <col min="27" max="27" width="8.140625" style="1" bestFit="1" customWidth="1"/>
    <col min="28" max="28" width="12.28515625" style="1" bestFit="1" customWidth="1"/>
    <col min="29" max="29" width="8.140625" style="1" bestFit="1" customWidth="1"/>
    <col min="30" max="47" width="14.85546875" style="1" customWidth="1"/>
    <col min="48" max="16384" width="8.42578125" style="1"/>
  </cols>
  <sheetData>
    <row r="1" spans="1:12" s="2" customFormat="1" ht="39.950000000000003" customHeight="1">
      <c r="A1" s="132" t="s">
        <v>1064</v>
      </c>
      <c r="B1" s="92"/>
      <c r="C1" s="133"/>
      <c r="D1" s="134"/>
      <c r="E1" s="133"/>
      <c r="F1" s="133"/>
      <c r="G1" s="1606" t="s">
        <v>150</v>
      </c>
      <c r="H1" s="1606"/>
    </row>
    <row r="2" spans="1:12" s="2" customFormat="1" ht="36" customHeight="1">
      <c r="A2" s="135" t="s">
        <v>79</v>
      </c>
      <c r="B2" s="136"/>
      <c r="C2" s="137"/>
      <c r="D2" s="137"/>
      <c r="E2" s="138"/>
      <c r="F2" s="139"/>
      <c r="G2" s="1606"/>
      <c r="H2" s="1606"/>
    </row>
    <row r="3" spans="1:12" s="118" customFormat="1" ht="5.25" customHeight="1">
      <c r="A3" s="140"/>
      <c r="B3" s="136"/>
      <c r="C3" s="137"/>
      <c r="D3" s="137"/>
      <c r="E3" s="138"/>
      <c r="F3" s="139"/>
      <c r="G3" s="139"/>
      <c r="H3" s="139"/>
    </row>
    <row r="4" spans="1:12" s="141" customFormat="1" ht="16.149999999999999" customHeight="1">
      <c r="A4" s="1607" t="s">
        <v>32</v>
      </c>
      <c r="B4" s="1607" t="s">
        <v>80</v>
      </c>
      <c r="C4" s="1607" t="s">
        <v>81</v>
      </c>
      <c r="D4" s="1607" t="s">
        <v>82</v>
      </c>
      <c r="E4" s="1608">
        <v>30</v>
      </c>
      <c r="F4" s="1609"/>
      <c r="G4" s="1608">
        <f>E4+30</f>
        <v>60</v>
      </c>
      <c r="H4" s="1609"/>
    </row>
    <row r="5" spans="1:12" ht="16.149999999999999" customHeight="1">
      <c r="A5" s="1607"/>
      <c r="B5" s="1607"/>
      <c r="C5" s="1607"/>
      <c r="D5" s="1607"/>
      <c r="E5" s="1610" t="s">
        <v>83</v>
      </c>
      <c r="F5" s="1611"/>
      <c r="G5" s="1610" t="s">
        <v>83</v>
      </c>
      <c r="H5" s="1611"/>
    </row>
    <row r="6" spans="1:12" s="143" customFormat="1" ht="16.149999999999999" customHeight="1">
      <c r="A6" s="1607"/>
      <c r="B6" s="1607"/>
      <c r="C6" s="1607"/>
      <c r="D6" s="1607"/>
      <c r="E6" s="142" t="s">
        <v>84</v>
      </c>
      <c r="F6" s="142" t="s">
        <v>85</v>
      </c>
      <c r="G6" s="142" t="s">
        <v>84</v>
      </c>
      <c r="H6" s="142" t="s">
        <v>85</v>
      </c>
    </row>
    <row r="7" spans="1:12" s="118" customFormat="1" ht="6.75" customHeight="1">
      <c r="A7" s="140"/>
      <c r="B7" s="136"/>
      <c r="C7" s="137"/>
      <c r="D7" s="137"/>
      <c r="E7" s="138"/>
      <c r="F7" s="139"/>
      <c r="G7" s="139"/>
      <c r="H7" s="139"/>
    </row>
    <row r="8" spans="1:12" s="149" customFormat="1" ht="30" customHeight="1">
      <c r="A8" s="144" t="s">
        <v>24</v>
      </c>
      <c r="B8" s="145" t="str">
        <f>res!B6</f>
        <v>SERVIÇOS PRELIMINARES</v>
      </c>
      <c r="C8" s="146">
        <f>Orçamento!Q45</f>
        <v>400173.28</v>
      </c>
      <c r="D8" s="232">
        <f>C8/C17</f>
        <v>7.9050198971692506E-2</v>
      </c>
      <c r="E8" s="147">
        <f>$C$8*F8</f>
        <v>200086.64</v>
      </c>
      <c r="F8" s="148">
        <v>0.5</v>
      </c>
      <c r="G8" s="147">
        <f>$C$8*H8</f>
        <v>200086.64</v>
      </c>
      <c r="H8" s="148">
        <v>0.5</v>
      </c>
    </row>
    <row r="9" spans="1:12" s="2" customFormat="1" ht="30" customHeight="1">
      <c r="A9" s="150" t="s">
        <v>25</v>
      </c>
      <c r="B9" s="151" t="str">
        <f>res!B8</f>
        <v>INFRAESTRUTURA</v>
      </c>
      <c r="C9" s="152">
        <f>Orçamento!Q73</f>
        <v>212537.33</v>
      </c>
      <c r="D9" s="233">
        <f>C9/C17</f>
        <v>4.1984607831418101E-2</v>
      </c>
      <c r="E9" s="153">
        <f>$C$9*F9</f>
        <v>212537.33</v>
      </c>
      <c r="F9" s="154">
        <v>1</v>
      </c>
      <c r="G9" s="153">
        <f>$C$9*H9</f>
        <v>0</v>
      </c>
      <c r="H9" s="154">
        <v>0</v>
      </c>
    </row>
    <row r="10" spans="1:12" s="2" customFormat="1" ht="30" customHeight="1">
      <c r="A10" s="155" t="s">
        <v>26</v>
      </c>
      <c r="B10" s="156" t="str">
        <f>res!B10</f>
        <v>SUPRAESTRUTURA</v>
      </c>
      <c r="C10" s="157">
        <f>Orçamento!Q77</f>
        <v>1673539.53</v>
      </c>
      <c r="D10" s="234">
        <f>C10/C17</f>
        <v>0.3305908701187964</v>
      </c>
      <c r="E10" s="158">
        <f>F10*C10</f>
        <v>1338831.6240000001</v>
      </c>
      <c r="F10" s="159">
        <v>0.8</v>
      </c>
      <c r="G10" s="158">
        <f>H10*C10</f>
        <v>334707.90600000002</v>
      </c>
      <c r="H10" s="159">
        <v>0.2</v>
      </c>
    </row>
    <row r="11" spans="1:12" s="2" customFormat="1" ht="30" customHeight="1">
      <c r="A11" s="150" t="s">
        <v>27</v>
      </c>
      <c r="B11" s="151" t="str">
        <f>res!B12</f>
        <v>FECHAMENTOS: PAINÉIS, ESQUADRIAS E VIDROS</v>
      </c>
      <c r="C11" s="152">
        <f>Orçamento!Q96</f>
        <v>530176.68000000005</v>
      </c>
      <c r="D11" s="233">
        <f>C11/C17</f>
        <v>0.10473106061491999</v>
      </c>
      <c r="E11" s="153">
        <f>$C$11*F11</f>
        <v>159053.00400000002</v>
      </c>
      <c r="F11" s="154">
        <v>0.3</v>
      </c>
      <c r="G11" s="153">
        <f>$C$11*H11</f>
        <v>371123.67600000004</v>
      </c>
      <c r="H11" s="154">
        <v>0.7</v>
      </c>
    </row>
    <row r="12" spans="1:12" s="2" customFormat="1" ht="30" customHeight="1">
      <c r="A12" s="175" t="s">
        <v>28</v>
      </c>
      <c r="B12" s="176" t="str">
        <f>res!B14</f>
        <v>COBERTURAS E PROTEÇÕES</v>
      </c>
      <c r="C12" s="177">
        <f>Orçamento!Q107</f>
        <v>568504.99</v>
      </c>
      <c r="D12" s="235">
        <f>C12/C17</f>
        <v>0.11230243202619639</v>
      </c>
      <c r="E12" s="178">
        <f>F12*C12</f>
        <v>0</v>
      </c>
      <c r="F12" s="179">
        <v>0</v>
      </c>
      <c r="G12" s="178">
        <f>H12*C12</f>
        <v>568504.99</v>
      </c>
      <c r="H12" s="179">
        <v>1</v>
      </c>
    </row>
    <row r="13" spans="1:12" s="2" customFormat="1" ht="30" customHeight="1">
      <c r="A13" s="180" t="s">
        <v>29</v>
      </c>
      <c r="B13" s="181" t="str">
        <f>res!B16</f>
        <v>PAREDE:  REVESTIMENTOS, ELEMENTOS DECORATIVOS, PINTURA</v>
      </c>
      <c r="C13" s="182">
        <f>Orçamento!Q118</f>
        <v>79755.61</v>
      </c>
      <c r="D13" s="236">
        <f>C13/C17</f>
        <v>1.5754917068947501E-2</v>
      </c>
      <c r="E13" s="183">
        <f>F13*C13</f>
        <v>63804.488000000005</v>
      </c>
      <c r="F13" s="184">
        <v>0.8</v>
      </c>
      <c r="G13" s="183">
        <f>$C$13*H13</f>
        <v>15951.122000000001</v>
      </c>
      <c r="H13" s="184">
        <v>0.2</v>
      </c>
      <c r="L13" s="190"/>
    </row>
    <row r="14" spans="1:12" s="2" customFormat="1" ht="30" customHeight="1">
      <c r="A14" s="185" t="s">
        <v>127</v>
      </c>
      <c r="B14" s="186" t="str">
        <f>res!B18</f>
        <v>PISOS, RODAPÉS E SOLEIRAS</v>
      </c>
      <c r="C14" s="187">
        <f>Orçamento!Q129</f>
        <v>675448.13</v>
      </c>
      <c r="D14" s="237">
        <f>C14/C17</f>
        <v>0.13342797168156159</v>
      </c>
      <c r="E14" s="188">
        <f>C14*F14</f>
        <v>270179.25200000004</v>
      </c>
      <c r="F14" s="189">
        <v>0.4</v>
      </c>
      <c r="G14" s="188">
        <f>C14*H14</f>
        <v>405268.87799999997</v>
      </c>
      <c r="H14" s="189">
        <v>0.6</v>
      </c>
    </row>
    <row r="15" spans="1:12" s="2" customFormat="1" ht="30" customHeight="1">
      <c r="A15" s="180" t="s">
        <v>1014</v>
      </c>
      <c r="B15" s="230" t="s">
        <v>1188</v>
      </c>
      <c r="C15" s="182">
        <f>Orçamento!Q281</f>
        <v>679620.28</v>
      </c>
      <c r="D15" s="236">
        <f>C15/C17</f>
        <v>0.13425213787186732</v>
      </c>
      <c r="E15" s="183">
        <f>F15*C15</f>
        <v>0</v>
      </c>
      <c r="F15" s="184">
        <v>0</v>
      </c>
      <c r="G15" s="183">
        <f>C15*H15</f>
        <v>679620.28</v>
      </c>
      <c r="H15" s="184">
        <v>1</v>
      </c>
    </row>
    <row r="16" spans="1:12" s="2" customFormat="1" ht="30" customHeight="1">
      <c r="A16" s="1279" t="s">
        <v>1251</v>
      </c>
      <c r="B16" s="1280" t="s">
        <v>1252</v>
      </c>
      <c r="C16" s="1281">
        <f>Orçamento!Q361</f>
        <v>242512.01000000004</v>
      </c>
      <c r="D16" s="1282">
        <f>C16/C17</f>
        <v>4.7905803814600224E-2</v>
      </c>
      <c r="E16" s="1283">
        <f>F16*C16</f>
        <v>0</v>
      </c>
      <c r="F16" s="1284">
        <v>0</v>
      </c>
      <c r="G16" s="1283">
        <f>C16*H16</f>
        <v>242512.01000000004</v>
      </c>
      <c r="H16" s="1284">
        <v>1</v>
      </c>
    </row>
    <row r="17" spans="1:9" s="2" customFormat="1" ht="30" customHeight="1">
      <c r="A17" s="160"/>
      <c r="B17" s="161" t="str">
        <f>[9]res!B28</f>
        <v>TOTAL GERAL</v>
      </c>
      <c r="C17" s="162">
        <f>SUM(C8:C16)</f>
        <v>5062267.84</v>
      </c>
      <c r="D17" s="231">
        <f>SUM(D8:D16)</f>
        <v>1</v>
      </c>
      <c r="E17" s="1288"/>
      <c r="F17" s="1289"/>
      <c r="G17" s="1288"/>
      <c r="H17" s="1289"/>
    </row>
    <row r="18" spans="1:9" s="93" customFormat="1" ht="30" customHeight="1">
      <c r="A18" s="1605" t="s">
        <v>86</v>
      </c>
      <c r="B18" s="1605"/>
      <c r="C18" s="1605"/>
      <c r="D18" s="1605"/>
      <c r="E18" s="113">
        <f>SUM(E8:E16)</f>
        <v>2244492.338</v>
      </c>
      <c r="F18" s="163">
        <f>E18/$C$17</f>
        <v>0.44337684392456012</v>
      </c>
      <c r="G18" s="113">
        <f>SUM(G8:G16)</f>
        <v>2817775.5020000003</v>
      </c>
      <c r="H18" s="163">
        <f>G18/$C$17</f>
        <v>0.55662315607544</v>
      </c>
    </row>
    <row r="19" spans="1:9" s="93" customFormat="1" ht="30" customHeight="1">
      <c r="A19" s="1605" t="s">
        <v>87</v>
      </c>
      <c r="B19" s="1605"/>
      <c r="C19" s="1605"/>
      <c r="D19" s="1605"/>
      <c r="E19" s="113">
        <f>E18</f>
        <v>2244492.338</v>
      </c>
      <c r="F19" s="163">
        <f>F18</f>
        <v>0.44337684392456012</v>
      </c>
      <c r="G19" s="113">
        <f>E19+G18</f>
        <v>5062267.84</v>
      </c>
      <c r="H19" s="163">
        <f>F19+H18</f>
        <v>1</v>
      </c>
    </row>
    <row r="20" spans="1:9" s="165" customFormat="1" ht="20.100000000000001" customHeight="1">
      <c r="A20" s="114"/>
      <c r="B20" s="164"/>
      <c r="C20" s="164"/>
      <c r="D20" s="164"/>
      <c r="E20" s="164"/>
      <c r="F20" s="164"/>
      <c r="G20" s="164"/>
      <c r="H20" s="164"/>
    </row>
    <row r="21" spans="1:9" ht="20.100000000000001" customHeight="1">
      <c r="A21" s="166"/>
      <c r="B21" s="167"/>
      <c r="C21" s="167"/>
      <c r="D21" s="167"/>
      <c r="E21" s="167"/>
      <c r="F21" s="167"/>
      <c r="G21" s="167"/>
      <c r="H21" s="167"/>
    </row>
    <row r="22" spans="1:9" ht="12.75">
      <c r="A22" s="168"/>
      <c r="B22" s="169"/>
      <c r="C22" s="169"/>
      <c r="D22" s="169"/>
      <c r="E22" s="169"/>
      <c r="F22" s="169"/>
      <c r="G22" s="169"/>
      <c r="H22" s="169"/>
    </row>
    <row r="23" spans="1:9" ht="12.75">
      <c r="A23" s="1285"/>
      <c r="B23" s="1286"/>
      <c r="C23" s="1286"/>
      <c r="D23" s="1286"/>
      <c r="E23" s="1286"/>
      <c r="F23" s="1286"/>
      <c r="G23" s="1286"/>
      <c r="H23" s="1286"/>
    </row>
    <row r="24" spans="1:9" ht="20.100000000000001" customHeight="1">
      <c r="A24" s="1287"/>
      <c r="B24" s="1287"/>
      <c r="C24" s="1287"/>
      <c r="D24" s="1287"/>
      <c r="E24" s="1287"/>
      <c r="F24" s="1287"/>
      <c r="G24" s="1287"/>
      <c r="H24" s="1287"/>
      <c r="I24" s="1287"/>
    </row>
  </sheetData>
  <mergeCells count="11">
    <mergeCell ref="A18:D18"/>
    <mergeCell ref="A19:D19"/>
    <mergeCell ref="G1:H2"/>
    <mergeCell ref="A4:A6"/>
    <mergeCell ref="B4:B6"/>
    <mergeCell ref="C4:C6"/>
    <mergeCell ref="D4:D6"/>
    <mergeCell ref="E4:F4"/>
    <mergeCell ref="G4:H4"/>
    <mergeCell ref="E5:F5"/>
    <mergeCell ref="G5:H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8</vt:i4>
      </vt:variant>
    </vt:vector>
  </HeadingPairs>
  <TitlesOfParts>
    <vt:vector size="15" baseType="lpstr">
      <vt:lpstr>res</vt:lpstr>
      <vt:lpstr>Orçamento</vt:lpstr>
      <vt:lpstr>COMPOSIÇÕES</vt:lpstr>
      <vt:lpstr>COMP AUX</vt:lpstr>
      <vt:lpstr>memoria</vt:lpstr>
      <vt:lpstr>Administração da Obra</vt:lpstr>
      <vt:lpstr>Cronograma</vt:lpstr>
      <vt:lpstr>'Administração da Obra'!Area_de_impressao</vt:lpstr>
      <vt:lpstr>'COMP AUX'!Area_de_impressao</vt:lpstr>
      <vt:lpstr>COMPOSIÇÕES!Area_de_impressao</vt:lpstr>
      <vt:lpstr>Cronograma!Area_de_impressao</vt:lpstr>
      <vt:lpstr>Orçamento!Area_de_impressao</vt:lpstr>
      <vt:lpstr>res!Area_de_impressao</vt:lpstr>
      <vt:lpstr>Cronograma!Titulos_de_impressao</vt:lpstr>
      <vt:lpstr>Orçamento!Titulos_de_impressao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Juliano Rangel</dc:creator>
  <cp:lastModifiedBy>JacobsGuimar</cp:lastModifiedBy>
  <cp:lastPrinted>2018-07-31T17:31:00Z</cp:lastPrinted>
  <dcterms:created xsi:type="dcterms:W3CDTF">2013-08-05T14:14:34Z</dcterms:created>
  <dcterms:modified xsi:type="dcterms:W3CDTF">2018-08-03T15:05:39Z</dcterms:modified>
</cp:coreProperties>
</file>