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sGuimar\Desktop\SESC PANTANAL\000 - SESC PANTANAL\TR ESCOLA CAP\1 TERMO DE REFERENCIA\"/>
    </mc:Choice>
  </mc:AlternateContent>
  <bookViews>
    <workbookView xWindow="0" yWindow="0" windowWidth="15345" windowHeight="4050" activeTab="2"/>
  </bookViews>
  <sheets>
    <sheet name="res" sheetId="5" r:id="rId1"/>
    <sheet name="Orçamento" sheetId="1" r:id="rId2"/>
    <sheet name="COMPOSIÇÕES" sheetId="2" r:id="rId3"/>
    <sheet name="COMP AUX" sheetId="7" r:id="rId4"/>
    <sheet name="memoria" sheetId="8" r:id="rId5"/>
    <sheet name="Administração da Obra" sheetId="4" r:id="rId6"/>
    <sheet name="Cronograma" sheetId="9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cab1" localSheetId="3">#REF!</definedName>
    <definedName name="_cab1">#REF!</definedName>
    <definedName name="_xlnm._FilterDatabase" localSheetId="5" hidden="1">'Administração da Obra'!$A$8:$O$25</definedName>
    <definedName name="_xlnm._FilterDatabase" localSheetId="3" hidden="1">'COMP AUX'!$A$1:$WVN$1985</definedName>
    <definedName name="_xlnm._FilterDatabase" localSheetId="2" hidden="1">COMPOSIÇÕES!$A$1:$A$3073</definedName>
    <definedName name="_xlnm._FilterDatabase" localSheetId="1" hidden="1">Orçamento!$A$4:$Q$5</definedName>
    <definedName name="_JAZ1" localSheetId="3">#REF!</definedName>
    <definedName name="_JAZ1">#REF!</definedName>
    <definedName name="_JAZ11" localSheetId="3">#REF!</definedName>
    <definedName name="_JAZ11">#REF!</definedName>
    <definedName name="_JAZ2" localSheetId="3">#REF!</definedName>
    <definedName name="_JAZ2">#REF!</definedName>
    <definedName name="_JAZ22" localSheetId="3">#REF!</definedName>
    <definedName name="_JAZ22">#REF!</definedName>
    <definedName name="_JAZ3" localSheetId="3">#REF!</definedName>
    <definedName name="_JAZ3">#REF!</definedName>
    <definedName name="_JAZ33" localSheetId="3">#REF!</definedName>
    <definedName name="_JAZ33">#REF!</definedName>
    <definedName name="_Key1" hidden="1">'[1]1.6'!$A$11</definedName>
    <definedName name="_LAG2">[2]SERVIÇOS!$G$26</definedName>
    <definedName name="_Order1" hidden="1">255</definedName>
    <definedName name="_Order2" hidden="1">255</definedName>
    <definedName name="_PAG1">"$#REF!.$C$16"</definedName>
    <definedName name="_PAG10">"$#REF!.$C$26"</definedName>
    <definedName name="_PAG11">"$#REF!.$C$27"</definedName>
    <definedName name="_PAG12">"$#REF!.$C$28"</definedName>
    <definedName name="_PAG13">"$#REF!.$C$21"</definedName>
    <definedName name="_PAG2">"$#REF!.$C$17"</definedName>
    <definedName name="_PAG3">"$#REF!.$C$18"</definedName>
    <definedName name="_PAG4">"$#REF!.$C$19"</definedName>
    <definedName name="_PAG5">"$#REF!.$C$20"</definedName>
    <definedName name="_PAG6">"$#REF!.$C$22"</definedName>
    <definedName name="_PAG7">"$#REF!.$C$23"</definedName>
    <definedName name="_PAG8">"$#REF!.$C$24"</definedName>
    <definedName name="_PAG9">"$#REF!.$C$25"</definedName>
    <definedName name="_RET1" localSheetId="3">#REF!</definedName>
    <definedName name="_RET1">#REF!</definedName>
    <definedName name="_TB10">"'file:///D:/Meus documentos/ANASTÁCIO/SERCEL/BR262990800.xls'#$TLMB.$#REF!$#REF!"</definedName>
    <definedName name="_tb97">"$#REF!.$E$71"</definedName>
    <definedName name="_tbw97">"$#REF!.$E$73"</definedName>
    <definedName name="_TCB4">"$#REF!.$I$26"</definedName>
    <definedName name="_TCC4">"$#REF!.$I$18"</definedName>
    <definedName name="_TEB4">"$#REF!.$I$16"</definedName>
    <definedName name="_TT102" localSheetId="3">'[3]Relatório-1ª med.'!#REF!</definedName>
    <definedName name="_TT102">'[3]Relatório-1ª med.'!#REF!</definedName>
    <definedName name="_TT107" localSheetId="3">'[3]Relatório-1ª med.'!#REF!</definedName>
    <definedName name="_TT107">'[3]Relatório-1ª med.'!#REF!</definedName>
    <definedName name="_TT121" localSheetId="3">'[3]Relatório-1ª med.'!#REF!</definedName>
    <definedName name="_TT121">'[3]Relatório-1ª med.'!#REF!</definedName>
    <definedName name="_TT123" localSheetId="3">'[3]Relatório-1ª med.'!#REF!</definedName>
    <definedName name="_TT123">'[3]Relatório-1ª med.'!#REF!</definedName>
    <definedName name="_TT19" localSheetId="3">'[3]Relatório-1ª med.'!#REF!</definedName>
    <definedName name="_TT19">'[3]Relatório-1ª med.'!#REF!</definedName>
    <definedName name="_TT20" localSheetId="3">'[3]Relatório-1ª med.'!#REF!</definedName>
    <definedName name="_TT20">'[3]Relatório-1ª med.'!#REF!</definedName>
    <definedName name="_TT21" localSheetId="3">'[3]Relatório-1ª med.'!#REF!</definedName>
    <definedName name="_TT21">'[3]Relatório-1ª med.'!#REF!</definedName>
    <definedName name="_TT22" localSheetId="3">'[3]Relatório-1ª med.'!#REF!</definedName>
    <definedName name="_TT22">'[3]Relatório-1ª med.'!#REF!</definedName>
    <definedName name="_TT26" localSheetId="3">'[3]Relatório-1ª med.'!#REF!</definedName>
    <definedName name="_TT26">'[3]Relatório-1ª med.'!#REF!</definedName>
    <definedName name="_TT27" localSheetId="3">'[3]Relatório-1ª med.'!#REF!</definedName>
    <definedName name="_TT27">'[3]Relatório-1ª med.'!#REF!</definedName>
    <definedName name="_TT28" localSheetId="3">'[3]Relatório-1ª med.'!#REF!</definedName>
    <definedName name="_TT28">'[3]Relatório-1ª med.'!#REF!</definedName>
    <definedName name="_TT30" localSheetId="3">'[3]Relatório-1ª med.'!#REF!</definedName>
    <definedName name="_TT30">'[3]Relatório-1ª med.'!#REF!</definedName>
    <definedName name="_TT31" localSheetId="3">'[3]Relatório-1ª med.'!#REF!</definedName>
    <definedName name="_TT31">'[3]Relatório-1ª med.'!#REF!</definedName>
    <definedName name="_TT32" localSheetId="3">'[3]Relatório-1ª med.'!#REF!</definedName>
    <definedName name="_TT32">'[3]Relatório-1ª med.'!#REF!</definedName>
    <definedName name="_TT33" localSheetId="3">'[3]Relatório-1ª med.'!#REF!</definedName>
    <definedName name="_TT33">'[3]Relatório-1ª med.'!#REF!</definedName>
    <definedName name="_TT34" localSheetId="3">'[3]Relatório-1ª med.'!#REF!</definedName>
    <definedName name="_TT34">'[3]Relatório-1ª med.'!#REF!</definedName>
    <definedName name="_TT36" localSheetId="3">'[3]Relatório-1ª med.'!#REF!</definedName>
    <definedName name="_TT36">'[3]Relatório-1ª med.'!#REF!</definedName>
    <definedName name="_TT37" localSheetId="3">'[3]Relatório-1ª med.'!#REF!</definedName>
    <definedName name="_TT37">'[3]Relatório-1ª med.'!#REF!</definedName>
    <definedName name="_TT38" localSheetId="3">'[3]Relatório-1ª med.'!#REF!</definedName>
    <definedName name="_TT38">'[3]Relatório-1ª med.'!#REF!</definedName>
    <definedName name="_TT39" localSheetId="3">'[3]Relatório-1ª med.'!#REF!</definedName>
    <definedName name="_TT39">'[3]Relatório-1ª med.'!#REF!</definedName>
    <definedName name="_TT40" localSheetId="3">'[3]Relatório-1ª med.'!#REF!</definedName>
    <definedName name="_TT40">'[3]Relatório-1ª med.'!#REF!</definedName>
    <definedName name="_TT5" localSheetId="3">'[3]Relatório-1ª med.'!#REF!</definedName>
    <definedName name="_TT5">'[3]Relatório-1ª med.'!#REF!</definedName>
    <definedName name="_TT52" localSheetId="3">'[3]Relatório-1ª med.'!#REF!</definedName>
    <definedName name="_TT52">'[3]Relatório-1ª med.'!#REF!</definedName>
    <definedName name="_TT53" localSheetId="3">'[3]Relatório-1ª med.'!#REF!</definedName>
    <definedName name="_TT53">'[3]Relatório-1ª med.'!#REF!</definedName>
    <definedName name="_TT54" localSheetId="3">'[3]Relatório-1ª med.'!#REF!</definedName>
    <definedName name="_TT54">'[3]Relatório-1ª med.'!#REF!</definedName>
    <definedName name="_TT55" localSheetId="3">'[3]Relatório-1ª med.'!#REF!</definedName>
    <definedName name="_TT55">'[3]Relatório-1ª med.'!#REF!</definedName>
    <definedName name="_TT6" localSheetId="3">'[3]Relatório-1ª med.'!#REF!</definedName>
    <definedName name="_TT6">'[3]Relatório-1ª med.'!#REF!</definedName>
    <definedName name="_TT60" localSheetId="3">'[3]Relatório-1ª med.'!#REF!</definedName>
    <definedName name="_TT60">'[3]Relatório-1ª med.'!#REF!</definedName>
    <definedName name="_TT61" localSheetId="3">'[3]Relatório-1ª med.'!#REF!</definedName>
    <definedName name="_TT61">'[3]Relatório-1ª med.'!#REF!</definedName>
    <definedName name="_TT69" localSheetId="3">'[3]Relatório-1ª med.'!#REF!</definedName>
    <definedName name="_TT69">'[3]Relatório-1ª med.'!#REF!</definedName>
    <definedName name="_TT7" localSheetId="3">'[3]Relatório-1ª med.'!#REF!</definedName>
    <definedName name="_TT7">'[3]Relatório-1ª med.'!#REF!</definedName>
    <definedName name="_TT70" localSheetId="3">'[3]Relatório-1ª med.'!#REF!</definedName>
    <definedName name="_TT70">'[3]Relatório-1ª med.'!#REF!</definedName>
    <definedName name="_TT71" localSheetId="3">'[3]Relatório-1ª med.'!#REF!</definedName>
    <definedName name="_TT71">'[3]Relatório-1ª med.'!#REF!</definedName>
    <definedName name="_TT74" localSheetId="3">'[3]Relatório-1ª med.'!#REF!</definedName>
    <definedName name="_TT74">'[3]Relatório-1ª med.'!#REF!</definedName>
    <definedName name="_TT75" localSheetId="3">'[3]Relatório-1ª med.'!#REF!</definedName>
    <definedName name="_TT75">'[3]Relatório-1ª med.'!#REF!</definedName>
    <definedName name="_TT76" localSheetId="3">'[3]Relatório-1ª med.'!#REF!</definedName>
    <definedName name="_TT76">'[3]Relatório-1ª med.'!#REF!</definedName>
    <definedName name="_TT77" localSheetId="3">'[3]Relatório-1ª med.'!#REF!</definedName>
    <definedName name="_TT77">'[3]Relatório-1ª med.'!#REF!</definedName>
    <definedName name="_TT78" localSheetId="3">'[3]Relatório-1ª med.'!#REF!</definedName>
    <definedName name="_TT78">'[3]Relatório-1ª med.'!#REF!</definedName>
    <definedName name="_TT79" localSheetId="3">'[3]Relatório-1ª med.'!#REF!</definedName>
    <definedName name="_TT79">'[3]Relatório-1ª med.'!#REF!</definedName>
    <definedName name="_TT94" localSheetId="3">'[3]Relatório-1ª med.'!#REF!</definedName>
    <definedName name="_TT94">'[3]Relatório-1ª med.'!#REF!</definedName>
    <definedName name="_TT95" localSheetId="3">'[3]Relatório-1ª med.'!#REF!</definedName>
    <definedName name="_TT95">'[3]Relatório-1ª med.'!#REF!</definedName>
    <definedName name="_TT97" localSheetId="3">'[3]Relatório-1ª med.'!#REF!</definedName>
    <definedName name="_TT97">'[3]Relatório-1ª med.'!#REF!</definedName>
    <definedName name="alex" localSheetId="5" hidden="1">{#N/A,#N/A,FALSE,"MO (2)"}</definedName>
    <definedName name="alex" localSheetId="3" hidden="1">{#N/A,#N/A,FALSE,"MO (2)"}</definedName>
    <definedName name="alex" hidden="1">{#N/A,#N/A,FALSE,"MO (2)"}</definedName>
    <definedName name="AND" localSheetId="3">#REF!</definedName>
    <definedName name="AND">#REF!</definedName>
    <definedName name="ant" localSheetId="5" hidden="1">{#N/A,#N/A,FALSE,"MO (2)"}</definedName>
    <definedName name="ant" localSheetId="3" hidden="1">{#N/A,#N/A,FALSE,"MO (2)"}</definedName>
    <definedName name="ant" hidden="1">{#N/A,#N/A,FALSE,"MO (2)"}</definedName>
    <definedName name="AQCAP20">"$#REF!.$I$15"</definedName>
    <definedName name="AQCM30">"$#REF!.$I$16"</definedName>
    <definedName name="AQRM1C">"$#REF!.$I$18"</definedName>
    <definedName name="AQRR1C">"$#REF!.$I$17"</definedName>
    <definedName name="area_base">[4]Base!$U$40</definedName>
    <definedName name="_xlnm.Print_Area" localSheetId="5">'Administração da Obra'!$A$1:$O$68</definedName>
    <definedName name="_xlnm.Print_Area" localSheetId="3">'COMP AUX'!$A$1:$H$1989</definedName>
    <definedName name="_xlnm.Print_Area" localSheetId="2">COMPOSIÇÕES!$A$1:$H$2197</definedName>
    <definedName name="_xlnm.Print_Area" localSheetId="1">Orçamento!$A$1:$Q$366</definedName>
    <definedName name="_xlnm.Print_Area" localSheetId="0">res!$A$1:$D$33</definedName>
    <definedName name="_xlnm.Print_Area">#REF!</definedName>
    <definedName name="ASFALTO" localSheetId="3">#REF!</definedName>
    <definedName name="ASFALTO" localSheetId="2">#REF!</definedName>
    <definedName name="ASFALTO">#REF!</definedName>
    <definedName name="ATUAL">"$#REF!.$F$29"</definedName>
    <definedName name="AUTO">"$#REF!.$D$12"</definedName>
    <definedName name="bbbb" localSheetId="5" hidden="1">{#N/A,#N/A,FALSE,"MO (2)"}</definedName>
    <definedName name="bbbb" localSheetId="3" hidden="1">{#N/A,#N/A,FALSE,"MO (2)"}</definedName>
    <definedName name="bbbb" hidden="1">{#N/A,#N/A,FALSE,"MO (2)"}</definedName>
    <definedName name="BR">[5]Croqui!$B$3</definedName>
    <definedName name="BRZ">[6]ORÇAMENTO!$B$4</definedName>
    <definedName name="cab_cortes" localSheetId="3">#REF!</definedName>
    <definedName name="cab_cortes">#REF!</definedName>
    <definedName name="cab_dmt" localSheetId="3">#REF!</definedName>
    <definedName name="cab_dmt">#REF!</definedName>
    <definedName name="cab_limpeza" localSheetId="3">#REF!</definedName>
    <definedName name="cab_limpeza">#REF!</definedName>
    <definedName name="cab_pmf" localSheetId="3">#REF!</definedName>
    <definedName name="cab_pmf">#REF!</definedName>
    <definedName name="cabmeio" localSheetId="3">#REF!</definedName>
    <definedName name="cabmeio">#REF!</definedName>
    <definedName name="CAIA">"'file:///D:/Meus documentos/ANASTÁCIO/SERCEL/BR262990800.xls'#$SERVIÇOS.$#REF!$#REF!"</definedName>
    <definedName name="CAMI">"$#REF!.$D$13"</definedName>
    <definedName name="CAP20W">"$#REF!.$J$14"</definedName>
    <definedName name="CAP20WA">"$#REF!.$J$13"</definedName>
    <definedName name="CAPSEL">[2]SERVIÇOS!$G$25</definedName>
    <definedName name="CAPTOTAL">"$#REF!.$J$12"</definedName>
    <definedName name="CARRO">'[5]CALCULOS AUXILIARES'!$E$12</definedName>
    <definedName name="CCP">[6]SERVIÇOS!$G$59</definedName>
    <definedName name="CCPW">"$#REF!.$E$34"</definedName>
    <definedName name="CCPWA">"$#REF!.$E$33"</definedName>
    <definedName name="CD">[6]SERVIÇOS!$G$13</definedName>
    <definedName name="CD97A">"$#REF!.$H$80"</definedName>
    <definedName name="CD97AW">"$#REF!.$H$82"</definedName>
    <definedName name="CDW">"$#REF!.$H$41"</definedName>
    <definedName name="CDWA">"$#REF!.$H$40"</definedName>
    <definedName name="CM">"$#REF!.$O$31"</definedName>
    <definedName name="CM30W">"$#REF!.$I$14"</definedName>
    <definedName name="CM30WA">"$#REF!.$I$13"</definedName>
    <definedName name="CMTOTAL">"$#REF!.$I$12"</definedName>
    <definedName name="CMW">"$#REF!.$O$33"</definedName>
    <definedName name="CMWA">"$#REF!.$O$32"</definedName>
    <definedName name="CODIGO" localSheetId="3">#REF!</definedName>
    <definedName name="CODIGO" localSheetId="2">#REF!</definedName>
    <definedName name="CODIGO">#REF!</definedName>
    <definedName name="CONTR">[6]SERVIÇOS!$I$5</definedName>
    <definedName name="Cron" localSheetId="5" hidden="1">{#N/A,#N/A,FALSE,"MO (2)"}</definedName>
    <definedName name="Cron" localSheetId="3" hidden="1">{#N/A,#N/A,FALSE,"MO (2)"}</definedName>
    <definedName name="Cron" hidden="1">{#N/A,#N/A,FALSE,"MO (2)"}</definedName>
    <definedName name="cronograma" localSheetId="5" hidden="1">{#N/A,#N/A,TRUE,"Plan1"}</definedName>
    <definedName name="cronograma" localSheetId="3" hidden="1">{#N/A,#N/A,TRUE,"Plan1"}</definedName>
    <definedName name="cronograma" localSheetId="2" hidden="1">{#N/A,#N/A,TRUE,"Plan1"}</definedName>
    <definedName name="cronograma" localSheetId="0" hidden="1">{#N/A,#N/A,TRUE,"Plan1"}</definedName>
    <definedName name="cronograma" hidden="1">{#N/A,#N/A,TRUE,"Plan1"}</definedName>
    <definedName name="cronograma1" localSheetId="3" hidden="1">{#N/A,#N/A,TRUE,"Plan1"}</definedName>
    <definedName name="cronograma1" localSheetId="2" hidden="1">{#N/A,#N/A,TRUE,"Plan1"}</definedName>
    <definedName name="cronograma1" localSheetId="0" hidden="1">{#N/A,#N/A,TRUE,"Plan1"}</definedName>
    <definedName name="cronograma1" hidden="1">{#N/A,#N/A,TRUE,"Plan1"}</definedName>
    <definedName name="data" localSheetId="3">#REF!</definedName>
    <definedName name="data">#REF!</definedName>
    <definedName name="DCA">"$#REF!.$E$31"</definedName>
    <definedName name="DCAW">"$#REF!.$E$33"</definedName>
    <definedName name="densidade_cap" localSheetId="3">#REF!</definedName>
    <definedName name="densidade_cap">#REF!</definedName>
    <definedName name="DIA">"$#REF!.$H$4"</definedName>
    <definedName name="DMT" localSheetId="3">#REF!</definedName>
    <definedName name="DMT" localSheetId="2">#REF!</definedName>
    <definedName name="DMT">#REF!</definedName>
    <definedName name="DMT_0_50" localSheetId="3">#REF!</definedName>
    <definedName name="DMT_0_50">#REF!</definedName>
    <definedName name="DMT_1000" localSheetId="3">#REF!</definedName>
    <definedName name="DMT_1000">#REF!</definedName>
    <definedName name="DMT_200" localSheetId="3">#REF!</definedName>
    <definedName name="DMT_200">#REF!</definedName>
    <definedName name="DMT_200_400" localSheetId="3">#REF!</definedName>
    <definedName name="DMT_200_400">#REF!</definedName>
    <definedName name="DMT_400" localSheetId="3">#REF!</definedName>
    <definedName name="DMT_400">#REF!</definedName>
    <definedName name="DMT_400_600" localSheetId="3">#REF!</definedName>
    <definedName name="DMT_400_600">#REF!</definedName>
    <definedName name="DMT_50" localSheetId="3">#REF!</definedName>
    <definedName name="DMT_50">#REF!</definedName>
    <definedName name="DMT_50_200" localSheetId="3">#REF!</definedName>
    <definedName name="DMT_50_200">#REF!</definedName>
    <definedName name="DMT_600" localSheetId="3">#REF!</definedName>
    <definedName name="DMT_600">#REF!</definedName>
    <definedName name="DMT_800" localSheetId="3">#REF!</definedName>
    <definedName name="DMT_800">#REF!</definedName>
    <definedName name="DNIT1">[5]Pato!$A$1</definedName>
    <definedName name="drena" localSheetId="3">#REF!</definedName>
    <definedName name="drena">#REF!</definedName>
    <definedName name="DTMED">"$#REF!.$C$8"</definedName>
    <definedName name="EA">[6]SERVIÇOS!$G$32</definedName>
    <definedName name="ee" localSheetId="3">[7]reg_mec_fx_dm_!#REF!</definedName>
    <definedName name="ee" localSheetId="2">[7]reg_mec_fx_dm_!#REF!</definedName>
    <definedName name="ee">[8]reg_mec_fx_dm_!#REF!</definedName>
    <definedName name="EM">"$#REF!.$E$30"</definedName>
    <definedName name="EMP">[6]SERVIÇOS!$I$6</definedName>
    <definedName name="Empo" localSheetId="3">#REF!</definedName>
    <definedName name="Empo">#REF!</definedName>
    <definedName name="Empolamento" localSheetId="3">#REF!</definedName>
    <definedName name="Empolamento">#REF!</definedName>
    <definedName name="EMW">"$#REF!.$E$32"</definedName>
    <definedName name="EMWA">"$#REF!.$E$31"</definedName>
    <definedName name="EU" localSheetId="5" hidden="1">{#N/A,#N/A,FALSE,"MO (2)"}</definedName>
    <definedName name="EU" localSheetId="3" hidden="1">{#N/A,#N/A,FALSE,"MO (2)"}</definedName>
    <definedName name="EU" hidden="1">{#N/A,#N/A,FALSE,"MO (2)"}</definedName>
    <definedName name="Excel_BuiltIn_Print_Area_2">"$Quad_Quant_.$#REF!$#REF!:$#REF!$#REF!"</definedName>
    <definedName name="Excel_BuiltIn_Print_Area_7" localSheetId="3">[7]reg_mec_fx_dm_!#REF!</definedName>
    <definedName name="Excel_BuiltIn_Print_Area_7" localSheetId="2">[7]reg_mec_fx_dm_!#REF!</definedName>
    <definedName name="Excel_BuiltIn_Print_Area_7">[8]reg_mec_fx_dm_!#REF!</definedName>
    <definedName name="EXT" localSheetId="3">#REF!</definedName>
    <definedName name="EXT" localSheetId="2">#REF!</definedName>
    <definedName name="EXT">#REF!</definedName>
    <definedName name="EXTENSÃO">[5]Croqui!$A$7</definedName>
    <definedName name="EXTENSÃO1">[5]Croqui!$B$7</definedName>
    <definedName name="FAT" localSheetId="3">#REF!</definedName>
    <definedName name="FAT" localSheetId="2">#REF!</definedName>
    <definedName name="FAT">#REF!</definedName>
    <definedName name="FCT" localSheetId="3">#REF!</definedName>
    <definedName name="FCT" localSheetId="2">#REF!</definedName>
    <definedName name="FCT">#REF!</definedName>
    <definedName name="FE">"'file:///D:/Meus documentos/ANASTÁCIO/SERCEL/BR262990800.xls'#$SERVIÇOS.$#REF!$#REF!"</definedName>
    <definedName name="fgff" localSheetId="5" hidden="1">{#N/A,#N/A,FALSE,"MO (2)"}</definedName>
    <definedName name="fgff" localSheetId="3" hidden="1">{#N/A,#N/A,FALSE,"MO (2)"}</definedName>
    <definedName name="fgff" hidden="1">{#N/A,#N/A,FALSE,"MO (2)"}</definedName>
    <definedName name="FM">"$#REF!.$E$31"</definedName>
    <definedName name="FMW">"$#REF!.$E$33"</definedName>
    <definedName name="FMWA">"$#REF!.$E$32"</definedName>
    <definedName name="GP">"'file:///D:/Meus documentos/ANASTÁCIO/SERCEL/BR262990800.xls'#$SERVIÇOS.$#REF!$#REF!"</definedName>
    <definedName name="IND" localSheetId="3">#REF!</definedName>
    <definedName name="IND" localSheetId="2">#REF!</definedName>
    <definedName name="IND">#REF!</definedName>
    <definedName name="INDI22" localSheetId="3">#REF!</definedName>
    <definedName name="INDI22">#REF!</definedName>
    <definedName name="inic" localSheetId="3">#REF!</definedName>
    <definedName name="inic">#REF!</definedName>
    <definedName name="koae" localSheetId="3">#REF!</definedName>
    <definedName name="koae">#REF!</definedName>
    <definedName name="kpavi" localSheetId="3">#REF!</definedName>
    <definedName name="kpavi">#REF!</definedName>
    <definedName name="kterra" localSheetId="3">#REF!</definedName>
    <definedName name="kterra">#REF!</definedName>
    <definedName name="la" localSheetId="5" hidden="1">{#N/A,#N/A,FALSE,"MO (2)"}</definedName>
    <definedName name="la" localSheetId="3" hidden="1">{#N/A,#N/A,FALSE,"MO (2)"}</definedName>
    <definedName name="la" hidden="1">{#N/A,#N/A,FALSE,"MO (2)"}</definedName>
    <definedName name="LDD">"'file:///D:/Meus documentos/ANASTÁCIO/SERCEL/BR262990800.xls'#$SERVIÇOS.$#REF!$#REF!"</definedName>
    <definedName name="LDI" localSheetId="3">#REF!</definedName>
    <definedName name="LDI" localSheetId="2">#REF!</definedName>
    <definedName name="LDI">#REF!</definedName>
    <definedName name="LOCAL">"$#REF!.$D$5"</definedName>
    <definedName name="LOTE">[5]Croqui!$I$6</definedName>
    <definedName name="LP">"$#REF!.$E$28"</definedName>
    <definedName name="LPW">"$#REF!.$E$30"</definedName>
    <definedName name="LPWA">"$#REF!.$E$29"</definedName>
    <definedName name="LS">"$#REF!.$E$27"</definedName>
    <definedName name="LSW">"$#REF!.$E$29"</definedName>
    <definedName name="LSWA">"$#REF!.$E$28"</definedName>
    <definedName name="LVC">"'file:///D:/Meus documentos/ANASTÁCIO/SERCEL/BR262990800.xls'#$SERVIÇOS.$#REF!$#REF!"</definedName>
    <definedName name="LVD">"'file:///D:/Meus documentos/ANASTÁCIO/SERCEL/BR262990800.xls'#$SERVIÇOS.$#REF!$#REF!"</definedName>
    <definedName name="m" localSheetId="3">#REF!</definedName>
    <definedName name="m" localSheetId="0">'[9]materiais drenagem'!$C$14</definedName>
    <definedName name="m">#REF!</definedName>
    <definedName name="MATBET" localSheetId="3">#REF!</definedName>
    <definedName name="MATBET" localSheetId="2">#REF!</definedName>
    <definedName name="MATBET">#REF!</definedName>
    <definedName name="MBQ">[6]SERVIÇOS!$G$57</definedName>
    <definedName name="MBR">"$#REF!.$I$34"</definedName>
    <definedName name="MBUF">"$#REF!.$D$12"</definedName>
    <definedName name="MBUFW">"$#REF!.$D$14"</definedName>
    <definedName name="MBUFWA">"$#REF!.$D$13"</definedName>
    <definedName name="MBUQ">"$#REF!.$E$12"</definedName>
    <definedName name="MBUQW">"$#REF!.$E$14"</definedName>
    <definedName name="MBUQWA">"$#REF!.$E$13"</definedName>
    <definedName name="MD">[6]SERVIÇOS!$G$60</definedName>
    <definedName name="MEIO_FIO" localSheetId="3">#REF!</definedName>
    <definedName name="MEIO_FIO">#REF!</definedName>
    <definedName name="MES">"$#REF!.$C$4"</definedName>
    <definedName name="MÊS" localSheetId="3">#REF!</definedName>
    <definedName name="MÊS" localSheetId="2">#REF!</definedName>
    <definedName name="MÊS">#REF!</definedName>
    <definedName name="mo_base">[4]Base!$U$39</definedName>
    <definedName name="mo_sub_base">'[4]Sub-base'!$U$36</definedName>
    <definedName name="NUMED">"$#REF!.$C$3"</definedName>
    <definedName name="oac" localSheetId="3">#REF!</definedName>
    <definedName name="oac">#REF!</definedName>
    <definedName name="oae" localSheetId="3">#REF!</definedName>
    <definedName name="oae">#REF!</definedName>
    <definedName name="ocom" localSheetId="3">#REF!</definedName>
    <definedName name="ocom">#REF!</definedName>
    <definedName name="Orçamento" localSheetId="3">[10]Orçamento!$A$13:$D$34</definedName>
    <definedName name="Orçamento" localSheetId="2">[10]Orçamento!$A$13:$D$34</definedName>
    <definedName name="Orçamento">[11]Orçamento!$A$13:$D$34</definedName>
    <definedName name="PATO" localSheetId="3">#REF!</definedName>
    <definedName name="PATO" localSheetId="2">#REF!</definedName>
    <definedName name="PATO">#REF!</definedName>
    <definedName name="PAVI" localSheetId="3">#REF!</definedName>
    <definedName name="PAVI">#REF!</definedName>
    <definedName name="PCAIA">"'file:///D:/Meus documentos/ANASTÁCIO/SERCEL/BR262990800.xls'#$SERVIÇOS.$#REF!$#REF!"</definedName>
    <definedName name="PEN">[2]SERVIÇOS!$G$59</definedName>
    <definedName name="PG">"$#REF!.$C$1"</definedName>
    <definedName name="PGP">"'file:///D:/Meus documentos/ANASTÁCIO/SERCEL/BR262990800.xls'#$SERVIÇOS.$#REF!$#REF!"</definedName>
    <definedName name="PL">"$#REF!.$F$12"</definedName>
    <definedName name="plano" localSheetId="3">#REF!</definedName>
    <definedName name="plano">#REF!</definedName>
    <definedName name="PLCD">"$#REF!.$L$39"</definedName>
    <definedName name="PLCD97">"$#REF!.$L$80"</definedName>
    <definedName name="PLDD">"'file:///D:/Meus documentos/ANASTÁCIO/SERCEL/BR262990800.xls'#$SERVIÇOS.$#REF!$#REF!"</definedName>
    <definedName name="PLIQ">"$#REF!.$C$5"</definedName>
    <definedName name="pliq1">"$#REF!.$C$6"</definedName>
    <definedName name="PLMBUQ">"$#REF!.$L$32"</definedName>
    <definedName name="PLVC">"'file:///D:/Meus documentos/ANASTÁCIO/SERCEL/BR262990800.xls'#$SERVIÇOS.$#REF!$#REF!"</definedName>
    <definedName name="PLVD">"'file:///D:/Meus documentos/ANASTÁCIO/SERCEL/BR262990800.xls'#$SERVIÇOS.$#REF!$#REF!"</definedName>
    <definedName name="PLW">"$#REF!.$F$14"</definedName>
    <definedName name="PLWA">"$#REF!.$F$13"</definedName>
    <definedName name="PRDM">"'file:///D:/Meus documentos/ANASTÁCIO/SERCEL/BR262990800.xls'#$SERVIÇOS.$#REF!$#REF!"</definedName>
    <definedName name="Print_Area_MI" localSheetId="3">#REF!</definedName>
    <definedName name="Print_Area_MI" localSheetId="2">#REF!</definedName>
    <definedName name="Print_Area_MI">#REF!</definedName>
    <definedName name="PRINT_TITLES_MI" localSheetId="3">#REF!</definedName>
    <definedName name="PRINT_TITLES_MI" localSheetId="2">#REF!</definedName>
    <definedName name="PRINT_TITLES_MI">#REF!</definedName>
    <definedName name="PRMCC">"'file:///D:/Meus documentos/ANASTÁCIO/SERCEL/BR262990800.xls'#$SERVIÇOS.$#REF!$#REF!"</definedName>
    <definedName name="PRRMBF">"'file:///D:/Meus documentos/ANASTÁCIO/SERCEL/BR262990800.xls'#$SERVIÇOS.$#REF!$#REF!"</definedName>
    <definedName name="QUANT_acumu" localSheetId="3">#REF!</definedName>
    <definedName name="QUANT_acumu">#REF!</definedName>
    <definedName name="RDM">"'file:///D:/Meus documentos/ANASTÁCIO/SERCEL/BR262990800.xls'#$SERVIÇOS.$#REF!$#REF!"</definedName>
    <definedName name="rea" localSheetId="3">#REF!</definedName>
    <definedName name="rea">#REF!</definedName>
    <definedName name="REAJ">"$#REF!.$F$16"</definedName>
    <definedName name="REG" localSheetId="3">#REF!</definedName>
    <definedName name="REG">#REF!</definedName>
    <definedName name="REGULA" localSheetId="3">#REF!</definedName>
    <definedName name="REGULA">#REF!</definedName>
    <definedName name="RELATÓRIO_DOS_SERVIÇOS_EXECUTADOS" localSheetId="3">#REF!</definedName>
    <definedName name="RELATÓRIO_DOS_SERVIÇOS_EXECUTADOS">#REF!</definedName>
    <definedName name="resumo" localSheetId="3" hidden="1">{#N/A,#N/A,TRUE,"Plan1"}</definedName>
    <definedName name="resumo" localSheetId="2" hidden="1">{#N/A,#N/A,TRUE,"Plan1"}</definedName>
    <definedName name="resumo" localSheetId="0" hidden="1">{#N/A,#N/A,TRUE,"Plan1"}</definedName>
    <definedName name="resumo" hidden="1">{#N/A,#N/A,TRUE,"Plan1"}</definedName>
    <definedName name="resumou" localSheetId="5" hidden="1">{#N/A,#N/A,TRUE,"Plan1"}</definedName>
    <definedName name="resumou" localSheetId="3" hidden="1">{#N/A,#N/A,TRUE,"Plan1"}</definedName>
    <definedName name="resumou" localSheetId="2" hidden="1">{#N/A,#N/A,TRUE,"Plan1"}</definedName>
    <definedName name="resumou" localSheetId="0" hidden="1">{#N/A,#N/A,TRUE,"Plan1"}</definedName>
    <definedName name="resumou" hidden="1">{#N/A,#N/A,TRUE,"Plan1"}</definedName>
    <definedName name="RM">"$#REF!.$E$31"</definedName>
    <definedName name="RM1CW">"$#REF!.$G$14"</definedName>
    <definedName name="RM1CWA">"$#REF!.$G$13"</definedName>
    <definedName name="RMA">"$#REF!.$E$28"</definedName>
    <definedName name="RMAW">"$#REF!.$E$30"</definedName>
    <definedName name="RMAWA">"$#REF!.$E$29"</definedName>
    <definedName name="RMCC">"'file:///D:/Meus documentos/ANASTÁCIO/SERCEL/BR262990800.xls'#$SERVIÇOS.$#REF!$#REF!"</definedName>
    <definedName name="RMCCW">"$#REF!.$J$33"</definedName>
    <definedName name="RMCCWA">"$#REF!.$J$32"</definedName>
    <definedName name="RMTOTAL">"$#REF!.$G$12"</definedName>
    <definedName name="RMW">"$#REF!.$E$33"</definedName>
    <definedName name="RMWA">"$#REF!.$E$32"</definedName>
    <definedName name="RMZ">"'file:///D:/Meus documentos/ANASTÁCIO/SERCEL/BR262990800.xls'#$SERVIÇOS.$#REF!$#REF!"</definedName>
    <definedName name="RMZW">"$#REF!.$J$30"</definedName>
    <definedName name="RMZWA">"$#REF!.$J$29"</definedName>
    <definedName name="RODOVIA" localSheetId="3">#REF!</definedName>
    <definedName name="RODOVIA" localSheetId="2">#REF!</definedName>
    <definedName name="RODOVIA">#REF!</definedName>
    <definedName name="RP">[6]SERVIÇOS!$G$12</definedName>
    <definedName name="RPW">"$#REF!.$K$36"</definedName>
    <definedName name="RPWA">"$#REF!.$K$35"</definedName>
    <definedName name="RPZ">"'file:///D:/Meus documentos/ANASTÁCIO/SERCEL/BR262990800.xls'#$SERVIÇOS.$#REF!$#REF!"</definedName>
    <definedName name="RR1CW">"$#REF!.$H$14"</definedName>
    <definedName name="RR1CWA">"$#REF!.$H$13"</definedName>
    <definedName name="RRMBF">"'file:///D:/Meus documentos/ANASTÁCIO/SERCEL/BR262990800.xls'#$SERVIÇOS.$#REF!$#REF!"</definedName>
    <definedName name="RRMBUQ">"$#REF!.$H$32"</definedName>
    <definedName name="RRMBUQW">"$#REF!.$H$34"</definedName>
    <definedName name="RRMBUQWA">"$#REF!.$H$33"</definedName>
    <definedName name="RRTOTAL">"$#REF!.$H$12"</definedName>
    <definedName name="rz">[6]SERVIÇOS!$G$37</definedName>
    <definedName name="SASA" localSheetId="5" hidden="1">{#N/A,#N/A,FALSE,"MO (2)"}</definedName>
    <definedName name="SASA" localSheetId="3" hidden="1">{#N/A,#N/A,FALSE,"MO (2)"}</definedName>
    <definedName name="SASA" hidden="1">{#N/A,#N/A,FALSE,"MO (2)"}</definedName>
    <definedName name="SASASA" localSheetId="5" hidden="1">{#N/A,#N/A,FALSE,"MO (2)"}</definedName>
    <definedName name="SASASA" localSheetId="3" hidden="1">{#N/A,#N/A,FALSE,"MO (2)"}</definedName>
    <definedName name="SASASA" hidden="1">{#N/A,#N/A,FALSE,"MO (2)"}</definedName>
    <definedName name="SB">"'file:///D:/Meus documentos/ANASTÁCIO/SERCEL/BR262990800.xls'#$SERVIÇOS.$#REF!$#REF!"</definedName>
    <definedName name="SBRP">"'file:///D:/Meus documentos/ANASTÁCIO/SERCEL/BR262990800.xls'#$SERVIÇOS.$#REF!$#REF!"</definedName>
    <definedName name="SCB">[6]SERVIÇOS!$G$55</definedName>
    <definedName name="SEGMENTO" localSheetId="3">#REF!</definedName>
    <definedName name="SEGMENTO" localSheetId="2">#REF!</definedName>
    <definedName name="SEGMENTO">#REF!</definedName>
    <definedName name="SERV">"$#REF!.$C$7"</definedName>
    <definedName name="Serviços" localSheetId="3">[12]Serviços!$A$3:$AF$1403</definedName>
    <definedName name="Serviços" localSheetId="2">[12]Serviços!$A$3:$AF$1403</definedName>
    <definedName name="Serviços">[13]Serviços!$A$3:$AF$1403</definedName>
    <definedName name="SM">"$#REF!.$J$34"</definedName>
    <definedName name="SMW">"$#REF!.$J$36"</definedName>
    <definedName name="SMWA">"$#REF!.$J$35"</definedName>
    <definedName name="SRROO">[5]Croqui!$I$4</definedName>
    <definedName name="SS" localSheetId="5" hidden="1">{#N/A,#N/A,FALSE,"MO (2)"}</definedName>
    <definedName name="SS" localSheetId="3" hidden="1">{#N/A,#N/A,FALSE,"MO (2)"}</definedName>
    <definedName name="SS" hidden="1">{#N/A,#N/A,FALSE,"MO (2)"}</definedName>
    <definedName name="SSS" localSheetId="5" hidden="1">{#N/A,#N/A,FALSE,"MO (2)"}</definedName>
    <definedName name="SSS" localSheetId="3" hidden="1">{#N/A,#N/A,FALSE,"MO (2)"}</definedName>
    <definedName name="SSS" hidden="1">{#N/A,#N/A,FALSE,"MO (2)"}</definedName>
    <definedName name="STR">[6]ORÇAMENTO!$B$6</definedName>
    <definedName name="SUBT1" localSheetId="3">#REF!</definedName>
    <definedName name="SUBT1" localSheetId="2">#REF!</definedName>
    <definedName name="SUBT1">#REF!</definedName>
    <definedName name="SUBTRECHO" localSheetId="3">#REF!</definedName>
    <definedName name="SUBTRECHO" localSheetId="2">#REF!</definedName>
    <definedName name="SUBTRECHO">#REF!</definedName>
    <definedName name="SUBTRECHO1">[5]Croqui!$B$6</definedName>
    <definedName name="TABELA">"$#REF!.$B$32"</definedName>
    <definedName name="Tachas" localSheetId="5" hidden="1">{#N/A,#N/A,TRUE,"Plan1"}</definedName>
    <definedName name="Tachas" localSheetId="3" hidden="1">{#N/A,#N/A,TRUE,"Plan1"}</definedName>
    <definedName name="Tachas" hidden="1">{#N/A,#N/A,TRUE,"Plan1"}</definedName>
    <definedName name="taxa_cap" localSheetId="3">#REF!</definedName>
    <definedName name="taxa_cap">#REF!</definedName>
    <definedName name="TB">[6]SERVIÇOS!$G$11</definedName>
    <definedName name="TBW">"$#REF!.$E$33"</definedName>
    <definedName name="TBWA">"$#REF!.$E$32"</definedName>
    <definedName name="TCB">"$#REF!.$G$31"</definedName>
    <definedName name="TCB10M3" localSheetId="3">#REF!</definedName>
    <definedName name="TCB10M3" localSheetId="2">#REF!</definedName>
    <definedName name="TCB10M3">#REF!</definedName>
    <definedName name="TCB5M3">"$#REF!.$J$32"</definedName>
    <definedName name="TCBMBUQ">"$#REF!.$K$32"</definedName>
    <definedName name="TCBW">"$#REF!.$G$33"</definedName>
    <definedName name="TCBWA">"$#REF!.$G$32"</definedName>
    <definedName name="TCC">"$#REF!.$G$44"</definedName>
    <definedName name="TCC4TCONCR">"$#REF!.$I$32"</definedName>
    <definedName name="TCC4TFORMA">"$#REF!.$H$31"</definedName>
    <definedName name="TCCBRMZ">"$#REF!.$M$28"</definedName>
    <definedName name="TCCW">"$#REF!.$G$46"</definedName>
    <definedName name="TCCWA">"$#REF!.$G$45"</definedName>
    <definedName name="TEB">"$#REF!.$G$16"</definedName>
    <definedName name="TEBW">"$#REF!.$G$18"</definedName>
    <definedName name="TEBWA">"$#REF!.$G$17"</definedName>
    <definedName name="TECD">"$#REF!.$K$39"</definedName>
    <definedName name="TECD97">"$#REF!.$K$80"</definedName>
    <definedName name="TERP">"$#REF!.$P$34"</definedName>
    <definedName name="terra" localSheetId="3">#REF!</definedName>
    <definedName name="terra">#REF!</definedName>
    <definedName name="TESM">"$#REF!.$Q$34"</definedName>
    <definedName name="TETB">"$#REF!.$H$30"</definedName>
    <definedName name="TETB97">"$#REF!.$H$70"</definedName>
    <definedName name="_xlnm.Print_Titles" localSheetId="1">Orçamento!$3:$4</definedName>
    <definedName name="TLC4T" localSheetId="3">#REF!</definedName>
    <definedName name="TLC4T" localSheetId="2">#REF!</definedName>
    <definedName name="TLC4T">#REF!</definedName>
    <definedName name="TLMR" localSheetId="3">#REF!</definedName>
    <definedName name="TLMR" localSheetId="2">#REF!</definedName>
    <definedName name="TLMR">#REF!</definedName>
    <definedName name="TR">[6]ORÇAMENTO!$B$5</definedName>
    <definedName name="TRABALHO" localSheetId="3">#REF!</definedName>
    <definedName name="TRABALHO" localSheetId="2">#REF!</definedName>
    <definedName name="TRABALHO">#REF!</definedName>
    <definedName name="TRCAP20">"$#REF!.$I$27"</definedName>
    <definedName name="TRCM30">"$#REF!.$I$28"</definedName>
    <definedName name="TRECHO" localSheetId="3">#REF!</definedName>
    <definedName name="TRECHO" localSheetId="2">#REF!</definedName>
    <definedName name="TRECHO">#REF!</definedName>
    <definedName name="TRECHO1">[5]Croqui!$B$5</definedName>
    <definedName name="TRRM1C">"$#REF!.$I$30"</definedName>
    <definedName name="TRRR1C">"$#REF!.$I$29"</definedName>
    <definedName name="TS2C">"'file:///D:/Meus documentos/ANASTÁCIO/SERCEL/BR262990800.xls'#$TLMB.$#REF!$#REF!"</definedName>
    <definedName name="TSD">"'file:///D:/Meus documentos/ANASTÁCIO/SERCEL/BR262990800.xls'#$SERVIÇOS.$#REF!$#REF!"</definedName>
    <definedName name="VACAP">"$#REF!.$D$38"</definedName>
    <definedName name="VACM">"$#REF!.$D$37"</definedName>
    <definedName name="VARM">"$#REF!.$D$36"</definedName>
    <definedName name="VARR">"$#REF!.$D$34"</definedName>
    <definedName name="VLM">"$#REF!.$#REF!$#REF!"</definedName>
    <definedName name="VLPI">"$#REF!.$#REF!$#REF!"</definedName>
    <definedName name="VLREAJ">"$#REF!.$#REF!$#REF!"</definedName>
    <definedName name="vvv" localSheetId="5" hidden="1">{#N/A,#N/A,FALSE,"MO (2)"}</definedName>
    <definedName name="vvv" localSheetId="3" hidden="1">{#N/A,#N/A,FALSE,"MO (2)"}</definedName>
    <definedName name="vvv" hidden="1">{#N/A,#N/A,FALSE,"MO (2)"}</definedName>
    <definedName name="w" localSheetId="3" hidden="1">{#N/A,#N/A,TRUE,"Plan1"}</definedName>
    <definedName name="w" localSheetId="2" hidden="1">{#N/A,#N/A,TRUE,"Plan1"}</definedName>
    <definedName name="w" localSheetId="0" hidden="1">{#N/A,#N/A,TRUE,"Plan1"}</definedName>
    <definedName name="w" hidden="1">{#N/A,#N/A,TRUE,"Plan1"}</definedName>
    <definedName name="wrn.mo2." localSheetId="5" hidden="1">{#N/A,#N/A,FALSE,"MO (2)"}</definedName>
    <definedName name="wrn.mo2." localSheetId="3" hidden="1">{#N/A,#N/A,FALSE,"MO (2)"}</definedName>
    <definedName name="wrn.mo2." hidden="1">{#N/A,#N/A,FALSE,"MO (2)"}</definedName>
    <definedName name="wrn.relext." localSheetId="5" hidden="1">{#N/A,#N/A,TRUE,"Plan1"}</definedName>
    <definedName name="wrn.relext." localSheetId="3" hidden="1">{#N/A,#N/A,TRUE,"Plan1"}</definedName>
    <definedName name="wrn.relext." localSheetId="2" hidden="1">{#N/A,#N/A,TRUE,"Plan1"}</definedName>
    <definedName name="wrn.relext." localSheetId="0" hidden="1">{#N/A,#N/A,TRUE,"Plan1"}</definedName>
    <definedName name="wrn.relext." hidden="1">{#N/A,#N/A,TRUE,"Plan1"}</definedName>
    <definedName name="ww" localSheetId="3">[7]reg_mec_fx_dm_!#REF!</definedName>
    <definedName name="ww" localSheetId="2">[7]reg_mec_fx_dm_!#REF!</definedName>
    <definedName name="ww">[8]reg_mec_fx_dm_!#REF!</definedName>
    <definedName name="Y" localSheetId="5" hidden="1">{#N/A,#N/A,FALSE,"MO (2)"}</definedName>
    <definedName name="Y" localSheetId="3" hidden="1">{#N/A,#N/A,FALSE,"MO (2)"}</definedName>
    <definedName name="Y" hidden="1">{#N/A,#N/A,FALSE,"MO (2)"}</definedName>
    <definedName name="z" localSheetId="5" hidden="1">{#N/A,#N/A,FALSE,"MO (2)"}</definedName>
    <definedName name="z" localSheetId="3" hidden="1">{#N/A,#N/A,FALSE,"MO (2)"}</definedName>
    <definedName name="z" hidden="1">{#N/A,#N/A,FALSE,"MO (2)"}</definedName>
    <definedName name="zaza" localSheetId="5" hidden="1">{#N/A,#N/A,FALSE,"MO (2)"}</definedName>
    <definedName name="zaza" localSheetId="3" hidden="1">{#N/A,#N/A,FALSE,"MO (2)"}</definedName>
    <definedName name="zaza" hidden="1">{#N/A,#N/A,FALSE,"MO (2)"}</definedName>
  </definedNames>
  <calcPr calcId="152511"/>
</workbook>
</file>

<file path=xl/calcChain.xml><?xml version="1.0" encoding="utf-8"?>
<calcChain xmlns="http://schemas.openxmlformats.org/spreadsheetml/2006/main">
  <c r="D4" i="9" l="1"/>
  <c r="F4" i="9" s="1"/>
  <c r="G4" i="9"/>
  <c r="I4" i="9"/>
  <c r="D8" i="9"/>
  <c r="G8" i="9" s="1"/>
  <c r="F8" i="9"/>
  <c r="H8" i="9"/>
  <c r="I8" i="9"/>
  <c r="D12" i="9"/>
  <c r="H12" i="9" s="1"/>
  <c r="I12" i="9"/>
  <c r="D16" i="9"/>
  <c r="F16" i="9"/>
  <c r="G16" i="9"/>
  <c r="H16" i="9"/>
  <c r="I16" i="9"/>
  <c r="D20" i="9"/>
  <c r="F20" i="9" s="1"/>
  <c r="G20" i="9"/>
  <c r="I20" i="9"/>
  <c r="D24" i="9"/>
  <c r="G24" i="9" s="1"/>
  <c r="F24" i="9"/>
  <c r="H24" i="9"/>
  <c r="I24" i="9"/>
  <c r="D28" i="9"/>
  <c r="H28" i="9" s="1"/>
  <c r="D32" i="9"/>
  <c r="F32" i="9"/>
  <c r="G32" i="9"/>
  <c r="H32" i="9"/>
  <c r="I32" i="9"/>
  <c r="D36" i="9"/>
  <c r="F36" i="9" s="1"/>
  <c r="G36" i="9"/>
  <c r="I36" i="9"/>
  <c r="I40" i="9" l="1"/>
  <c r="I42" i="9" s="1"/>
  <c r="I44" i="9" s="1"/>
  <c r="F40" i="9"/>
  <c r="F42" i="9" s="1"/>
  <c r="I28" i="9"/>
  <c r="G28" i="9"/>
  <c r="G12" i="9"/>
  <c r="G40" i="9" s="1"/>
  <c r="G42" i="9" s="1"/>
  <c r="G44" i="9" s="1"/>
  <c r="H36" i="9"/>
  <c r="F28" i="9"/>
  <c r="H20" i="9"/>
  <c r="F12" i="9"/>
  <c r="H4" i="9"/>
  <c r="H40" i="9" s="1"/>
  <c r="H42" i="9" s="1"/>
  <c r="H44" i="9" s="1"/>
  <c r="D40" i="9"/>
  <c r="D2005" i="2"/>
  <c r="F44" i="9" l="1"/>
  <c r="F48" i="9" s="1"/>
  <c r="G48" i="9" s="1"/>
  <c r="H48" i="9" s="1"/>
  <c r="I48" i="9" s="1"/>
  <c r="F46" i="9"/>
  <c r="G46" i="9" s="1"/>
  <c r="H46" i="9" s="1"/>
  <c r="I46" i="9" s="1"/>
  <c r="F1714" i="2"/>
  <c r="G1714" i="2" s="1"/>
  <c r="O227" i="1"/>
  <c r="O228" i="1"/>
  <c r="F1698" i="2"/>
  <c r="G1698" i="2" l="1"/>
  <c r="P86" i="1" l="1"/>
  <c r="W86" i="1"/>
  <c r="S86" i="1"/>
  <c r="U86" i="1"/>
  <c r="V86" i="1" s="1"/>
  <c r="X86" i="1" l="1"/>
  <c r="P88" i="1" l="1"/>
  <c r="P85" i="1"/>
  <c r="P87" i="1" s="1"/>
  <c r="G787" i="2"/>
  <c r="O26" i="1" l="1"/>
  <c r="Q26" i="1" s="1"/>
  <c r="H62" i="4" l="1"/>
  <c r="I62" i="4" s="1"/>
  <c r="S378" i="1"/>
  <c r="S377" i="1"/>
  <c r="S373" i="1"/>
  <c r="S374" i="1"/>
  <c r="S375" i="1"/>
  <c r="S376" i="1"/>
  <c r="S372" i="1"/>
  <c r="E54" i="1"/>
  <c r="N19" i="1"/>
  <c r="O264" i="1"/>
  <c r="P264" i="1"/>
  <c r="Q264" i="1" l="1"/>
  <c r="G1151" i="2"/>
  <c r="H112" i="1"/>
  <c r="E112" i="1"/>
  <c r="F1114" i="2"/>
  <c r="G1113" i="2"/>
  <c r="G1112" i="2"/>
  <c r="G1111" i="2"/>
  <c r="G1114" i="2"/>
  <c r="P315" i="1"/>
  <c r="H115" i="1"/>
  <c r="G115" i="1"/>
  <c r="E115" i="1"/>
  <c r="P314" i="1"/>
  <c r="G1253" i="2"/>
  <c r="O273" i="1"/>
  <c r="G1235" i="2"/>
  <c r="P272" i="1"/>
  <c r="N272" i="1"/>
  <c r="N274" i="1" s="1"/>
  <c r="J83" i="1"/>
  <c r="P124" i="1"/>
  <c r="P123" i="1"/>
  <c r="H124" i="1"/>
  <c r="G124" i="1"/>
  <c r="E124" i="1"/>
  <c r="E125" i="1"/>
  <c r="B91" i="8"/>
  <c r="B90" i="8"/>
  <c r="B89" i="8"/>
  <c r="B95" i="8"/>
  <c r="O112" i="1" l="1"/>
  <c r="O272" i="1"/>
  <c r="N275" i="1"/>
  <c r="O275" i="1" s="1"/>
  <c r="O274" i="1"/>
  <c r="Q272" i="1"/>
  <c r="O124" i="1"/>
  <c r="Q124" i="1" s="1"/>
  <c r="H76" i="1"/>
  <c r="M61" i="1"/>
  <c r="I61" i="1"/>
  <c r="K61" i="1"/>
  <c r="J61" i="1"/>
  <c r="H61" i="1"/>
  <c r="E61" i="1"/>
  <c r="N31" i="1" l="1"/>
  <c r="N202" i="8"/>
  <c r="N201" i="8"/>
  <c r="N200" i="8"/>
  <c r="N199" i="8"/>
  <c r="B206" i="8"/>
  <c r="N198" i="8"/>
  <c r="B198" i="8"/>
  <c r="F171" i="8"/>
  <c r="B167" i="8"/>
  <c r="K745" i="2" l="1"/>
  <c r="L746" i="2" s="1"/>
  <c r="H55" i="4" l="1"/>
  <c r="N128" i="1" l="1"/>
  <c r="B108" i="8"/>
  <c r="N52" i="1"/>
  <c r="E53" i="1"/>
  <c r="H127" i="1"/>
  <c r="G127" i="1"/>
  <c r="B110" i="8"/>
  <c r="M105" i="1"/>
  <c r="K105" i="1"/>
  <c r="J105" i="1"/>
  <c r="T21" i="8"/>
  <c r="M104" i="1"/>
  <c r="K104" i="1"/>
  <c r="J104" i="1"/>
  <c r="L613" i="2"/>
  <c r="J613" i="2" s="1"/>
  <c r="G629" i="2"/>
  <c r="G628" i="2"/>
  <c r="L612" i="2"/>
  <c r="G609" i="2"/>
  <c r="G608" i="2"/>
  <c r="G610" i="2"/>
  <c r="AA14" i="8"/>
  <c r="AA13" i="8"/>
  <c r="O345" i="1"/>
  <c r="O346" i="1"/>
  <c r="O347" i="1"/>
  <c r="O348" i="1"/>
  <c r="O349" i="1"/>
  <c r="O350" i="1"/>
  <c r="O351" i="1"/>
  <c r="O354" i="1"/>
  <c r="P354" i="1"/>
  <c r="O355" i="1"/>
  <c r="O356" i="1"/>
  <c r="M127" i="1"/>
  <c r="H145" i="8"/>
  <c r="B146" i="8"/>
  <c r="F123" i="8"/>
  <c r="E93" i="1"/>
  <c r="O93" i="1" s="1"/>
  <c r="E92" i="1"/>
  <c r="G825" i="2"/>
  <c r="G824" i="2"/>
  <c r="O104" i="1" l="1"/>
  <c r="O105" i="1"/>
  <c r="M613" i="2"/>
  <c r="Q354" i="1"/>
  <c r="G844" i="2" l="1"/>
  <c r="G843" i="2"/>
  <c r="F449" i="7"/>
  <c r="G449" i="7" s="1"/>
  <c r="G450" i="7" s="1"/>
  <c r="G452" i="7" s="1"/>
  <c r="F422" i="7" s="1"/>
  <c r="G422" i="7" s="1"/>
  <c r="F415" i="7"/>
  <c r="G415" i="7" s="1"/>
  <c r="F420" i="7"/>
  <c r="G420" i="7" s="1"/>
  <c r="G419" i="7"/>
  <c r="G418" i="7"/>
  <c r="G417" i="7"/>
  <c r="G416" i="7"/>
  <c r="G806" i="2"/>
  <c r="G805" i="2"/>
  <c r="G423" i="7" l="1"/>
  <c r="O87" i="1"/>
  <c r="O88" i="1"/>
  <c r="O86" i="1"/>
  <c r="F841" i="2" l="1"/>
  <c r="G841" i="2" s="1"/>
  <c r="F822" i="2"/>
  <c r="G822" i="2" s="1"/>
  <c r="F803" i="2"/>
  <c r="G803" i="2" s="1"/>
  <c r="H56" i="4"/>
  <c r="H57" i="4"/>
  <c r="H58" i="4"/>
  <c r="H59" i="4"/>
  <c r="H60" i="4"/>
  <c r="H61" i="4"/>
  <c r="P23" i="1"/>
  <c r="N12" i="1"/>
  <c r="J205" i="2"/>
  <c r="G747" i="2"/>
  <c r="G748" i="2"/>
  <c r="G746" i="2"/>
  <c r="G750" i="2"/>
  <c r="G749" i="2"/>
  <c r="G745" i="2"/>
  <c r="L204" i="2"/>
  <c r="G769" i="2" l="1"/>
  <c r="G768" i="2"/>
  <c r="H122" i="1" l="1"/>
  <c r="P87" i="8"/>
  <c r="P85" i="8"/>
  <c r="P86" i="8"/>
  <c r="E122" i="1"/>
  <c r="P80" i="8"/>
  <c r="P81" i="8"/>
  <c r="G121" i="1"/>
  <c r="P79" i="8"/>
  <c r="G123" i="1" l="1"/>
  <c r="O23" i="1"/>
  <c r="Q23" i="1" s="1"/>
  <c r="O24" i="1"/>
  <c r="I58" i="4"/>
  <c r="H54" i="4"/>
  <c r="I54" i="4" s="1"/>
  <c r="I55" i="4"/>
  <c r="I56" i="4"/>
  <c r="I57" i="4"/>
  <c r="I59" i="4"/>
  <c r="I60" i="4"/>
  <c r="I61" i="4"/>
  <c r="H53" i="4"/>
  <c r="I53" i="4" s="1"/>
  <c r="G12" i="4"/>
  <c r="H12" i="4" s="1"/>
  <c r="I12" i="4" s="1"/>
  <c r="G13" i="4"/>
  <c r="H13" i="4" s="1"/>
  <c r="I13" i="4" s="1"/>
  <c r="G14" i="4"/>
  <c r="H14" i="4" s="1"/>
  <c r="I14" i="4" s="1"/>
  <c r="G15" i="4"/>
  <c r="H15" i="4" s="1"/>
  <c r="I15" i="4" s="1"/>
  <c r="G16" i="4"/>
  <c r="H16" i="4" s="1"/>
  <c r="I16" i="4" s="1"/>
  <c r="G17" i="4"/>
  <c r="H17" i="4" s="1"/>
  <c r="I17" i="4" s="1"/>
  <c r="G18" i="4"/>
  <c r="H18" i="4" s="1"/>
  <c r="I18" i="4" s="1"/>
  <c r="G19" i="4"/>
  <c r="H19" i="4" s="1"/>
  <c r="I19" i="4" s="1"/>
  <c r="G20" i="4"/>
  <c r="H20" i="4" s="1"/>
  <c r="I20" i="4" s="1"/>
  <c r="G11" i="4"/>
  <c r="H11" i="4" s="1"/>
  <c r="I11" i="4" s="1"/>
  <c r="T19" i="8"/>
  <c r="T20" i="8" s="1"/>
  <c r="I63" i="4" l="1"/>
  <c r="I64" i="4" s="1"/>
  <c r="T17" i="8"/>
  <c r="R17" i="8"/>
  <c r="R16" i="8"/>
  <c r="I65" i="4" l="1"/>
  <c r="I66" i="4" s="1"/>
  <c r="I67" i="4" s="1"/>
  <c r="I68" i="4" s="1"/>
  <c r="P294" i="1"/>
  <c r="O294" i="1"/>
  <c r="H296" i="1"/>
  <c r="H295" i="1"/>
  <c r="P295" i="1"/>
  <c r="P296" i="1" s="1"/>
  <c r="F1829" i="2"/>
  <c r="E1811" i="2"/>
  <c r="P24" i="1" l="1"/>
  <c r="Q24" i="1" s="1"/>
  <c r="Q294" i="1"/>
  <c r="P241" i="1"/>
  <c r="O241" i="1"/>
  <c r="E239" i="1"/>
  <c r="O242" i="1"/>
  <c r="P242" i="1"/>
  <c r="P243" i="1"/>
  <c r="O243" i="1"/>
  <c r="O244" i="1"/>
  <c r="P244" i="1"/>
  <c r="P52" i="1"/>
  <c r="L19" i="4"/>
  <c r="M19" i="4" s="1"/>
  <c r="N19" i="4" s="1"/>
  <c r="O19" i="4" s="1"/>
  <c r="L18" i="4"/>
  <c r="M18" i="4" s="1"/>
  <c r="N18" i="4" s="1"/>
  <c r="O18" i="4" s="1"/>
  <c r="H37" i="4"/>
  <c r="I37" i="4" s="1"/>
  <c r="D40" i="4"/>
  <c r="P9" i="1"/>
  <c r="F683" i="2"/>
  <c r="F665" i="2"/>
  <c r="Q244" i="1" l="1"/>
  <c r="Q241" i="1"/>
  <c r="Q242" i="1"/>
  <c r="Q243" i="1"/>
  <c r="P293" i="1"/>
  <c r="P292" i="1"/>
  <c r="P291" i="1"/>
  <c r="P289" i="1"/>
  <c r="P287" i="1"/>
  <c r="P286" i="1"/>
  <c r="P290" i="1"/>
  <c r="P288" i="1"/>
  <c r="P285" i="1"/>
  <c r="H292" i="1"/>
  <c r="H291" i="1"/>
  <c r="H290" i="1"/>
  <c r="H289" i="1"/>
  <c r="H288" i="1"/>
  <c r="H287" i="1"/>
  <c r="H286" i="1"/>
  <c r="H285" i="1"/>
  <c r="P279" i="1"/>
  <c r="P278" i="1"/>
  <c r="P277" i="1"/>
  <c r="P276" i="1"/>
  <c r="P353" i="1"/>
  <c r="P269" i="1"/>
  <c r="P265" i="1"/>
  <c r="G1775" i="2"/>
  <c r="G1774" i="2"/>
  <c r="L15" i="8" l="1"/>
  <c r="N15" i="8"/>
  <c r="E84" i="1" l="1"/>
  <c r="K98" i="2" l="1"/>
  <c r="F499" i="7"/>
  <c r="G499" i="7"/>
  <c r="G500" i="7" s="1"/>
  <c r="G502" i="7" s="1"/>
  <c r="F69" i="7" s="1"/>
  <c r="F62" i="7"/>
  <c r="G62" i="7" s="1"/>
  <c r="G66" i="7"/>
  <c r="G65" i="7"/>
  <c r="G64" i="7"/>
  <c r="G63" i="7"/>
  <c r="G1731" i="2"/>
  <c r="G1732" i="2"/>
  <c r="G1730" i="2"/>
  <c r="P236" i="1"/>
  <c r="K1826" i="2"/>
  <c r="K1825" i="2"/>
  <c r="E232" i="1"/>
  <c r="E233" i="1"/>
  <c r="O233" i="1" s="1"/>
  <c r="G1977" i="7"/>
  <c r="G1976" i="7"/>
  <c r="G1962" i="7"/>
  <c r="G1961" i="7"/>
  <c r="G1947" i="7"/>
  <c r="G1946" i="7"/>
  <c r="M1810" i="2"/>
  <c r="G1838" i="2"/>
  <c r="G1837" i="2"/>
  <c r="G101" i="2" l="1"/>
  <c r="G100" i="2"/>
  <c r="G99" i="2"/>
  <c r="O89" i="1" l="1"/>
  <c r="B22" i="5" l="1"/>
  <c r="B18" i="5"/>
  <c r="B16" i="5"/>
  <c r="B14" i="5"/>
  <c r="B12" i="5"/>
  <c r="B10" i="5"/>
  <c r="J127" i="1"/>
  <c r="F300" i="8" l="1"/>
  <c r="F302" i="8" s="1"/>
  <c r="F303" i="8" s="1"/>
  <c r="O359" i="1" l="1"/>
  <c r="A22" i="5"/>
  <c r="A16" i="5"/>
  <c r="A14" i="5"/>
  <c r="A12" i="5"/>
  <c r="A10" i="5"/>
  <c r="O277" i="1"/>
  <c r="O278" i="1"/>
  <c r="O276" i="1"/>
  <c r="Q276" i="1" s="1"/>
  <c r="P271" i="1"/>
  <c r="P268" i="1"/>
  <c r="P267" i="1"/>
  <c r="N270" i="1"/>
  <c r="O271" i="1"/>
  <c r="Q271" i="1" s="1"/>
  <c r="O269" i="1"/>
  <c r="Q269" i="1" s="1"/>
  <c r="O268" i="1"/>
  <c r="O267" i="1"/>
  <c r="O266" i="1"/>
  <c r="O265" i="1"/>
  <c r="O263" i="1"/>
  <c r="P266" i="1"/>
  <c r="P263" i="1"/>
  <c r="P253" i="1"/>
  <c r="P252" i="1"/>
  <c r="P250" i="1"/>
  <c r="P249" i="1"/>
  <c r="P245" i="1"/>
  <c r="P237" i="1"/>
  <c r="P235" i="1"/>
  <c r="P234" i="1"/>
  <c r="P218" i="1"/>
  <c r="P217" i="1"/>
  <c r="P215" i="1"/>
  <c r="P214" i="1"/>
  <c r="P213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1" i="1"/>
  <c r="P140" i="1"/>
  <c r="P139" i="1"/>
  <c r="P138" i="1"/>
  <c r="P137" i="1"/>
  <c r="P126" i="1"/>
  <c r="P125" i="1"/>
  <c r="P116" i="1"/>
  <c r="Q267" i="1" l="1"/>
  <c r="Q278" i="1"/>
  <c r="Q268" i="1"/>
  <c r="Q277" i="1"/>
  <c r="P143" i="1"/>
  <c r="G2060" i="2" l="1"/>
  <c r="G2059" i="2"/>
  <c r="G2058" i="2"/>
  <c r="G2057" i="2"/>
  <c r="G1960" i="2"/>
  <c r="G1962" i="2"/>
  <c r="G1963" i="2"/>
  <c r="G1961" i="2"/>
  <c r="G1633" i="2"/>
  <c r="G1615" i="2"/>
  <c r="G1597" i="2"/>
  <c r="G1579" i="2"/>
  <c r="G1561" i="2"/>
  <c r="P229" i="1"/>
  <c r="E1543" i="2"/>
  <c r="E1539" i="2"/>
  <c r="E1541" i="2"/>
  <c r="G1545" i="2"/>
  <c r="G712" i="7"/>
  <c r="G713" i="7" s="1"/>
  <c r="G715" i="7" s="1"/>
  <c r="F702" i="7" s="1"/>
  <c r="G699" i="7"/>
  <c r="G698" i="7"/>
  <c r="G697" i="7"/>
  <c r="G696" i="7"/>
  <c r="G695" i="7"/>
  <c r="F1470" i="7"/>
  <c r="F1460" i="7"/>
  <c r="F1450" i="7"/>
  <c r="F1440" i="7"/>
  <c r="F1430" i="7"/>
  <c r="F1420" i="7"/>
  <c r="F1347" i="7"/>
  <c r="F1331" i="7"/>
  <c r="F1049" i="7"/>
  <c r="F1039" i="7"/>
  <c r="F897" i="7"/>
  <c r="F887" i="7"/>
  <c r="F870" i="7"/>
  <c r="F854" i="7"/>
  <c r="F732" i="7"/>
  <c r="F722" i="7"/>
  <c r="F678" i="7"/>
  <c r="F662" i="7"/>
  <c r="F589" i="7"/>
  <c r="F579" i="7"/>
  <c r="F569" i="7"/>
  <c r="F559" i="7"/>
  <c r="F549" i="7"/>
  <c r="F539" i="7"/>
  <c r="F529" i="7"/>
  <c r="F519" i="7"/>
  <c r="F509" i="7"/>
  <c r="F489" i="7"/>
  <c r="F479" i="7"/>
  <c r="F469" i="7"/>
  <c r="F459" i="7"/>
  <c r="F432" i="7"/>
  <c r="F398" i="7"/>
  <c r="F381" i="7"/>
  <c r="F364" i="7"/>
  <c r="F347" i="7"/>
  <c r="F330" i="7"/>
  <c r="F313" i="7"/>
  <c r="F296" i="7"/>
  <c r="F279" i="7"/>
  <c r="F262" i="7"/>
  <c r="F245" i="7"/>
  <c r="F228" i="7"/>
  <c r="F211" i="7"/>
  <c r="F194" i="7"/>
  <c r="F177" i="7"/>
  <c r="F160" i="7"/>
  <c r="F143" i="7"/>
  <c r="F128" i="7"/>
  <c r="F113" i="7"/>
  <c r="F96" i="7"/>
  <c r="F79" i="7"/>
  <c r="F45" i="7"/>
  <c r="G1427" i="2" l="1"/>
  <c r="G1093" i="2"/>
  <c r="G1215" i="2"/>
  <c r="G1199" i="2"/>
  <c r="G1198" i="2"/>
  <c r="G1197" i="2"/>
  <c r="G1196" i="2"/>
  <c r="G2095" i="2"/>
  <c r="G2077" i="2"/>
  <c r="G2076" i="2"/>
  <c r="G2075" i="2"/>
  <c r="G2074" i="2"/>
  <c r="G1938" i="2"/>
  <c r="G1937" i="2"/>
  <c r="G1176" i="2"/>
  <c r="G1177" i="2"/>
  <c r="G1178" i="2"/>
  <c r="G1175" i="2"/>
  <c r="G1133" i="2"/>
  <c r="G1132" i="2"/>
  <c r="G1074" i="2"/>
  <c r="G1075" i="2"/>
  <c r="G1073" i="2"/>
  <c r="G1055" i="2"/>
  <c r="G1037" i="2"/>
  <c r="G1019" i="2"/>
  <c r="G1564" i="7"/>
  <c r="G1563" i="7"/>
  <c r="G1550" i="7"/>
  <c r="G1551" i="7"/>
  <c r="G1549" i="7"/>
  <c r="G942" i="2"/>
  <c r="G941" i="2"/>
  <c r="G940" i="2"/>
  <c r="G905" i="2"/>
  <c r="G906" i="2"/>
  <c r="G439" i="2"/>
  <c r="G438" i="2"/>
  <c r="G507" i="2"/>
  <c r="G506" i="2"/>
  <c r="G505" i="2"/>
  <c r="G504" i="2"/>
  <c r="G503" i="2"/>
  <c r="G354" i="2"/>
  <c r="E188" i="1" l="1"/>
  <c r="O193" i="1"/>
  <c r="Q193" i="1" s="1"/>
  <c r="O162" i="1"/>
  <c r="Q162" i="1" s="1"/>
  <c r="G469" i="7"/>
  <c r="G470" i="7" s="1"/>
  <c r="G472" i="7" s="1"/>
  <c r="F269" i="7" s="1"/>
  <c r="G262" i="7"/>
  <c r="G266" i="7"/>
  <c r="G265" i="7"/>
  <c r="G264" i="7"/>
  <c r="G263" i="7"/>
  <c r="G459" i="7"/>
  <c r="G460" i="7" s="1"/>
  <c r="G462" i="7" s="1"/>
  <c r="F303" i="7" s="1"/>
  <c r="G296" i="7"/>
  <c r="G300" i="7"/>
  <c r="G299" i="7"/>
  <c r="G298" i="7"/>
  <c r="G297" i="7"/>
  <c r="G202" i="2"/>
  <c r="G203" i="2"/>
  <c r="G204" i="2"/>
  <c r="G205" i="2"/>
  <c r="E922" i="2" l="1"/>
  <c r="E920" i="2"/>
  <c r="O111" i="1"/>
  <c r="H161" i="8"/>
  <c r="L161" i="8" s="1"/>
  <c r="J162" i="8" s="1"/>
  <c r="H158" i="8"/>
  <c r="L158" i="8" s="1"/>
  <c r="J159" i="8" s="1"/>
  <c r="H155" i="8"/>
  <c r="L155" i="8" s="1"/>
  <c r="J156" i="8" s="1"/>
  <c r="H153" i="8"/>
  <c r="H162" i="8" s="1"/>
  <c r="E141" i="1"/>
  <c r="B54" i="8"/>
  <c r="B53" i="8"/>
  <c r="B55" i="8"/>
  <c r="J37" i="8"/>
  <c r="N37" i="8" s="1"/>
  <c r="J36" i="8"/>
  <c r="N36" i="8" s="1"/>
  <c r="N6" i="8"/>
  <c r="J27" i="8"/>
  <c r="N27" i="8" s="1"/>
  <c r="D7" i="8" s="1"/>
  <c r="G723" i="2"/>
  <c r="L20" i="4"/>
  <c r="M20" i="4" s="1"/>
  <c r="N20" i="4" s="1"/>
  <c r="O20" i="4" s="1"/>
  <c r="E214" i="1"/>
  <c r="D290" i="8"/>
  <c r="F289" i="8"/>
  <c r="N290" i="8"/>
  <c r="N289" i="8"/>
  <c r="L159" i="8" l="1"/>
  <c r="H126" i="1" s="1"/>
  <c r="H159" i="8"/>
  <c r="H156" i="8"/>
  <c r="L156" i="8" s="1"/>
  <c r="L162" i="8"/>
  <c r="G126" i="1" s="1"/>
  <c r="N38" i="8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81" i="2"/>
  <c r="O10" i="1"/>
  <c r="O9" i="1"/>
  <c r="Q9" i="1" s="1"/>
  <c r="O18" i="1"/>
  <c r="O17" i="1"/>
  <c r="N16" i="1"/>
  <c r="O16" i="1" s="1"/>
  <c r="H218" i="1" l="1"/>
  <c r="H215" i="1"/>
  <c r="O214" i="1" l="1"/>
  <c r="Q214" i="1" s="1"/>
  <c r="L294" i="8" l="1"/>
  <c r="N293" i="8"/>
  <c r="H217" i="1" s="1"/>
  <c r="N292" i="8"/>
  <c r="H216" i="1" s="1"/>
  <c r="N288" i="8"/>
  <c r="H290" i="8"/>
  <c r="E215" i="1" s="1"/>
  <c r="H289" i="8"/>
  <c r="E218" i="1" s="1"/>
  <c r="O218" i="1" s="1"/>
  <c r="Q218" i="1" s="1"/>
  <c r="H264" i="8"/>
  <c r="N342" i="1" s="1"/>
  <c r="N295" i="8" l="1"/>
  <c r="H220" i="1" s="1"/>
  <c r="H288" i="8"/>
  <c r="F293" i="8"/>
  <c r="H293" i="8" s="1"/>
  <c r="E217" i="1" s="1"/>
  <c r="O217" i="1" s="1"/>
  <c r="Q217" i="1" s="1"/>
  <c r="N294" i="8"/>
  <c r="H219" i="1" s="1"/>
  <c r="F294" i="8"/>
  <c r="F292" i="8"/>
  <c r="H292" i="8" s="1"/>
  <c r="B294" i="8" s="1"/>
  <c r="D294" i="8"/>
  <c r="D295" i="8" l="1"/>
  <c r="H295" i="8" s="1"/>
  <c r="E220" i="1" s="1"/>
  <c r="O220" i="1" s="1"/>
  <c r="E216" i="1"/>
  <c r="O216" i="1" s="1"/>
  <c r="H294" i="8"/>
  <c r="E219" i="1" s="1"/>
  <c r="O219" i="1" s="1"/>
  <c r="O32" i="1"/>
  <c r="O33" i="1"/>
  <c r="O34" i="1"/>
  <c r="O31" i="1"/>
  <c r="G422" i="2"/>
  <c r="G404" i="2"/>
  <c r="G722" i="7"/>
  <c r="G723" i="7" s="1"/>
  <c r="G678" i="7"/>
  <c r="G682" i="7"/>
  <c r="G681" i="7"/>
  <c r="G680" i="7"/>
  <c r="G679" i="7"/>
  <c r="G386" i="2"/>
  <c r="G370" i="2"/>
  <c r="G291" i="2"/>
  <c r="G725" i="7" l="1"/>
  <c r="F685" i="7" s="1"/>
  <c r="G685" i="7" s="1"/>
  <c r="G686" i="7" s="1"/>
  <c r="F387" i="2" s="1"/>
  <c r="G387" i="2" s="1"/>
  <c r="E100" i="1"/>
  <c r="O100" i="1" s="1"/>
  <c r="E99" i="1"/>
  <c r="N23" i="8"/>
  <c r="E76" i="1"/>
  <c r="O342" i="1"/>
  <c r="O174" i="1"/>
  <c r="Q174" i="1" s="1"/>
  <c r="E170" i="1"/>
  <c r="E166" i="1"/>
  <c r="O202" i="1"/>
  <c r="Q202" i="1" s="1"/>
  <c r="O201" i="1"/>
  <c r="Q201" i="1" s="1"/>
  <c r="O192" i="1"/>
  <c r="Q192" i="1" s="1"/>
  <c r="O194" i="1"/>
  <c r="Q194" i="1" s="1"/>
  <c r="O195" i="1"/>
  <c r="Q195" i="1" s="1"/>
  <c r="O196" i="1"/>
  <c r="Q196" i="1" s="1"/>
  <c r="O197" i="1"/>
  <c r="Q197" i="1" s="1"/>
  <c r="O198" i="1"/>
  <c r="Q198" i="1" s="1"/>
  <c r="O199" i="1"/>
  <c r="Q199" i="1" s="1"/>
  <c r="O200" i="1"/>
  <c r="Q200" i="1" s="1"/>
  <c r="O172" i="1"/>
  <c r="Q172" i="1" s="1"/>
  <c r="O173" i="1"/>
  <c r="Q173" i="1" s="1"/>
  <c r="O175" i="1"/>
  <c r="Q175" i="1" s="1"/>
  <c r="O176" i="1"/>
  <c r="Q176" i="1" s="1"/>
  <c r="O177" i="1"/>
  <c r="Q177" i="1" s="1"/>
  <c r="O178" i="1"/>
  <c r="Q178" i="1" s="1"/>
  <c r="O179" i="1"/>
  <c r="Q179" i="1" s="1"/>
  <c r="O161" i="1"/>
  <c r="Q161" i="1" s="1"/>
  <c r="O49" i="1" l="1"/>
  <c r="O205" i="1" l="1"/>
  <c r="Q205" i="1" s="1"/>
  <c r="O206" i="1"/>
  <c r="Q206" i="1" s="1"/>
  <c r="O190" i="1"/>
  <c r="Q190" i="1" s="1"/>
  <c r="O203" i="1"/>
  <c r="Q203" i="1" s="1"/>
  <c r="O204" i="1"/>
  <c r="Q204" i="1" s="1"/>
  <c r="O207" i="1"/>
  <c r="Q207" i="1" s="1"/>
  <c r="O208" i="1"/>
  <c r="Q208" i="1" s="1"/>
  <c r="H166" i="1"/>
  <c r="F275" i="8"/>
  <c r="H275" i="8" s="1"/>
  <c r="F271" i="8"/>
  <c r="H271" i="8" s="1"/>
  <c r="F270" i="8"/>
  <c r="H280" i="8" s="1"/>
  <c r="B278" i="8"/>
  <c r="O231" i="1"/>
  <c r="O232" i="1"/>
  <c r="O150" i="1"/>
  <c r="Q150" i="1" s="1"/>
  <c r="O155" i="1"/>
  <c r="Q155" i="1" s="1"/>
  <c r="O156" i="1"/>
  <c r="Q156" i="1" s="1"/>
  <c r="O157" i="1"/>
  <c r="Q157" i="1" s="1"/>
  <c r="O158" i="1"/>
  <c r="Q158" i="1" s="1"/>
  <c r="O159" i="1"/>
  <c r="Q159" i="1" s="1"/>
  <c r="O160" i="1"/>
  <c r="Q160" i="1" s="1"/>
  <c r="O148" i="1"/>
  <c r="Q148" i="1" s="1"/>
  <c r="O149" i="1"/>
  <c r="Q149" i="1" s="1"/>
  <c r="O151" i="1"/>
  <c r="Q151" i="1" s="1"/>
  <c r="O152" i="1"/>
  <c r="Q152" i="1" s="1"/>
  <c r="O153" i="1"/>
  <c r="Q153" i="1" s="1"/>
  <c r="O154" i="1"/>
  <c r="Q154" i="1" s="1"/>
  <c r="O147" i="1"/>
  <c r="Q147" i="1" s="1"/>
  <c r="O142" i="1"/>
  <c r="O143" i="1"/>
  <c r="Q143" i="1" s="1"/>
  <c r="O138" i="1"/>
  <c r="Q138" i="1" s="1"/>
  <c r="O139" i="1"/>
  <c r="Q139" i="1" s="1"/>
  <c r="O137" i="1"/>
  <c r="Q137" i="1" s="1"/>
  <c r="D278" i="8" l="1"/>
  <c r="H270" i="8"/>
  <c r="B281" i="8" s="1"/>
  <c r="N68" i="1"/>
  <c r="O68" i="1" s="1"/>
  <c r="D281" i="8"/>
  <c r="D283" i="8" s="1"/>
  <c r="F274" i="8"/>
  <c r="H274" i="8" s="1"/>
  <c r="F281" i="8" s="1"/>
  <c r="H272" i="8"/>
  <c r="N64" i="1" s="1"/>
  <c r="O64" i="1" s="1"/>
  <c r="H276" i="8"/>
  <c r="N65" i="1" s="1"/>
  <c r="O65" i="1" s="1"/>
  <c r="H278" i="8"/>
  <c r="N66" i="1" s="1"/>
  <c r="O66" i="1" s="1"/>
  <c r="B283" i="8"/>
  <c r="H279" i="8"/>
  <c r="N67" i="1" s="1"/>
  <c r="O67" i="1" s="1"/>
  <c r="B285" i="8"/>
  <c r="F283" i="8"/>
  <c r="Q163" i="1"/>
  <c r="H283" i="8" l="1"/>
  <c r="H281" i="8"/>
  <c r="N69" i="1" s="1"/>
  <c r="O69" i="1" s="1"/>
  <c r="D285" i="8"/>
  <c r="H285" i="8" s="1"/>
  <c r="N71" i="1" s="1"/>
  <c r="O71" i="1" s="1"/>
  <c r="N70" i="1"/>
  <c r="O70" i="1" s="1"/>
  <c r="J115" i="8"/>
  <c r="E127" i="1" s="1"/>
  <c r="G1932" i="7"/>
  <c r="G1931" i="7"/>
  <c r="G1930" i="7"/>
  <c r="G1929" i="7"/>
  <c r="G1682" i="2"/>
  <c r="G1756" i="2"/>
  <c r="G1755" i="2"/>
  <c r="G1754" i="2"/>
  <c r="G1753" i="2"/>
  <c r="G1752" i="2"/>
  <c r="G1751" i="2"/>
  <c r="G1750" i="2"/>
  <c r="E225" i="1" l="1"/>
  <c r="O225" i="1" s="1"/>
  <c r="E223" i="1"/>
  <c r="J46" i="8"/>
  <c r="J45" i="8"/>
  <c r="J41" i="8"/>
  <c r="J40" i="8"/>
  <c r="J32" i="8"/>
  <c r="J31" i="8"/>
  <c r="J29" i="8"/>
  <c r="J25" i="8"/>
  <c r="G701" i="2" l="1"/>
  <c r="G700" i="2"/>
  <c r="G699" i="2"/>
  <c r="G698" i="2"/>
  <c r="G697" i="2"/>
  <c r="G585" i="2"/>
  <c r="G586" i="2"/>
  <c r="G647" i="2"/>
  <c r="G683" i="2"/>
  <c r="G665" i="2"/>
  <c r="O106" i="1"/>
  <c r="B62" i="8"/>
  <c r="B63" i="8" s="1"/>
  <c r="B61" i="8"/>
  <c r="B58" i="8"/>
  <c r="B57" i="8"/>
  <c r="B50" i="8"/>
  <c r="B49" i="8"/>
  <c r="N46" i="8"/>
  <c r="N45" i="8"/>
  <c r="N41" i="8"/>
  <c r="N40" i="8"/>
  <c r="N32" i="8"/>
  <c r="N31" i="8"/>
  <c r="N25" i="8"/>
  <c r="D10" i="8" s="1"/>
  <c r="G101" i="1" s="1"/>
  <c r="N29" i="8"/>
  <c r="D4" i="8"/>
  <c r="E101" i="1" s="1"/>
  <c r="B59" i="8" l="1"/>
  <c r="G103" i="1" s="1"/>
  <c r="B67" i="8"/>
  <c r="B71" i="8" s="1"/>
  <c r="B76" i="8" s="1"/>
  <c r="H103" i="1"/>
  <c r="B51" i="8"/>
  <c r="B65" i="8" s="1"/>
  <c r="B69" i="8" s="1"/>
  <c r="B74" i="8" s="1"/>
  <c r="N33" i="8"/>
  <c r="E102" i="1" s="1"/>
  <c r="N42" i="8"/>
  <c r="G102" i="1" s="1"/>
  <c r="D13" i="8"/>
  <c r="H101" i="1" s="1"/>
  <c r="N47" i="8"/>
  <c r="H102" i="1" s="1"/>
  <c r="N12" i="8"/>
  <c r="N9" i="8"/>
  <c r="N3" i="8"/>
  <c r="F212" i="8"/>
  <c r="B208" i="8"/>
  <c r="F204" i="8" s="1"/>
  <c r="F187" i="8"/>
  <c r="B184" i="8"/>
  <c r="H191" i="8"/>
  <c r="F191" i="8"/>
  <c r="H187" i="8"/>
  <c r="J185" i="8"/>
  <c r="F185" i="8"/>
  <c r="F182" i="8"/>
  <c r="H219" i="8"/>
  <c r="H220" i="8"/>
  <c r="B66" i="8" l="1"/>
  <c r="B70" i="8" s="1"/>
  <c r="B75" i="8" s="1"/>
  <c r="O102" i="1"/>
  <c r="E103" i="1"/>
  <c r="O103" i="1" s="1"/>
  <c r="O101" i="1"/>
  <c r="F209" i="8"/>
  <c r="O296" i="1" l="1"/>
  <c r="Q296" i="1" s="1"/>
  <c r="O295" i="1"/>
  <c r="Q295" i="1" s="1"/>
  <c r="O293" i="1"/>
  <c r="Q293" i="1" s="1"/>
  <c r="O292" i="1"/>
  <c r="Q292" i="1" s="1"/>
  <c r="O210" i="1" l="1"/>
  <c r="O209" i="1"/>
  <c r="O191" i="1"/>
  <c r="O189" i="1"/>
  <c r="O188" i="1"/>
  <c r="O187" i="1"/>
  <c r="O184" i="1"/>
  <c r="O183" i="1"/>
  <c r="O180" i="1"/>
  <c r="Q180" i="1" s="1"/>
  <c r="O171" i="1"/>
  <c r="O170" i="1"/>
  <c r="Q170" i="1" s="1"/>
  <c r="O169" i="1"/>
  <c r="Q169" i="1" s="1"/>
  <c r="O168" i="1"/>
  <c r="O167" i="1"/>
  <c r="O166" i="1"/>
  <c r="O146" i="1"/>
  <c r="O145" i="1"/>
  <c r="O144" i="1"/>
  <c r="O141" i="1"/>
  <c r="O140" i="1"/>
  <c r="Q140" i="1" s="1"/>
  <c r="O136" i="1"/>
  <c r="O135" i="1"/>
  <c r="O134" i="1"/>
  <c r="O133" i="1"/>
  <c r="O215" i="1"/>
  <c r="O257" i="1"/>
  <c r="O256" i="1"/>
  <c r="O255" i="1"/>
  <c r="O254" i="1"/>
  <c r="O252" i="1"/>
  <c r="Q252" i="1" s="1"/>
  <c r="O234" i="1"/>
  <c r="O230" i="1"/>
  <c r="O229" i="1"/>
  <c r="O260" i="1"/>
  <c r="O279" i="1"/>
  <c r="O270" i="1"/>
  <c r="O291" i="1"/>
  <c r="O290" i="1"/>
  <c r="O289" i="1"/>
  <c r="O288" i="1"/>
  <c r="O287" i="1"/>
  <c r="O286" i="1"/>
  <c r="O285" i="1"/>
  <c r="B257" i="8" l="1"/>
  <c r="H257" i="8" s="1"/>
  <c r="N334" i="1" s="1"/>
  <c r="O334" i="1" s="1"/>
  <c r="F228" i="8"/>
  <c r="F253" i="8"/>
  <c r="F247" i="8"/>
  <c r="D247" i="8"/>
  <c r="H261" i="8"/>
  <c r="D250" i="8"/>
  <c r="H250" i="8" s="1"/>
  <c r="N329" i="1" s="1"/>
  <c r="O329" i="1" s="1"/>
  <c r="H246" i="8"/>
  <c r="H256" i="8" s="1"/>
  <c r="N333" i="1" s="1"/>
  <c r="O333" i="1" s="1"/>
  <c r="H245" i="8"/>
  <c r="H262" i="8" s="1"/>
  <c r="N341" i="1" s="1"/>
  <c r="O341" i="1" s="1"/>
  <c r="N322" i="1"/>
  <c r="O322" i="1" s="1"/>
  <c r="N321" i="1"/>
  <c r="O321" i="1" s="1"/>
  <c r="N320" i="1"/>
  <c r="O320" i="1" s="1"/>
  <c r="D238" i="8"/>
  <c r="H238" i="8" s="1"/>
  <c r="N314" i="1" s="1"/>
  <c r="O314" i="1" s="1"/>
  <c r="F222" i="8"/>
  <c r="D222" i="8"/>
  <c r="F232" i="8"/>
  <c r="D232" i="8"/>
  <c r="D225" i="8"/>
  <c r="H225" i="8" s="1"/>
  <c r="N303" i="1" s="1"/>
  <c r="O303" i="1" s="1"/>
  <c r="H221" i="8"/>
  <c r="H231" i="8" s="1"/>
  <c r="N307" i="1" s="1"/>
  <c r="O307" i="1" s="1"/>
  <c r="N339" i="1" l="1"/>
  <c r="O339" i="1" s="1"/>
  <c r="N340" i="1"/>
  <c r="O340" i="1" s="1"/>
  <c r="H232" i="8"/>
  <c r="H235" i="8" s="1"/>
  <c r="H247" i="8"/>
  <c r="D251" i="8" s="1"/>
  <c r="H251" i="8" s="1"/>
  <c r="N330" i="1" s="1"/>
  <c r="O330" i="1" s="1"/>
  <c r="H222" i="8"/>
  <c r="D227" i="8" s="1"/>
  <c r="H227" i="8" s="1"/>
  <c r="N301" i="1" s="1"/>
  <c r="O301" i="1" s="1"/>
  <c r="D248" i="8"/>
  <c r="H248" i="8" s="1"/>
  <c r="D233" i="8"/>
  <c r="H233" i="8" s="1"/>
  <c r="N309" i="1" s="1"/>
  <c r="O309" i="1" s="1"/>
  <c r="D253" i="8" l="1"/>
  <c r="H253" i="8" s="1"/>
  <c r="D254" i="8" s="1"/>
  <c r="H254" i="8" s="1"/>
  <c r="N326" i="1" s="1"/>
  <c r="O326" i="1" s="1"/>
  <c r="H255" i="8"/>
  <c r="N328" i="1" s="1"/>
  <c r="O328" i="1" s="1"/>
  <c r="N308" i="1"/>
  <c r="O308" i="1" s="1"/>
  <c r="D252" i="8"/>
  <c r="H252" i="8" s="1"/>
  <c r="N327" i="1" s="1"/>
  <c r="O327" i="1" s="1"/>
  <c r="D224" i="8"/>
  <c r="H224" i="8" s="1"/>
  <c r="D249" i="8"/>
  <c r="H249" i="8" s="1"/>
  <c r="N331" i="1" s="1"/>
  <c r="O331" i="1" s="1"/>
  <c r="D228" i="8"/>
  <c r="H228" i="8" s="1"/>
  <c r="D229" i="8" s="1"/>
  <c r="H229" i="8" s="1"/>
  <c r="N300" i="1" s="1"/>
  <c r="O300" i="1" s="1"/>
  <c r="D226" i="8"/>
  <c r="H226" i="8" s="1"/>
  <c r="N304" i="1" s="1"/>
  <c r="O304" i="1" s="1"/>
  <c r="H234" i="8"/>
  <c r="N310" i="1" s="1"/>
  <c r="O310" i="1" s="1"/>
  <c r="H230" i="8"/>
  <c r="N302" i="1" s="1"/>
  <c r="O302" i="1" s="1"/>
  <c r="D258" i="8"/>
  <c r="H258" i="8" s="1"/>
  <c r="H237" i="8"/>
  <c r="N311" i="1"/>
  <c r="O311" i="1" s="1"/>
  <c r="N325" i="1" l="1"/>
  <c r="O325" i="1" s="1"/>
  <c r="H236" i="8"/>
  <c r="N315" i="1" s="1"/>
  <c r="O315" i="1" s="1"/>
  <c r="N299" i="1"/>
  <c r="O299" i="1" s="1"/>
  <c r="N332" i="1"/>
  <c r="O332" i="1" s="1"/>
  <c r="H259" i="8"/>
  <c r="N335" i="1"/>
  <c r="O335" i="1" s="1"/>
  <c r="N312" i="1"/>
  <c r="O312" i="1" s="1"/>
  <c r="N313" i="1"/>
  <c r="O313" i="1" s="1"/>
  <c r="N336" i="1" l="1"/>
  <c r="O336" i="1" s="1"/>
  <c r="H260" i="8"/>
  <c r="D223" i="8"/>
  <c r="H223" i="8" s="1"/>
  <c r="L224" i="8" s="1"/>
  <c r="N305" i="1" s="1"/>
  <c r="O305" i="1" s="1"/>
  <c r="N317" i="1"/>
  <c r="O317" i="1" s="1"/>
  <c r="H167" i="8"/>
  <c r="F211" i="8"/>
  <c r="B211" i="8" s="1"/>
  <c r="F214" i="8" s="1"/>
  <c r="D171" i="8"/>
  <c r="H168" i="8"/>
  <c r="O353" i="1" s="1"/>
  <c r="Q353" i="1" s="1"/>
  <c r="E253" i="1"/>
  <c r="H253" i="1"/>
  <c r="H117" i="8"/>
  <c r="H116" i="8"/>
  <c r="H118" i="8"/>
  <c r="H94" i="1"/>
  <c r="O94" i="1" s="1"/>
  <c r="H152" i="8"/>
  <c r="L152" i="8" s="1"/>
  <c r="J153" i="8" l="1"/>
  <c r="L153" i="8" s="1"/>
  <c r="E126" i="1" s="1"/>
  <c r="O126" i="1" s="1"/>
  <c r="Q126" i="1" s="1"/>
  <c r="N352" i="1"/>
  <c r="O352" i="1" s="1"/>
  <c r="F203" i="8"/>
  <c r="B203" i="8" s="1"/>
  <c r="B214" i="8" s="1"/>
  <c r="F208" i="8"/>
  <c r="B209" i="8" s="1"/>
  <c r="J118" i="8"/>
  <c r="N337" i="1"/>
  <c r="O337" i="1" s="1"/>
  <c r="N338" i="1"/>
  <c r="O338" i="1" s="1"/>
  <c r="O253" i="1"/>
  <c r="N306" i="1"/>
  <c r="O306" i="1" s="1"/>
  <c r="H171" i="8"/>
  <c r="H239" i="8"/>
  <c r="N316" i="1"/>
  <c r="O316" i="1" s="1"/>
  <c r="E247" i="1"/>
  <c r="O247" i="1" s="1"/>
  <c r="H245" i="1"/>
  <c r="O245" i="1" s="1"/>
  <c r="Q245" i="1" s="1"/>
  <c r="E246" i="1"/>
  <c r="O246" i="1" s="1"/>
  <c r="H236" i="1"/>
  <c r="H226" i="1"/>
  <c r="E224" i="1"/>
  <c r="Q291" i="1"/>
  <c r="Q290" i="1"/>
  <c r="Q289" i="1"/>
  <c r="Q288" i="1"/>
  <c r="Q287" i="1"/>
  <c r="Q286" i="1"/>
  <c r="Q285" i="1"/>
  <c r="O251" i="1"/>
  <c r="E249" i="1"/>
  <c r="O249" i="1" s="1"/>
  <c r="E248" i="1"/>
  <c r="O248" i="1" s="1"/>
  <c r="E240" i="1"/>
  <c r="O240" i="1" s="1"/>
  <c r="O239" i="1"/>
  <c r="E238" i="1"/>
  <c r="O238" i="1" s="1"/>
  <c r="E235" i="1"/>
  <c r="O235" i="1" s="1"/>
  <c r="E237" i="1"/>
  <c r="O237" i="1" s="1"/>
  <c r="G1914" i="2"/>
  <c r="G1913" i="2"/>
  <c r="Q229" i="1"/>
  <c r="J1810" i="2"/>
  <c r="G479" i="7"/>
  <c r="G480" i="7" s="1"/>
  <c r="G482" i="7" s="1"/>
  <c r="F405" i="7" s="1"/>
  <c r="G398" i="7"/>
  <c r="G402" i="7"/>
  <c r="G401" i="7"/>
  <c r="G400" i="7"/>
  <c r="G399" i="7"/>
  <c r="G1793" i="2"/>
  <c r="Q297" i="1" l="1"/>
  <c r="M1822" i="2"/>
  <c r="M1812" i="2"/>
  <c r="M1814" i="2"/>
  <c r="M1820" i="2"/>
  <c r="M1811" i="2"/>
  <c r="M1815" i="2"/>
  <c r="M1813" i="2"/>
  <c r="K1812" i="2"/>
  <c r="K1813" i="2"/>
  <c r="K1822" i="2"/>
  <c r="F180" i="8"/>
  <c r="B180" i="8" s="1"/>
  <c r="H172" i="8"/>
  <c r="O226" i="1"/>
  <c r="O250" i="1"/>
  <c r="Q250" i="1" s="1"/>
  <c r="O236" i="1"/>
  <c r="Q236" i="1" s="1"/>
  <c r="O223" i="1"/>
  <c r="O224" i="1"/>
  <c r="N318" i="1"/>
  <c r="O318" i="1" s="1"/>
  <c r="N319" i="1"/>
  <c r="O319" i="1" s="1"/>
  <c r="K1814" i="2"/>
  <c r="K1820" i="2"/>
  <c r="K1815" i="2"/>
  <c r="Q249" i="1"/>
  <c r="Q234" i="1"/>
  <c r="G509" i="7"/>
  <c r="G510" i="7" s="1"/>
  <c r="G512" i="7" s="1"/>
  <c r="F388" i="7" s="1"/>
  <c r="G381" i="7"/>
  <c r="G385" i="7"/>
  <c r="G384" i="7"/>
  <c r="G383" i="7"/>
  <c r="G382" i="7"/>
  <c r="G922" i="2"/>
  <c r="G815" i="7"/>
  <c r="G814" i="7"/>
  <c r="G813" i="7"/>
  <c r="G865" i="2"/>
  <c r="G866" i="2"/>
  <c r="G864" i="2"/>
  <c r="O52" i="1"/>
  <c r="Q52" i="1" s="1"/>
  <c r="G1087" i="7"/>
  <c r="O213" i="1"/>
  <c r="B174" i="8" l="1"/>
  <c r="H185" i="8"/>
  <c r="L185" i="8" s="1"/>
  <c r="B185" i="8" s="1"/>
  <c r="H182" i="8"/>
  <c r="J182" i="8" s="1"/>
  <c r="B182" i="8" s="1"/>
  <c r="J191" i="8"/>
  <c r="L191" i="8" s="1"/>
  <c r="J187" i="8"/>
  <c r="L187" i="8" s="1"/>
  <c r="B187" i="8" s="1"/>
  <c r="B189" i="8" l="1"/>
  <c r="F193" i="8"/>
  <c r="J193" i="8" s="1"/>
  <c r="B193" i="8" s="1"/>
  <c r="B191" i="8"/>
  <c r="O12" i="1"/>
  <c r="O11" i="1"/>
  <c r="O19" i="1"/>
  <c r="O15" i="1"/>
  <c r="O43" i="1"/>
  <c r="O42" i="1"/>
  <c r="O41" i="1"/>
  <c r="O40" i="1"/>
  <c r="O39" i="1"/>
  <c r="O38" i="1"/>
  <c r="O37" i="1"/>
  <c r="O36" i="1"/>
  <c r="O35" i="1"/>
  <c r="O30" i="1"/>
  <c r="O27" i="1"/>
  <c r="O25" i="1"/>
  <c r="O22" i="1"/>
  <c r="O54" i="1"/>
  <c r="O53" i="1"/>
  <c r="O61" i="1"/>
  <c r="O60" i="1"/>
  <c r="O59" i="1"/>
  <c r="O58" i="1"/>
  <c r="O57" i="1"/>
  <c r="O76" i="1"/>
  <c r="O81" i="1"/>
  <c r="O85" i="1"/>
  <c r="O84" i="1"/>
  <c r="O92" i="1"/>
  <c r="O99" i="1"/>
  <c r="O116" i="1"/>
  <c r="O115" i="1"/>
  <c r="O128" i="1"/>
  <c r="B102" i="8" l="1"/>
  <c r="B103" i="8" s="1"/>
  <c r="L143" i="8"/>
  <c r="L128" i="8"/>
  <c r="L81" i="8"/>
  <c r="L83" i="8"/>
  <c r="L85" i="8"/>
  <c r="L121" i="8"/>
  <c r="L79" i="8"/>
  <c r="F79" i="8"/>
  <c r="F81" i="8"/>
  <c r="J81" i="8" s="1"/>
  <c r="F83" i="8"/>
  <c r="J83" i="8" s="1"/>
  <c r="F85" i="8"/>
  <c r="J85" i="8" s="1"/>
  <c r="H121" i="1" s="1"/>
  <c r="J121" i="8"/>
  <c r="J125" i="8"/>
  <c r="J126" i="8"/>
  <c r="J127" i="8"/>
  <c r="J124" i="8"/>
  <c r="J123" i="8"/>
  <c r="Q265" i="1"/>
  <c r="Q266" i="1"/>
  <c r="Q279" i="1"/>
  <c r="Q263" i="1"/>
  <c r="Q237" i="1"/>
  <c r="Q215" i="1"/>
  <c r="Q213" i="1"/>
  <c r="Q209" i="1"/>
  <c r="Q210" i="1"/>
  <c r="Q184" i="1"/>
  <c r="Q171" i="1"/>
  <c r="Q141" i="1"/>
  <c r="Q146" i="1"/>
  <c r="Q116" i="1"/>
  <c r="Q42" i="1"/>
  <c r="Q43" i="1"/>
  <c r="Q22" i="1"/>
  <c r="J141" i="8"/>
  <c r="J142" i="8"/>
  <c r="J131" i="8"/>
  <c r="J132" i="8"/>
  <c r="J130" i="8"/>
  <c r="B140" i="8"/>
  <c r="J140" i="8" s="1"/>
  <c r="B139" i="8"/>
  <c r="J139" i="8" s="1"/>
  <c r="B138" i="8"/>
  <c r="J138" i="8" s="1"/>
  <c r="B137" i="8"/>
  <c r="J137" i="8" s="1"/>
  <c r="B136" i="8"/>
  <c r="J136" i="8" s="1"/>
  <c r="B135" i="8"/>
  <c r="J135" i="8" s="1"/>
  <c r="B134" i="8"/>
  <c r="J134" i="8" s="1"/>
  <c r="B133" i="8"/>
  <c r="J133" i="8" s="1"/>
  <c r="G1915" i="7"/>
  <c r="G1914" i="7"/>
  <c r="G1913" i="7"/>
  <c r="G1912" i="7"/>
  <c r="G1896" i="7"/>
  <c r="G1897" i="7"/>
  <c r="G1898" i="7"/>
  <c r="G1895" i="7"/>
  <c r="G1881" i="7"/>
  <c r="G1880" i="7"/>
  <c r="G887" i="2"/>
  <c r="G886" i="2"/>
  <c r="Q36" i="1"/>
  <c r="G1306" i="7"/>
  <c r="G1308" i="7" s="1"/>
  <c r="G1309" i="7" s="1"/>
  <c r="F1253" i="7" s="1"/>
  <c r="G1253" i="7" s="1"/>
  <c r="G1296" i="7"/>
  <c r="G1298" i="7" s="1"/>
  <c r="G1299" i="7" s="1"/>
  <c r="F1252" i="7" s="1"/>
  <c r="G1286" i="7"/>
  <c r="G1288" i="7" s="1"/>
  <c r="G1289" i="7" s="1"/>
  <c r="F1251" i="7" s="1"/>
  <c r="G1251" i="7" s="1"/>
  <c r="G1276" i="7"/>
  <c r="G1278" i="7" s="1"/>
  <c r="G1279" i="7" s="1"/>
  <c r="F1250" i="7" s="1"/>
  <c r="G1250" i="7" s="1"/>
  <c r="G887" i="7"/>
  <c r="G888" i="7" s="1"/>
  <c r="G890" i="7" s="1"/>
  <c r="F877" i="7" s="1"/>
  <c r="G877" i="7" s="1"/>
  <c r="G870" i="7"/>
  <c r="G874" i="7"/>
  <c r="G873" i="7"/>
  <c r="G872" i="7"/>
  <c r="G871" i="7"/>
  <c r="G1232" i="7"/>
  <c r="G589" i="7"/>
  <c r="G590" i="7" s="1"/>
  <c r="G592" i="7" s="1"/>
  <c r="F439" i="7" s="1"/>
  <c r="G439" i="7" s="1"/>
  <c r="G432" i="7"/>
  <c r="G436" i="7"/>
  <c r="G435" i="7"/>
  <c r="G434" i="7"/>
  <c r="G433" i="7"/>
  <c r="G565" i="2"/>
  <c r="H123" i="1" l="1"/>
  <c r="J128" i="8"/>
  <c r="K127" i="1" s="1"/>
  <c r="O127" i="1" s="1"/>
  <c r="J143" i="8"/>
  <c r="J79" i="8"/>
  <c r="E121" i="1" s="1"/>
  <c r="F1265" i="7"/>
  <c r="G1265" i="7" s="1"/>
  <c r="F1266" i="7"/>
  <c r="G1266" i="7" s="1"/>
  <c r="G878" i="7"/>
  <c r="F1169" i="2" s="1"/>
  <c r="G1169" i="2" s="1"/>
  <c r="G440" i="7"/>
  <c r="F785" i="2" s="1"/>
  <c r="G785" i="2" s="1"/>
  <c r="F1476" i="2"/>
  <c r="F1475" i="2"/>
  <c r="O125" i="1" l="1"/>
  <c r="Q125" i="1" s="1"/>
  <c r="E123" i="1"/>
  <c r="O123" i="1" s="1"/>
  <c r="Q123" i="1" s="1"/>
  <c r="F1194" i="2"/>
  <c r="G1194" i="2" s="1"/>
  <c r="F1167" i="2"/>
  <c r="G1167" i="2" s="1"/>
  <c r="O122" i="1"/>
  <c r="F563" i="2"/>
  <c r="F681" i="2"/>
  <c r="G681" i="2" s="1"/>
  <c r="F663" i="2"/>
  <c r="G663" i="2" s="1"/>
  <c r="O121" i="1"/>
  <c r="F1248" i="7"/>
  <c r="F1263" i="7"/>
  <c r="G1263" i="7" s="1"/>
  <c r="G1267" i="7" s="1"/>
  <c r="F1237" i="7"/>
  <c r="G1237" i="7" s="1"/>
  <c r="G1866" i="7"/>
  <c r="G1865" i="7"/>
  <c r="G1864" i="7"/>
  <c r="G1863" i="7"/>
  <c r="G1849" i="7"/>
  <c r="G1848" i="7"/>
  <c r="G1847" i="7"/>
  <c r="G1846" i="7"/>
  <c r="G1830" i="7"/>
  <c r="G1831" i="7"/>
  <c r="G1832" i="7"/>
  <c r="G1829" i="7"/>
  <c r="G1815" i="7"/>
  <c r="G1814" i="7"/>
  <c r="G1800" i="7"/>
  <c r="G1391" i="2"/>
  <c r="G1409" i="2"/>
  <c r="G1691" i="7"/>
  <c r="G1760" i="7"/>
  <c r="G1732" i="7"/>
  <c r="G1649" i="7"/>
  <c r="G1635" i="7"/>
  <c r="G1621" i="7"/>
  <c r="G1620" i="7"/>
  <c r="G1606" i="7"/>
  <c r="G1605" i="7"/>
  <c r="G1591" i="7"/>
  <c r="F1235" i="7" l="1"/>
  <c r="G1235" i="7" s="1"/>
  <c r="F1173" i="2"/>
  <c r="G1173" i="2" s="1"/>
  <c r="G1577" i="7"/>
  <c r="G1576" i="7"/>
  <c r="G1536" i="7" l="1"/>
  <c r="G1537" i="7"/>
  <c r="G1222" i="7" l="1"/>
  <c r="G1224" i="7" s="1"/>
  <c r="G1225" i="7" s="1"/>
  <c r="F1182" i="7" s="1"/>
  <c r="G1182" i="7" s="1"/>
  <c r="G1212" i="7"/>
  <c r="G1214" i="7" s="1"/>
  <c r="G1215" i="7" s="1"/>
  <c r="F1181" i="7" s="1"/>
  <c r="G1181" i="7" s="1"/>
  <c r="G1202" i="7"/>
  <c r="G1204" i="7" s="1"/>
  <c r="G1205" i="7" s="1"/>
  <c r="G1192" i="7"/>
  <c r="G1194" i="7" s="1"/>
  <c r="G1195" i="7" s="1"/>
  <c r="F1179" i="7" s="1"/>
  <c r="G1179" i="7" s="1"/>
  <c r="F1180" i="7" l="1"/>
  <c r="G1180" i="7" s="1"/>
  <c r="G1184" i="7" s="1"/>
  <c r="G1185" i="7" s="1"/>
  <c r="F547" i="2" s="1"/>
  <c r="G547" i="2" s="1"/>
  <c r="G529" i="2" l="1"/>
  <c r="G528" i="2"/>
  <c r="G527" i="2"/>
  <c r="G1101" i="7" l="1"/>
  <c r="G479" i="2" l="1"/>
  <c r="G478" i="2"/>
  <c r="G458" i="2"/>
  <c r="G457" i="2"/>
  <c r="G313" i="2"/>
  <c r="G201" i="2"/>
  <c r="G200" i="2"/>
  <c r="G2187" i="2" l="1"/>
  <c r="G2186" i="2"/>
  <c r="G2185" i="2"/>
  <c r="G2184" i="2"/>
  <c r="G2183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B2191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B2148" i="2"/>
  <c r="G2118" i="2"/>
  <c r="G2117" i="2"/>
  <c r="G2116" i="2"/>
  <c r="G2115" i="2"/>
  <c r="G2114" i="2"/>
  <c r="G2113" i="2"/>
  <c r="B2122" i="2"/>
  <c r="G2039" i="2"/>
  <c r="G2038" i="2"/>
  <c r="G2037" i="2"/>
  <c r="G2036" i="2"/>
  <c r="G2014" i="2"/>
  <c r="G2013" i="2"/>
  <c r="B2150" i="2" l="1"/>
  <c r="B2151" i="2" s="1"/>
  <c r="B2124" i="2"/>
  <c r="B2125" i="2" s="1"/>
  <c r="B2193" i="2"/>
  <c r="B2194" i="2" s="1"/>
  <c r="G1999" i="2"/>
  <c r="B2003" i="2"/>
  <c r="G1985" i="2"/>
  <c r="G1984" i="2"/>
  <c r="G1983" i="2"/>
  <c r="G1982" i="2"/>
  <c r="B1989" i="2"/>
  <c r="B1991" i="2" s="1"/>
  <c r="B2006" i="2" l="1"/>
  <c r="B1992" i="2"/>
  <c r="G1894" i="2"/>
  <c r="G1893" i="2"/>
  <c r="G1879" i="2"/>
  <c r="G1878" i="2"/>
  <c r="G1877" i="2"/>
  <c r="G1876" i="2"/>
  <c r="G1875" i="2"/>
  <c r="B1883" i="2"/>
  <c r="B1885" i="2" s="1"/>
  <c r="G1815" i="2"/>
  <c r="G1814" i="2"/>
  <c r="G1813" i="2"/>
  <c r="G1812" i="2"/>
  <c r="G1811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B1886" i="2" l="1"/>
  <c r="G579" i="7"/>
  <c r="G580" i="7" s="1"/>
  <c r="G582" i="7" s="1"/>
  <c r="F371" i="7" s="1"/>
  <c r="G364" i="7"/>
  <c r="G368" i="7"/>
  <c r="G367" i="7"/>
  <c r="G366" i="7"/>
  <c r="G365" i="7"/>
  <c r="G559" i="7" l="1"/>
  <c r="G560" i="7" s="1"/>
  <c r="G562" i="7" s="1"/>
  <c r="F354" i="7" s="1"/>
  <c r="G354" i="7" s="1"/>
  <c r="G347" i="7"/>
  <c r="G351" i="7"/>
  <c r="G350" i="7"/>
  <c r="G349" i="7"/>
  <c r="G348" i="7"/>
  <c r="G797" i="7"/>
  <c r="G796" i="7"/>
  <c r="G795" i="7"/>
  <c r="G51" i="2"/>
  <c r="G53" i="2" s="1"/>
  <c r="G54" i="2" s="1"/>
  <c r="B55" i="2" s="1"/>
  <c r="B57" i="2" s="1"/>
  <c r="B58" i="2" l="1"/>
  <c r="G355" i="7"/>
  <c r="F1149" i="2" s="1"/>
  <c r="G1149" i="2" s="1"/>
  <c r="F1130" i="2" l="1"/>
  <c r="G1130" i="2" s="1"/>
  <c r="P18" i="1"/>
  <c r="Q18" i="1" s="1"/>
  <c r="P17" i="1"/>
  <c r="Q17" i="1" s="1"/>
  <c r="P16" i="1"/>
  <c r="Q16" i="1" s="1"/>
  <c r="F1915" i="2"/>
  <c r="G1915" i="2" s="1"/>
  <c r="F1502" i="2"/>
  <c r="G1502" i="2" s="1"/>
  <c r="P19" i="1"/>
  <c r="Q19" i="1" s="1"/>
  <c r="P15" i="1"/>
  <c r="Q15" i="1" s="1"/>
  <c r="Q20" i="1" l="1"/>
  <c r="G31" i="2"/>
  <c r="G30" i="2"/>
  <c r="G29" i="2"/>
  <c r="G28" i="2"/>
  <c r="G11" i="2" l="1"/>
  <c r="G12" i="2"/>
  <c r="G13" i="2"/>
  <c r="G14" i="2"/>
  <c r="G334" i="7" l="1"/>
  <c r="G333" i="7"/>
  <c r="G332" i="7"/>
  <c r="G331" i="7"/>
  <c r="G330" i="7"/>
  <c r="G317" i="7"/>
  <c r="G316" i="7"/>
  <c r="G315" i="7"/>
  <c r="G314" i="7"/>
  <c r="G313" i="7"/>
  <c r="G283" i="7"/>
  <c r="G282" i="7"/>
  <c r="G281" i="7"/>
  <c r="G280" i="7"/>
  <c r="G279" i="7"/>
  <c r="G249" i="7"/>
  <c r="G248" i="7"/>
  <c r="G247" i="7"/>
  <c r="G246" i="7"/>
  <c r="G245" i="7"/>
  <c r="G232" i="7"/>
  <c r="G231" i="7"/>
  <c r="G230" i="7"/>
  <c r="G229" i="7"/>
  <c r="G228" i="7"/>
  <c r="G215" i="7"/>
  <c r="G214" i="7"/>
  <c r="G213" i="7"/>
  <c r="G212" i="7"/>
  <c r="G211" i="7"/>
  <c r="G198" i="7"/>
  <c r="G197" i="7"/>
  <c r="G196" i="7"/>
  <c r="G195" i="7"/>
  <c r="G194" i="7"/>
  <c r="G181" i="7"/>
  <c r="G180" i="7"/>
  <c r="G179" i="7"/>
  <c r="G178" i="7"/>
  <c r="G177" i="7"/>
  <c r="G164" i="7"/>
  <c r="G163" i="7"/>
  <c r="G162" i="7"/>
  <c r="G161" i="7"/>
  <c r="G160" i="7"/>
  <c r="G147" i="7"/>
  <c r="G146" i="7"/>
  <c r="G145" i="7"/>
  <c r="G144" i="7"/>
  <c r="G143" i="7"/>
  <c r="G132" i="7"/>
  <c r="G131" i="7"/>
  <c r="G130" i="7"/>
  <c r="G129" i="7"/>
  <c r="G128" i="7"/>
  <c r="G117" i="7"/>
  <c r="G116" i="7"/>
  <c r="G115" i="7"/>
  <c r="G114" i="7"/>
  <c r="G113" i="7"/>
  <c r="G100" i="7"/>
  <c r="G99" i="7"/>
  <c r="G98" i="7"/>
  <c r="G97" i="7"/>
  <c r="G96" i="7"/>
  <c r="G83" i="7"/>
  <c r="G82" i="7"/>
  <c r="G81" i="7"/>
  <c r="G80" i="7"/>
  <c r="G79" i="7"/>
  <c r="G49" i="7"/>
  <c r="G48" i="7"/>
  <c r="G47" i="7"/>
  <c r="G46" i="7"/>
  <c r="G45" i="7"/>
  <c r="G1750" i="7"/>
  <c r="G1718" i="7"/>
  <c r="G1679" i="7"/>
  <c r="G1678" i="7"/>
  <c r="G1470" i="7"/>
  <c r="G1460" i="7"/>
  <c r="G1450" i="7"/>
  <c r="G1451" i="7" s="1"/>
  <c r="G1453" i="7" s="1"/>
  <c r="F252" i="7" s="1"/>
  <c r="G252" i="7" s="1"/>
  <c r="G1440" i="7"/>
  <c r="G1441" i="7" s="1"/>
  <c r="G1443" i="7" s="1"/>
  <c r="F286" i="7" s="1"/>
  <c r="G286" i="7" s="1"/>
  <c r="G1430" i="7"/>
  <c r="G1431" i="7" s="1"/>
  <c r="G1433" i="7" s="1"/>
  <c r="F235" i="7" s="1"/>
  <c r="G235" i="7" s="1"/>
  <c r="G1420" i="7"/>
  <c r="G1421" i="7" s="1"/>
  <c r="G1423" i="7" s="1"/>
  <c r="F201" i="7" s="1"/>
  <c r="G201" i="7" s="1"/>
  <c r="F1410" i="7"/>
  <c r="G1410" i="7" s="1"/>
  <c r="G1411" i="7" s="1"/>
  <c r="G1413" i="7" s="1"/>
  <c r="F218" i="7" s="1"/>
  <c r="G218" i="7" s="1"/>
  <c r="G1387" i="7"/>
  <c r="G1389" i="7" s="1"/>
  <c r="G1390" i="7" s="1"/>
  <c r="F1321" i="7" s="1"/>
  <c r="G1321" i="7" s="1"/>
  <c r="G1377" i="7"/>
  <c r="G1379" i="7" s="1"/>
  <c r="G1380" i="7" s="1"/>
  <c r="F1320" i="7" s="1"/>
  <c r="G1320" i="7" s="1"/>
  <c r="G1367" i="7"/>
  <c r="G1369" i="7" s="1"/>
  <c r="G1370" i="7" s="1"/>
  <c r="G1357" i="7"/>
  <c r="G1359" i="7" s="1"/>
  <c r="G1360" i="7" s="1"/>
  <c r="G1347" i="7"/>
  <c r="G1348" i="7" s="1"/>
  <c r="G1350" i="7" s="1"/>
  <c r="F1337" i="7" s="1"/>
  <c r="G1337" i="7" s="1"/>
  <c r="G1335" i="7"/>
  <c r="G1334" i="7"/>
  <c r="G1333" i="7"/>
  <c r="G1332" i="7"/>
  <c r="G1331" i="7"/>
  <c r="G1158" i="7"/>
  <c r="G1160" i="7" s="1"/>
  <c r="G1161" i="7" s="1"/>
  <c r="F1118" i="7" s="1"/>
  <c r="G1118" i="7" s="1"/>
  <c r="G1148" i="7"/>
  <c r="G1150" i="7" s="1"/>
  <c r="G1151" i="7" s="1"/>
  <c r="F1117" i="7" s="1"/>
  <c r="G1117" i="7" s="1"/>
  <c r="G1138" i="7"/>
  <c r="G1140" i="7" s="1"/>
  <c r="G1141" i="7" s="1"/>
  <c r="G1128" i="7"/>
  <c r="G1073" i="7"/>
  <c r="G1059" i="7"/>
  <c r="G1049" i="7"/>
  <c r="G1050" i="7" s="1"/>
  <c r="G1052" i="7" s="1"/>
  <c r="F167" i="7" s="1"/>
  <c r="G167" i="7" s="1"/>
  <c r="G1039" i="7"/>
  <c r="G1040" i="7" s="1"/>
  <c r="G1042" i="7" s="1"/>
  <c r="F184" i="7" s="1"/>
  <c r="G184" i="7" s="1"/>
  <c r="G1016" i="7"/>
  <c r="G1018" i="7" s="1"/>
  <c r="G1019" i="7" s="1"/>
  <c r="F976" i="7" s="1"/>
  <c r="G976" i="7" s="1"/>
  <c r="G1006" i="7"/>
  <c r="G1008" i="7" s="1"/>
  <c r="G1009" i="7" s="1"/>
  <c r="F975" i="7" s="1"/>
  <c r="G975" i="7" s="1"/>
  <c r="G996" i="7"/>
  <c r="G998" i="7" s="1"/>
  <c r="G999" i="7" s="1"/>
  <c r="F1029" i="7" s="1"/>
  <c r="G1029" i="7" s="1"/>
  <c r="G986" i="7"/>
  <c r="G988" i="7" s="1"/>
  <c r="G989" i="7" s="1"/>
  <c r="G950" i="7"/>
  <c r="G952" i="7" s="1"/>
  <c r="G953" i="7" s="1"/>
  <c r="F910" i="7" s="1"/>
  <c r="G910" i="7" s="1"/>
  <c r="G940" i="7"/>
  <c r="G942" i="7" s="1"/>
  <c r="G943" i="7" s="1"/>
  <c r="F909" i="7" s="1"/>
  <c r="G909" i="7" s="1"/>
  <c r="G930" i="7"/>
  <c r="G932" i="7" s="1"/>
  <c r="G933" i="7" s="1"/>
  <c r="G920" i="7"/>
  <c r="G922" i="7" s="1"/>
  <c r="G923" i="7" s="1"/>
  <c r="G897" i="7"/>
  <c r="G898" i="7" s="1"/>
  <c r="G900" i="7" s="1"/>
  <c r="F860" i="7" s="1"/>
  <c r="G860" i="7" s="1"/>
  <c r="G858" i="7"/>
  <c r="G857" i="7"/>
  <c r="G856" i="7"/>
  <c r="G855" i="7"/>
  <c r="G854" i="7"/>
  <c r="G838" i="7"/>
  <c r="G837" i="7"/>
  <c r="G836" i="7"/>
  <c r="G772" i="7"/>
  <c r="G774" i="7" s="1"/>
  <c r="G775" i="7" s="1"/>
  <c r="F652" i="7" s="1"/>
  <c r="G652" i="7" s="1"/>
  <c r="G762" i="7"/>
  <c r="G764" i="7" s="1"/>
  <c r="G765" i="7" s="1"/>
  <c r="F651" i="7" s="1"/>
  <c r="G651" i="7" s="1"/>
  <c r="G752" i="7"/>
  <c r="G754" i="7" s="1"/>
  <c r="G755" i="7" s="1"/>
  <c r="G742" i="7"/>
  <c r="G732" i="7"/>
  <c r="G733" i="7" s="1"/>
  <c r="G735" i="7" s="1"/>
  <c r="F668" i="7" s="1"/>
  <c r="G668" i="7" s="1"/>
  <c r="G666" i="7"/>
  <c r="G665" i="7"/>
  <c r="G664" i="7"/>
  <c r="G663" i="7"/>
  <c r="G662" i="7"/>
  <c r="G637" i="7"/>
  <c r="G636" i="7"/>
  <c r="G626" i="7"/>
  <c r="G625" i="7"/>
  <c r="G615" i="7"/>
  <c r="G614" i="7"/>
  <c r="G569" i="7"/>
  <c r="G570" i="7" s="1"/>
  <c r="G572" i="7" s="1"/>
  <c r="F150" i="7" s="1"/>
  <c r="G150" i="7" s="1"/>
  <c r="G549" i="7"/>
  <c r="G550" i="7" s="1"/>
  <c r="G552" i="7" s="1"/>
  <c r="F86" i="7" s="1"/>
  <c r="G86" i="7" s="1"/>
  <c r="G539" i="7"/>
  <c r="G540" i="7" s="1"/>
  <c r="G542" i="7" s="1"/>
  <c r="F133" i="7" s="1"/>
  <c r="G133" i="7" s="1"/>
  <c r="G529" i="7"/>
  <c r="G519" i="7"/>
  <c r="G489" i="7"/>
  <c r="G490" i="7" s="1"/>
  <c r="G492" i="7" s="1"/>
  <c r="F52" i="7" s="1"/>
  <c r="G52" i="7" s="1"/>
  <c r="G35" i="7"/>
  <c r="G34" i="7"/>
  <c r="G33" i="7"/>
  <c r="G32" i="7"/>
  <c r="G31" i="7"/>
  <c r="G30" i="7"/>
  <c r="G29" i="7"/>
  <c r="G19" i="7"/>
  <c r="F421" i="7" s="1"/>
  <c r="G421" i="7" s="1"/>
  <c r="G424" i="7" s="1"/>
  <c r="G18" i="7"/>
  <c r="G17" i="7"/>
  <c r="G16" i="7"/>
  <c r="G15" i="7"/>
  <c r="G14" i="7"/>
  <c r="G13" i="7"/>
  <c r="G12" i="7"/>
  <c r="G11" i="7"/>
  <c r="G10" i="7"/>
  <c r="G9" i="7"/>
  <c r="G8" i="7"/>
  <c r="G7" i="7"/>
  <c r="G425" i="7" l="1"/>
  <c r="F842" i="2"/>
  <c r="G842" i="2" s="1"/>
  <c r="F823" i="2"/>
  <c r="G823" i="2" s="1"/>
  <c r="F804" i="2"/>
  <c r="G804" i="2" s="1"/>
  <c r="G520" i="7"/>
  <c r="G522" i="7" s="1"/>
  <c r="F103" i="7" s="1"/>
  <c r="G103" i="7" s="1"/>
  <c r="G69" i="7"/>
  <c r="G70" i="7" s="1"/>
  <c r="F1733" i="2" s="1"/>
  <c r="G1733" i="2" s="1"/>
  <c r="G744" i="7"/>
  <c r="G745" i="7" s="1"/>
  <c r="F784" i="7" s="1"/>
  <c r="G784" i="7" s="1"/>
  <c r="G702" i="7"/>
  <c r="G703" i="7" s="1"/>
  <c r="F1541" i="2" s="1"/>
  <c r="G1471" i="7"/>
  <c r="G269" i="7"/>
  <c r="G270" i="7" s="1"/>
  <c r="F208" i="2" s="1"/>
  <c r="G208" i="2" s="1"/>
  <c r="G1461" i="7"/>
  <c r="G1463" i="7" s="1"/>
  <c r="F320" i="7" s="1"/>
  <c r="G320" i="7" s="1"/>
  <c r="G321" i="7" s="1"/>
  <c r="G303" i="7"/>
  <c r="G304" i="7" s="1"/>
  <c r="F206" i="2" s="1"/>
  <c r="G206" i="2" s="1"/>
  <c r="G530" i="7"/>
  <c r="G532" i="7" s="1"/>
  <c r="F118" i="7" s="1"/>
  <c r="G118" i="7" s="1"/>
  <c r="G405" i="7"/>
  <c r="G406" i="7" s="1"/>
  <c r="G1130" i="7"/>
  <c r="G1131" i="7" s="1"/>
  <c r="F1115" i="7" s="1"/>
  <c r="G1115" i="7" s="1"/>
  <c r="G371" i="7"/>
  <c r="G617" i="7"/>
  <c r="G618" i="7" s="1"/>
  <c r="F601" i="7" s="1"/>
  <c r="G601" i="7" s="1"/>
  <c r="G639" i="7"/>
  <c r="G640" i="7" s="1"/>
  <c r="F603" i="7" s="1"/>
  <c r="G603" i="7" s="1"/>
  <c r="G1338" i="7"/>
  <c r="F1397" i="7" s="1"/>
  <c r="G1397" i="7" s="1"/>
  <c r="G1401" i="7" s="1"/>
  <c r="G219" i="7"/>
  <c r="G119" i="7"/>
  <c r="F974" i="7"/>
  <c r="G974" i="7" s="1"/>
  <c r="G120" i="7"/>
  <c r="G135" i="7"/>
  <c r="F600" i="7" s="1"/>
  <c r="G600" i="7" s="1"/>
  <c r="F973" i="7"/>
  <c r="G973" i="7" s="1"/>
  <c r="F1028" i="7"/>
  <c r="G1028" i="7" s="1"/>
  <c r="G21" i="7"/>
  <c r="G22" i="7" s="1"/>
  <c r="F67" i="7" s="1"/>
  <c r="G67" i="7" s="1"/>
  <c r="G37" i="7"/>
  <c r="G38" i="7" s="1"/>
  <c r="G861" i="7"/>
  <c r="G134" i="7"/>
  <c r="G287" i="7"/>
  <c r="G53" i="7"/>
  <c r="G104" i="7"/>
  <c r="G87" i="7"/>
  <c r="G151" i="7"/>
  <c r="F606" i="2" s="1"/>
  <c r="G606" i="2" s="1"/>
  <c r="G202" i="7"/>
  <c r="F501" i="2" s="1"/>
  <c r="G501" i="2" s="1"/>
  <c r="G253" i="7"/>
  <c r="G236" i="7"/>
  <c r="F1109" i="2" s="1"/>
  <c r="G1109" i="2" s="1"/>
  <c r="G185" i="7"/>
  <c r="G168" i="7"/>
  <c r="F440" i="2" s="1"/>
  <c r="G440" i="2" s="1"/>
  <c r="F1400" i="7"/>
  <c r="G1400" i="7" s="1"/>
  <c r="F1319" i="7"/>
  <c r="G1319" i="7" s="1"/>
  <c r="F907" i="7"/>
  <c r="G907" i="7" s="1"/>
  <c r="F960" i="7"/>
  <c r="G960" i="7" s="1"/>
  <c r="G669" i="7"/>
  <c r="F1116" i="7"/>
  <c r="G1116" i="7" s="1"/>
  <c r="F1169" i="7"/>
  <c r="G1169" i="7" s="1"/>
  <c r="G1171" i="7" s="1"/>
  <c r="G1172" i="7" s="1"/>
  <c r="F785" i="7"/>
  <c r="G785" i="7" s="1"/>
  <c r="F650" i="7"/>
  <c r="G650" i="7" s="1"/>
  <c r="F961" i="7"/>
  <c r="G961" i="7" s="1"/>
  <c r="F908" i="7"/>
  <c r="G908" i="7" s="1"/>
  <c r="F1318" i="7"/>
  <c r="G1318" i="7" s="1"/>
  <c r="G1252" i="7" s="1"/>
  <c r="F1399" i="7"/>
  <c r="G1399" i="7" s="1"/>
  <c r="G628" i="7"/>
  <c r="G629" i="7" s="1"/>
  <c r="F602" i="7" s="1"/>
  <c r="G602" i="7" s="1"/>
  <c r="F1841" i="2" l="1"/>
  <c r="G1841" i="2" s="1"/>
  <c r="F1107" i="2"/>
  <c r="G1107" i="2" s="1"/>
  <c r="G1115" i="2" s="1"/>
  <c r="F624" i="2"/>
  <c r="G624" i="2" s="1"/>
  <c r="F1801" i="7"/>
  <c r="G1801" i="7" s="1"/>
  <c r="F1249" i="2"/>
  <c r="G1249" i="2" s="1"/>
  <c r="F1229" i="2"/>
  <c r="G1229" i="2" s="1"/>
  <c r="F743" i="2"/>
  <c r="G743" i="2" s="1"/>
  <c r="F626" i="2"/>
  <c r="G626" i="2" s="1"/>
  <c r="F1776" i="2"/>
  <c r="G1776" i="2" s="1"/>
  <c r="F1231" i="2"/>
  <c r="G1231" i="2" s="1"/>
  <c r="F1251" i="2"/>
  <c r="G1251" i="2" s="1"/>
  <c r="F1715" i="2"/>
  <c r="G1715" i="2" s="1"/>
  <c r="G1717" i="2" s="1"/>
  <c r="F1699" i="2"/>
  <c r="G1699" i="2" s="1"/>
  <c r="G1701" i="2" s="1"/>
  <c r="F783" i="2"/>
  <c r="G783" i="2" s="1"/>
  <c r="G788" i="2" s="1"/>
  <c r="F1147" i="2"/>
  <c r="G1147" i="2" s="1"/>
  <c r="G1152" i="2" s="1"/>
  <c r="F643" i="2"/>
  <c r="F741" i="2"/>
  <c r="F604" i="2"/>
  <c r="G604" i="2" s="1"/>
  <c r="G611" i="2" s="1"/>
  <c r="F820" i="2"/>
  <c r="G820" i="2" s="1"/>
  <c r="G826" i="2" s="1"/>
  <c r="F839" i="2"/>
  <c r="G839" i="2" s="1"/>
  <c r="G845" i="2" s="1"/>
  <c r="F1839" i="2"/>
  <c r="G1839" i="2" s="1"/>
  <c r="F766" i="2"/>
  <c r="G766" i="2" s="1"/>
  <c r="F701" i="7"/>
  <c r="F68" i="7"/>
  <c r="F801" i="2"/>
  <c r="G801" i="2" s="1"/>
  <c r="G807" i="2" s="1"/>
  <c r="F764" i="2"/>
  <c r="G764" i="2" s="1"/>
  <c r="F1778" i="2"/>
  <c r="G1778" i="2" s="1"/>
  <c r="F1963" i="7"/>
  <c r="G1963" i="7" s="1"/>
  <c r="F1978" i="7"/>
  <c r="G1978" i="7" s="1"/>
  <c r="F1948" i="7"/>
  <c r="F649" i="7"/>
  <c r="G649" i="7" s="1"/>
  <c r="F882" i="2"/>
  <c r="G882" i="2" s="1"/>
  <c r="F104" i="2"/>
  <c r="G104" i="2" s="1"/>
  <c r="F1613" i="2"/>
  <c r="G1613" i="2" s="1"/>
  <c r="F1559" i="2"/>
  <c r="G1559" i="2" s="1"/>
  <c r="G1562" i="2" s="1"/>
  <c r="F1631" i="2"/>
  <c r="G1631" i="2" s="1"/>
  <c r="F1595" i="2"/>
  <c r="G1595" i="2" s="1"/>
  <c r="F1577" i="2"/>
  <c r="G1577" i="2" s="1"/>
  <c r="F34" i="2"/>
  <c r="G34" i="2" s="1"/>
  <c r="F1958" i="2"/>
  <c r="G1958" i="2" s="1"/>
  <c r="F1629" i="2"/>
  <c r="G1629" i="2" s="1"/>
  <c r="F1593" i="2"/>
  <c r="G1593" i="2" s="1"/>
  <c r="F1611" i="2"/>
  <c r="G1611" i="2" s="1"/>
  <c r="F2017" i="2"/>
  <c r="G2017" i="2" s="1"/>
  <c r="F1575" i="2"/>
  <c r="G1575" i="2" s="1"/>
  <c r="F1543" i="2"/>
  <c r="G1543" i="2" s="1"/>
  <c r="F1820" i="2"/>
  <c r="G1820" i="2" s="1"/>
  <c r="F499" i="2"/>
  <c r="G499" i="2" s="1"/>
  <c r="G508" i="2" s="1"/>
  <c r="F102" i="2"/>
  <c r="G102" i="2" s="1"/>
  <c r="F267" i="7"/>
  <c r="G267" i="7" s="1"/>
  <c r="F700" i="7"/>
  <c r="G700" i="7" s="1"/>
  <c r="F2034" i="2"/>
  <c r="G2034" i="2" s="1"/>
  <c r="F2055" i="2"/>
  <c r="G2055" i="2" s="1"/>
  <c r="F1430" i="2"/>
  <c r="G1430" i="2" s="1"/>
  <c r="F1803" i="7"/>
  <c r="G1803" i="7" s="1"/>
  <c r="F1480" i="7"/>
  <c r="G1480" i="7" s="1"/>
  <c r="F2096" i="2"/>
  <c r="G2096" i="2" s="1"/>
  <c r="F2078" i="2"/>
  <c r="G2078" i="2" s="1"/>
  <c r="F1919" i="2"/>
  <c r="G1919" i="2" s="1"/>
  <c r="F1428" i="2"/>
  <c r="G1428" i="2" s="1"/>
  <c r="F1053" i="2"/>
  <c r="G1053" i="2" s="1"/>
  <c r="F1035" i="2"/>
  <c r="G1035" i="2" s="1"/>
  <c r="F1071" i="2"/>
  <c r="G1071" i="2" s="1"/>
  <c r="F1091" i="2"/>
  <c r="G1091" i="2" s="1"/>
  <c r="F1017" i="2"/>
  <c r="G1017" i="2" s="1"/>
  <c r="F998" i="2"/>
  <c r="G998" i="2" s="1"/>
  <c r="F979" i="2"/>
  <c r="G979" i="2" s="1"/>
  <c r="F958" i="2"/>
  <c r="G958" i="2" s="1"/>
  <c r="F1015" i="2"/>
  <c r="G1015" i="2" s="1"/>
  <c r="F1089" i="2"/>
  <c r="G1089" i="2" s="1"/>
  <c r="F1941" i="2"/>
  <c r="G1941" i="2" s="1"/>
  <c r="F1165" i="2"/>
  <c r="G1165" i="2" s="1"/>
  <c r="F1128" i="2"/>
  <c r="G1128" i="2" s="1"/>
  <c r="G1134" i="2" s="1"/>
  <c r="F1565" i="7"/>
  <c r="G1565" i="7" s="1"/>
  <c r="G1567" i="7" s="1"/>
  <c r="F1213" i="2"/>
  <c r="G1213" i="2" s="1"/>
  <c r="G1216" i="2" s="1"/>
  <c r="F1051" i="2"/>
  <c r="G1051" i="2" s="1"/>
  <c r="F1192" i="2"/>
  <c r="G1192" i="2" s="1"/>
  <c r="G1200" i="2" s="1"/>
  <c r="F1069" i="2"/>
  <c r="G1069" i="2" s="1"/>
  <c r="F1033" i="2"/>
  <c r="G1033" i="2" s="1"/>
  <c r="F977" i="2"/>
  <c r="G977" i="2" s="1"/>
  <c r="F996" i="2"/>
  <c r="G996" i="2" s="1"/>
  <c r="G1473" i="7"/>
  <c r="F337" i="7" s="1"/>
  <c r="G337" i="7" s="1"/>
  <c r="G338" i="7" s="1"/>
  <c r="F938" i="2"/>
  <c r="G938" i="2" s="1"/>
  <c r="F960" i="2"/>
  <c r="G960" i="2" s="1"/>
  <c r="F818" i="7"/>
  <c r="G818" i="7" s="1"/>
  <c r="F1547" i="7"/>
  <c r="G1547" i="7" s="1"/>
  <c r="G1554" i="7" s="1"/>
  <c r="F821" i="7"/>
  <c r="G821" i="7" s="1"/>
  <c r="F1553" i="7"/>
  <c r="G1553" i="7" s="1"/>
  <c r="F903" i="2"/>
  <c r="G903" i="2" s="1"/>
  <c r="F442" i="2"/>
  <c r="G442" i="2" s="1"/>
  <c r="G444" i="2" s="1"/>
  <c r="F936" i="2"/>
  <c r="G936" i="2" s="1"/>
  <c r="F302" i="7"/>
  <c r="F268" i="7"/>
  <c r="G268" i="7" s="1"/>
  <c r="F403" i="7"/>
  <c r="G403" i="7" s="1"/>
  <c r="F301" i="7"/>
  <c r="G301" i="7" s="1"/>
  <c r="F292" i="2"/>
  <c r="G292" i="2" s="1"/>
  <c r="F153" i="2"/>
  <c r="G153" i="2" s="1"/>
  <c r="F136" i="2"/>
  <c r="G136" i="2" s="1"/>
  <c r="F1921" i="2"/>
  <c r="G1921" i="2" s="1"/>
  <c r="F82" i="2"/>
  <c r="G82" i="2" s="1"/>
  <c r="F645" i="2"/>
  <c r="G645" i="2" s="1"/>
  <c r="F724" i="2"/>
  <c r="G724" i="2" s="1"/>
  <c r="F84" i="2"/>
  <c r="G84" i="2" s="1"/>
  <c r="F170" i="2"/>
  <c r="G170" i="2" s="1"/>
  <c r="G172" i="2" s="1"/>
  <c r="F155" i="2"/>
  <c r="G155" i="2" s="1"/>
  <c r="F138" i="2"/>
  <c r="G138" i="2" s="1"/>
  <c r="F185" i="2"/>
  <c r="G185" i="2" s="1"/>
  <c r="G187" i="2" s="1"/>
  <c r="F423" i="2"/>
  <c r="G423" i="2" s="1"/>
  <c r="G425" i="2" s="1"/>
  <c r="F407" i="2"/>
  <c r="G407" i="2" s="1"/>
  <c r="F438" i="7"/>
  <c r="F404" i="7"/>
  <c r="F684" i="7"/>
  <c r="F387" i="7"/>
  <c r="F876" i="7"/>
  <c r="F370" i="7"/>
  <c r="F386" i="7"/>
  <c r="G386" i="7" s="1"/>
  <c r="F683" i="7"/>
  <c r="G683" i="7" s="1"/>
  <c r="F389" i="2"/>
  <c r="G389" i="2" s="1"/>
  <c r="F371" i="2"/>
  <c r="G371" i="2" s="1"/>
  <c r="G373" i="2" s="1"/>
  <c r="F227" i="2"/>
  <c r="G227" i="2" s="1"/>
  <c r="G229" i="2" s="1"/>
  <c r="F294" i="2"/>
  <c r="G294" i="2" s="1"/>
  <c r="F1822" i="2"/>
  <c r="G1822" i="2" s="1"/>
  <c r="F1759" i="2"/>
  <c r="G1759" i="2" s="1"/>
  <c r="F1933" i="7"/>
  <c r="G1933" i="7" s="1"/>
  <c r="F581" i="2"/>
  <c r="G581" i="2" s="1"/>
  <c r="F661" i="2"/>
  <c r="G661" i="2" s="1"/>
  <c r="G666" i="2" s="1"/>
  <c r="F702" i="2"/>
  <c r="G702" i="2" s="1"/>
  <c r="F679" i="2"/>
  <c r="G679" i="2" s="1"/>
  <c r="G684" i="2" s="1"/>
  <c r="F1917" i="2"/>
  <c r="G1917" i="2" s="1"/>
  <c r="F1897" i="2"/>
  <c r="G1897" i="2" s="1"/>
  <c r="F708" i="2"/>
  <c r="G708" i="2" s="1"/>
  <c r="F589" i="2"/>
  <c r="G589" i="2" s="1"/>
  <c r="F816" i="7"/>
  <c r="G816" i="7" s="1"/>
  <c r="F1090" i="7"/>
  <c r="F1916" i="7"/>
  <c r="F858" i="2"/>
  <c r="G858" i="2" s="1"/>
  <c r="F1088" i="7"/>
  <c r="F545" i="2"/>
  <c r="G545" i="2" s="1"/>
  <c r="F862" i="2"/>
  <c r="G862" i="2" s="1"/>
  <c r="F884" i="2"/>
  <c r="G884" i="2" s="1"/>
  <c r="F860" i="2"/>
  <c r="G860" i="2" s="1"/>
  <c r="G372" i="7"/>
  <c r="F726" i="2" s="1"/>
  <c r="G726" i="2" s="1"/>
  <c r="F1882" i="7"/>
  <c r="G1882" i="7" s="1"/>
  <c r="G1541" i="2" s="1"/>
  <c r="F1899" i="7"/>
  <c r="G1899" i="7" s="1"/>
  <c r="F352" i="7"/>
  <c r="G352" i="7" s="1"/>
  <c r="F437" i="7"/>
  <c r="G437" i="7" s="1"/>
  <c r="F369" i="7"/>
  <c r="G369" i="7" s="1"/>
  <c r="F875" i="7"/>
  <c r="G875" i="7" s="1"/>
  <c r="F1534" i="7"/>
  <c r="G1534" i="7" s="1"/>
  <c r="G1538" i="7" s="1"/>
  <c r="F1654" i="7" s="1"/>
  <c r="G1654" i="7" s="1"/>
  <c r="F1487" i="2"/>
  <c r="G1487" i="2" s="1"/>
  <c r="F561" i="2"/>
  <c r="G561" i="2" s="1"/>
  <c r="F1833" i="7"/>
  <c r="F1850" i="7"/>
  <c r="G1850" i="7" s="1"/>
  <c r="F1519" i="7"/>
  <c r="G1519" i="7" s="1"/>
  <c r="F1816" i="7"/>
  <c r="G1816" i="7" s="1"/>
  <c r="F1694" i="7"/>
  <c r="G1694" i="7" s="1"/>
  <c r="F1412" i="2"/>
  <c r="G1412" i="2" s="1"/>
  <c r="F1394" i="2"/>
  <c r="G1394" i="2" s="1"/>
  <c r="F1692" i="7"/>
  <c r="G1692" i="7" s="1"/>
  <c r="F1392" i="2"/>
  <c r="G1392" i="2" s="1"/>
  <c r="F1410" i="2"/>
  <c r="G1410" i="2" s="1"/>
  <c r="F1168" i="7"/>
  <c r="G1168" i="7" s="1"/>
  <c r="F1761" i="7"/>
  <c r="F1719" i="7"/>
  <c r="G1719" i="7" s="1"/>
  <c r="F1763" i="7"/>
  <c r="F1721" i="7"/>
  <c r="G1721" i="7" s="1"/>
  <c r="F1735" i="7"/>
  <c r="G1735" i="7" s="1"/>
  <c r="F1748" i="7"/>
  <c r="G1748" i="7" s="1"/>
  <c r="F1733" i="7"/>
  <c r="G1733" i="7" s="1"/>
  <c r="F1746" i="7"/>
  <c r="G1746" i="7" s="1"/>
  <c r="F1622" i="7"/>
  <c r="G1622" i="7" s="1"/>
  <c r="F1650" i="7"/>
  <c r="G1650" i="7" s="1"/>
  <c r="F1636" i="7"/>
  <c r="G1636" i="7" s="1"/>
  <c r="F1624" i="7"/>
  <c r="G1624" i="7" s="1"/>
  <c r="F1638" i="7"/>
  <c r="G1638" i="7" s="1"/>
  <c r="F1652" i="7"/>
  <c r="G1652" i="7" s="1"/>
  <c r="F1316" i="7"/>
  <c r="G1316" i="7" s="1"/>
  <c r="G1322" i="7" s="1"/>
  <c r="F1580" i="7"/>
  <c r="G1580" i="7" s="1"/>
  <c r="F1609" i="7"/>
  <c r="G1609" i="7" s="1"/>
  <c r="F1594" i="7"/>
  <c r="G1594" i="7" s="1"/>
  <c r="F1578" i="7"/>
  <c r="G1578" i="7" s="1"/>
  <c r="F1607" i="7"/>
  <c r="G1607" i="7" s="1"/>
  <c r="F1592" i="7"/>
  <c r="G1592" i="7" s="1"/>
  <c r="F1506" i="7"/>
  <c r="G1506" i="7" s="1"/>
  <c r="F1493" i="7"/>
  <c r="G1493" i="7" s="1"/>
  <c r="F1680" i="7"/>
  <c r="G1680" i="7" s="1"/>
  <c r="G1682" i="7" s="1"/>
  <c r="F1705" i="7" s="1"/>
  <c r="G1705" i="7" s="1"/>
  <c r="F1495" i="7"/>
  <c r="G1495" i="7" s="1"/>
  <c r="F1508" i="7"/>
  <c r="G1508" i="7" s="1"/>
  <c r="F803" i="7"/>
  <c r="G803" i="7" s="1"/>
  <c r="F526" i="2"/>
  <c r="G526" i="2" s="1"/>
  <c r="F210" i="2"/>
  <c r="G210" i="2" s="1"/>
  <c r="F1076" i="7"/>
  <c r="G1076" i="7" s="1"/>
  <c r="F1104" i="7"/>
  <c r="G1104" i="7" s="1"/>
  <c r="F543" i="2"/>
  <c r="G543" i="2" s="1"/>
  <c r="F521" i="2"/>
  <c r="G521" i="2" s="1"/>
  <c r="F800" i="7"/>
  <c r="G800" i="7" s="1"/>
  <c r="F523" i="2"/>
  <c r="G523" i="2" s="1"/>
  <c r="F1074" i="7"/>
  <c r="G1074" i="7" s="1"/>
  <c r="F1102" i="7"/>
  <c r="G1102" i="7" s="1"/>
  <c r="F599" i="7"/>
  <c r="G599" i="7" s="1"/>
  <c r="F482" i="2"/>
  <c r="G482" i="2" s="1"/>
  <c r="F1062" i="7"/>
  <c r="G1062" i="7" s="1"/>
  <c r="F461" i="2"/>
  <c r="G461" i="2" s="1"/>
  <c r="F798" i="7"/>
  <c r="G798" i="7" s="1"/>
  <c r="F316" i="2"/>
  <c r="G316" i="2" s="1"/>
  <c r="F212" i="2"/>
  <c r="G212" i="2" s="1"/>
  <c r="F276" i="2"/>
  <c r="G276" i="2" s="1"/>
  <c r="F839" i="7"/>
  <c r="G839" i="7" s="1"/>
  <c r="F337" i="2"/>
  <c r="G337" i="2" s="1"/>
  <c r="F259" i="2"/>
  <c r="G259" i="2" s="1"/>
  <c r="G261" i="2" s="1"/>
  <c r="F244" i="2"/>
  <c r="G244" i="2" s="1"/>
  <c r="F480" i="2"/>
  <c r="G480" i="2" s="1"/>
  <c r="F459" i="2"/>
  <c r="G459" i="2" s="1"/>
  <c r="F1060" i="7"/>
  <c r="G1060" i="7" s="1"/>
  <c r="F335" i="2"/>
  <c r="G335" i="2" s="1"/>
  <c r="F242" i="2"/>
  <c r="G242" i="2" s="1"/>
  <c r="F314" i="2"/>
  <c r="G314" i="2" s="1"/>
  <c r="F1336" i="7"/>
  <c r="G1336" i="7" s="1"/>
  <c r="G1339" i="7" s="1"/>
  <c r="F1398" i="7" s="1"/>
  <c r="G1398" i="7" s="1"/>
  <c r="G1402" i="7" s="1"/>
  <c r="F353" i="7"/>
  <c r="F121" i="2"/>
  <c r="G121" i="2" s="1"/>
  <c r="F119" i="2"/>
  <c r="G119" i="2" s="1"/>
  <c r="G605" i="7"/>
  <c r="F667" i="7"/>
  <c r="G667" i="7" s="1"/>
  <c r="G670" i="7" s="1"/>
  <c r="F972" i="7" s="1"/>
  <c r="G972" i="7" s="1"/>
  <c r="G978" i="7" s="1"/>
  <c r="G136" i="7"/>
  <c r="F841" i="7"/>
  <c r="G841" i="7" s="1"/>
  <c r="F9" i="2"/>
  <c r="G9" i="2" s="1"/>
  <c r="G121" i="7"/>
  <c r="F32" i="2"/>
  <c r="G32" i="2" s="1"/>
  <c r="F7" i="2"/>
  <c r="G7" i="2" s="1"/>
  <c r="G963" i="7"/>
  <c r="G964" i="7" s="1"/>
  <c r="F844" i="7" s="1"/>
  <c r="G844" i="7" s="1"/>
  <c r="F335" i="7"/>
  <c r="G335" i="7" s="1"/>
  <c r="F284" i="7"/>
  <c r="G284" i="7" s="1"/>
  <c r="F199" i="7"/>
  <c r="G199" i="7" s="1"/>
  <c r="F165" i="7"/>
  <c r="G165" i="7" s="1"/>
  <c r="F101" i="7"/>
  <c r="G101" i="7" s="1"/>
  <c r="F318" i="7"/>
  <c r="G318" i="7" s="1"/>
  <c r="F250" i="7"/>
  <c r="G250" i="7" s="1"/>
  <c r="F216" i="7"/>
  <c r="G216" i="7" s="1"/>
  <c r="F182" i="7"/>
  <c r="G182" i="7" s="1"/>
  <c r="F148" i="7"/>
  <c r="G148" i="7" s="1"/>
  <c r="F84" i="7"/>
  <c r="G84" i="7" s="1"/>
  <c r="F233" i="7"/>
  <c r="G233" i="7" s="1"/>
  <c r="F50" i="7"/>
  <c r="G50" i="7" s="1"/>
  <c r="G912" i="7"/>
  <c r="G913" i="7" s="1"/>
  <c r="F843" i="7" s="1"/>
  <c r="G843" i="7" s="1"/>
  <c r="G1120" i="7"/>
  <c r="G1121" i="7" s="1"/>
  <c r="F336" i="7"/>
  <c r="G336" i="7" s="1"/>
  <c r="F285" i="7"/>
  <c r="G285" i="7" s="1"/>
  <c r="F234" i="7"/>
  <c r="G234" i="7" s="1"/>
  <c r="F200" i="7"/>
  <c r="G200" i="7" s="1"/>
  <c r="F166" i="7"/>
  <c r="G166" i="7" s="1"/>
  <c r="F102" i="7"/>
  <c r="G102" i="7" s="1"/>
  <c r="F51" i="7"/>
  <c r="G51" i="7" s="1"/>
  <c r="F319" i="7"/>
  <c r="G319" i="7" s="1"/>
  <c r="F217" i="7"/>
  <c r="G217" i="7" s="1"/>
  <c r="F149" i="7"/>
  <c r="G149" i="7" s="1"/>
  <c r="F85" i="7"/>
  <c r="G85" i="7" s="1"/>
  <c r="F859" i="7"/>
  <c r="G859" i="7" s="1"/>
  <c r="G862" i="7" s="1"/>
  <c r="F1548" i="7" s="1"/>
  <c r="G1548" i="7" s="1"/>
  <c r="F251" i="7"/>
  <c r="G251" i="7" s="1"/>
  <c r="F183" i="7"/>
  <c r="G183" i="7" s="1"/>
  <c r="F971" i="7"/>
  <c r="G971" i="7" s="1"/>
  <c r="G977" i="7" s="1"/>
  <c r="F1026" i="7"/>
  <c r="G1026" i="7" s="1"/>
  <c r="G1030" i="7" s="1"/>
  <c r="F647" i="7"/>
  <c r="G647" i="7" s="1"/>
  <c r="G653" i="7" s="1"/>
  <c r="F782" i="7"/>
  <c r="G782" i="7" s="1"/>
  <c r="G786" i="7" s="1"/>
  <c r="G1580" i="2" l="1"/>
  <c r="G1780" i="2"/>
  <c r="G271" i="7"/>
  <c r="F209" i="2" s="1"/>
  <c r="G209" i="2" s="1"/>
  <c r="G630" i="2"/>
  <c r="G1805" i="7"/>
  <c r="G1254" i="2"/>
  <c r="G1076" i="2"/>
  <c r="G770" i="2"/>
  <c r="G643" i="2"/>
  <c r="G741" i="2"/>
  <c r="G751" i="2" s="1"/>
  <c r="G246" i="2"/>
  <c r="G888" i="2"/>
  <c r="G1948" i="7"/>
  <c r="F1965" i="7"/>
  <c r="G1965" i="7" s="1"/>
  <c r="G1967" i="7" s="1"/>
  <c r="F1980" i="7"/>
  <c r="G1980" i="7" s="1"/>
  <c r="G1982" i="7" s="1"/>
  <c r="F1860" i="2" s="1"/>
  <c r="G1860" i="2" s="1"/>
  <c r="F1735" i="2"/>
  <c r="G1735" i="2" s="1"/>
  <c r="G1737" i="2" s="1"/>
  <c r="F1950" i="7"/>
  <c r="G1950" i="7" s="1"/>
  <c r="G1952" i="7" s="1"/>
  <c r="G1634" i="2"/>
  <c r="G1843" i="2"/>
  <c r="G106" i="2"/>
  <c r="F2032" i="2"/>
  <c r="G2032" i="2" s="1"/>
  <c r="G2040" i="2" s="1"/>
  <c r="F2053" i="2"/>
  <c r="G2053" i="2" s="1"/>
  <c r="G2061" i="2" s="1"/>
  <c r="F2015" i="2"/>
  <c r="G2015" i="2" s="1"/>
  <c r="G2019" i="2" s="1"/>
  <c r="F1956" i="2"/>
  <c r="G1956" i="2" s="1"/>
  <c r="G1964" i="2" s="1"/>
  <c r="G1598" i="2"/>
  <c r="G1616" i="2"/>
  <c r="G1432" i="2"/>
  <c r="F1539" i="2"/>
  <c r="G1539" i="2" s="1"/>
  <c r="G1546" i="2" s="1"/>
  <c r="G1038" i="2"/>
  <c r="G1090" i="7"/>
  <c r="F1918" i="7"/>
  <c r="F1794" i="2"/>
  <c r="G1794" i="2" s="1"/>
  <c r="F1818" i="7"/>
  <c r="G1818" i="7" s="1"/>
  <c r="G1820" i="7" s="1"/>
  <c r="F1445" i="2" s="1"/>
  <c r="G1445" i="2" s="1"/>
  <c r="F1504" i="2"/>
  <c r="G1504" i="2" s="1"/>
  <c r="G1526" i="2" s="1"/>
  <c r="F1485" i="2"/>
  <c r="G1485" i="2" s="1"/>
  <c r="G1489" i="2" s="1"/>
  <c r="F943" i="2"/>
  <c r="G943" i="2" s="1"/>
  <c r="G945" i="2" s="1"/>
  <c r="F1000" i="2"/>
  <c r="G1000" i="2" s="1"/>
  <c r="G1002" i="2" s="1"/>
  <c r="F981" i="2"/>
  <c r="G981" i="2" s="1"/>
  <c r="G983" i="2" s="1"/>
  <c r="F1867" i="7"/>
  <c r="G1867" i="7" s="1"/>
  <c r="F1884" i="7"/>
  <c r="G1884" i="7" s="1"/>
  <c r="G1886" i="7" s="1"/>
  <c r="F1649" i="2" s="1"/>
  <c r="G1649" i="2" s="1"/>
  <c r="F1796" i="2"/>
  <c r="G1796" i="2" s="1"/>
  <c r="F1757" i="2"/>
  <c r="G1757" i="2" s="1"/>
  <c r="G1761" i="2" s="1"/>
  <c r="F1521" i="7"/>
  <c r="G1521" i="7" s="1"/>
  <c r="F1835" i="7"/>
  <c r="F1869" i="7"/>
  <c r="G1869" i="7" s="1"/>
  <c r="F2080" i="2"/>
  <c r="G2080" i="2" s="1"/>
  <c r="G2082" i="2" s="1"/>
  <c r="F2098" i="2"/>
  <c r="G2098" i="2" s="1"/>
  <c r="G2100" i="2" s="1"/>
  <c r="F1939" i="2"/>
  <c r="G1939" i="2" s="1"/>
  <c r="G1943" i="2" s="1"/>
  <c r="F1852" i="7"/>
  <c r="G1852" i="7" s="1"/>
  <c r="G1854" i="7" s="1"/>
  <c r="F1482" i="7"/>
  <c r="G1482" i="7" s="1"/>
  <c r="G1484" i="7" s="1"/>
  <c r="F1453" i="2" s="1"/>
  <c r="G1453" i="2" s="1"/>
  <c r="F1901" i="7"/>
  <c r="F1935" i="7"/>
  <c r="G1935" i="7" s="1"/>
  <c r="G1937" i="7" s="1"/>
  <c r="F405" i="2"/>
  <c r="G405" i="2" s="1"/>
  <c r="G409" i="2" s="1"/>
  <c r="F1895" i="2"/>
  <c r="G1895" i="2" s="1"/>
  <c r="G1899" i="2" s="1"/>
  <c r="G1056" i="2"/>
  <c r="G1020" i="2"/>
  <c r="G1094" i="2"/>
  <c r="F962" i="2"/>
  <c r="G962" i="2" s="1"/>
  <c r="G964" i="2" s="1"/>
  <c r="G822" i="7"/>
  <c r="F867" i="2" s="1"/>
  <c r="G867" i="2" s="1"/>
  <c r="G869" i="2" s="1"/>
  <c r="F820" i="7"/>
  <c r="G820" i="7" s="1"/>
  <c r="F1552" i="7"/>
  <c r="G1552" i="7" s="1"/>
  <c r="G1555" i="7" s="1"/>
  <c r="G214" i="2"/>
  <c r="G272" i="7"/>
  <c r="G728" i="2"/>
  <c r="G157" i="2"/>
  <c r="G1923" i="2"/>
  <c r="G86" i="2"/>
  <c r="G140" i="2"/>
  <c r="G391" i="2"/>
  <c r="F320" i="2"/>
  <c r="G320" i="2" s="1"/>
  <c r="F298" i="2"/>
  <c r="G298" i="2" s="1"/>
  <c r="F318" i="2"/>
  <c r="G318" i="2" s="1"/>
  <c r="F296" i="2"/>
  <c r="G296" i="2" s="1"/>
  <c r="G1403" i="7"/>
  <c r="F709" i="2"/>
  <c r="G709" i="2" s="1"/>
  <c r="F590" i="2"/>
  <c r="G590" i="2" s="1"/>
  <c r="F587" i="2"/>
  <c r="G587" i="2" s="1"/>
  <c r="F706" i="2"/>
  <c r="G706" i="2" s="1"/>
  <c r="F704" i="2"/>
  <c r="G704" i="2" s="1"/>
  <c r="F583" i="2"/>
  <c r="G583" i="2" s="1"/>
  <c r="G1414" i="2"/>
  <c r="G804" i="7"/>
  <c r="F36" i="2" s="1"/>
  <c r="G36" i="2" s="1"/>
  <c r="G38" i="2" s="1"/>
  <c r="G604" i="7"/>
  <c r="F274" i="2" s="1"/>
  <c r="G274" i="2" s="1"/>
  <c r="G278" i="2" s="1"/>
  <c r="G388" i="7"/>
  <c r="G389" i="7" s="1"/>
  <c r="F524" i="2"/>
  <c r="G524" i="2" s="1"/>
  <c r="F819" i="7"/>
  <c r="G819" i="7" s="1"/>
  <c r="G1088" i="7"/>
  <c r="G1916" i="7"/>
  <c r="G548" i="2"/>
  <c r="G1833" i="7"/>
  <c r="F1523" i="7"/>
  <c r="G1523" i="7" s="1"/>
  <c r="G1696" i="7"/>
  <c r="F1707" i="7" s="1"/>
  <c r="G1707" i="7" s="1"/>
  <c r="G1709" i="7" s="1"/>
  <c r="F1314" i="2" s="1"/>
  <c r="G1314" i="2" s="1"/>
  <c r="G1723" i="7"/>
  <c r="G1396" i="2"/>
  <c r="G1761" i="7"/>
  <c r="F1787" i="7"/>
  <c r="G1787" i="7" s="1"/>
  <c r="G1751" i="7"/>
  <c r="F1776" i="7" s="1"/>
  <c r="G1776" i="7" s="1"/>
  <c r="G1737" i="7"/>
  <c r="F1667" i="7" s="1"/>
  <c r="G1667" i="7" s="1"/>
  <c r="F1665" i="7"/>
  <c r="G1665" i="7" s="1"/>
  <c r="F1774" i="7"/>
  <c r="G1774" i="7" s="1"/>
  <c r="G1626" i="7"/>
  <c r="F1370" i="2" s="1"/>
  <c r="G1640" i="7"/>
  <c r="G1656" i="7"/>
  <c r="G1582" i="7"/>
  <c r="G1596" i="7"/>
  <c r="G1611" i="7"/>
  <c r="G1497" i="7"/>
  <c r="G1510" i="7"/>
  <c r="F802" i="7"/>
  <c r="G802" i="7" s="1"/>
  <c r="F525" i="2"/>
  <c r="G525" i="2" s="1"/>
  <c r="G1106" i="7"/>
  <c r="G530" i="2"/>
  <c r="G1078" i="7"/>
  <c r="G1064" i="7"/>
  <c r="F463" i="2" s="1"/>
  <c r="G463" i="2" s="1"/>
  <c r="G465" i="2" s="1"/>
  <c r="F842" i="7"/>
  <c r="G842" i="7" s="1"/>
  <c r="F801" i="7"/>
  <c r="G801" i="7" s="1"/>
  <c r="G845" i="7"/>
  <c r="F339" i="2" s="1"/>
  <c r="G339" i="2" s="1"/>
  <c r="G341" i="2" s="1"/>
  <c r="F275" i="2"/>
  <c r="G275" i="2" s="1"/>
  <c r="G1340" i="7"/>
  <c r="F1317" i="7"/>
  <c r="G1317" i="7" s="1"/>
  <c r="G1323" i="7" s="1"/>
  <c r="F783" i="7"/>
  <c r="G783" i="7" s="1"/>
  <c r="G787" i="7" s="1"/>
  <c r="F299" i="2" s="1"/>
  <c r="G299" i="2" s="1"/>
  <c r="G123" i="2"/>
  <c r="F1027" i="7"/>
  <c r="G1027" i="7" s="1"/>
  <c r="G1031" i="7" s="1"/>
  <c r="G671" i="7"/>
  <c r="F648" i="7"/>
  <c r="G648" i="7" s="1"/>
  <c r="G654" i="7" s="1"/>
  <c r="F297" i="2" s="1"/>
  <c r="G297" i="2" s="1"/>
  <c r="G15" i="2"/>
  <c r="G254" i="7"/>
  <c r="G237" i="7"/>
  <c r="F1110" i="2" s="1"/>
  <c r="G1110" i="2" s="1"/>
  <c r="G220" i="7"/>
  <c r="G221" i="7" s="1"/>
  <c r="G169" i="7"/>
  <c r="F441" i="2" s="1"/>
  <c r="G441" i="2" s="1"/>
  <c r="G863" i="7"/>
  <c r="G88" i="7"/>
  <c r="G203" i="7"/>
  <c r="G152" i="7"/>
  <c r="F607" i="2" s="1"/>
  <c r="G607" i="2" s="1"/>
  <c r="G322" i="7"/>
  <c r="G288" i="7"/>
  <c r="G54" i="7"/>
  <c r="G186" i="7"/>
  <c r="G105" i="7"/>
  <c r="G339" i="7"/>
  <c r="G979" i="7"/>
  <c r="F1777" i="2" l="1"/>
  <c r="G1777" i="2" s="1"/>
  <c r="F1252" i="2"/>
  <c r="G1252" i="2" s="1"/>
  <c r="F1232" i="2"/>
  <c r="G1232" i="2" s="1"/>
  <c r="F1233" i="2"/>
  <c r="G1233" i="2" s="1"/>
  <c r="G1236" i="2" s="1"/>
  <c r="F1108" i="2"/>
  <c r="G1108" i="2" s="1"/>
  <c r="G1116" i="2" s="1"/>
  <c r="G1117" i="2" s="1"/>
  <c r="B1118" i="2" s="1"/>
  <c r="B1120" i="2" s="1"/>
  <c r="B1121" i="2" s="1"/>
  <c r="P115" i="1" s="1"/>
  <c r="Q115" i="1" s="1"/>
  <c r="Q117" i="1" s="1"/>
  <c r="F625" i="2"/>
  <c r="G625" i="2" s="1"/>
  <c r="F1716" i="2"/>
  <c r="G1716" i="2" s="1"/>
  <c r="G1718" i="2" s="1"/>
  <c r="G1719" i="2" s="1"/>
  <c r="B1720" i="2" s="1"/>
  <c r="B1722" i="2" s="1"/>
  <c r="B1723" i="2" s="1"/>
  <c r="P228" i="1" s="1"/>
  <c r="Q228" i="1" s="1"/>
  <c r="F1700" i="2"/>
  <c r="G1700" i="2" s="1"/>
  <c r="G1702" i="2" s="1"/>
  <c r="G1703" i="2" s="1"/>
  <c r="B1704" i="2" s="1"/>
  <c r="B1706" i="2" s="1"/>
  <c r="B1707" i="2" s="1"/>
  <c r="P227" i="1" s="1"/>
  <c r="Q227" i="1" s="1"/>
  <c r="F784" i="2"/>
  <c r="G784" i="2" s="1"/>
  <c r="F1148" i="2"/>
  <c r="G1148" i="2" s="1"/>
  <c r="F644" i="2"/>
  <c r="G644" i="2" s="1"/>
  <c r="F742" i="2"/>
  <c r="G742" i="2" s="1"/>
  <c r="F605" i="2"/>
  <c r="G605" i="2" s="1"/>
  <c r="G612" i="2" s="1"/>
  <c r="G613" i="2" s="1"/>
  <c r="B614" i="2" s="1"/>
  <c r="B616" i="2" s="1"/>
  <c r="B617" i="2" s="1"/>
  <c r="P104" i="1" s="1"/>
  <c r="Q104" i="1" s="1"/>
  <c r="F821" i="2"/>
  <c r="G821" i="2" s="1"/>
  <c r="G827" i="2" s="1"/>
  <c r="G828" i="2" s="1"/>
  <c r="B829" i="2" s="1"/>
  <c r="B831" i="2" s="1"/>
  <c r="B832" i="2" s="1"/>
  <c r="P93" i="1" s="1"/>
  <c r="Q93" i="1" s="1"/>
  <c r="F840" i="2"/>
  <c r="G840" i="2" s="1"/>
  <c r="G846" i="2" s="1"/>
  <c r="G847" i="2" s="1"/>
  <c r="B848" i="2" s="1"/>
  <c r="B850" i="2" s="1"/>
  <c r="B851" i="2" s="1"/>
  <c r="P94" i="1" s="1"/>
  <c r="Q94" i="1" s="1"/>
  <c r="F1802" i="7"/>
  <c r="G1802" i="7" s="1"/>
  <c r="F1230" i="2"/>
  <c r="G1230" i="2" s="1"/>
  <c r="F1250" i="2"/>
  <c r="G1250" i="2" s="1"/>
  <c r="G1255" i="2" s="1"/>
  <c r="F1234" i="2" s="1"/>
  <c r="G1234" i="2" s="1"/>
  <c r="F744" i="2"/>
  <c r="F627" i="2"/>
  <c r="G627" i="2" s="1"/>
  <c r="F802" i="2"/>
  <c r="G802" i="2" s="1"/>
  <c r="G808" i="2" s="1"/>
  <c r="G809" i="2" s="1"/>
  <c r="B810" i="2" s="1"/>
  <c r="B812" i="2" s="1"/>
  <c r="B813" i="2" s="1"/>
  <c r="P92" i="1" s="1"/>
  <c r="Q92" i="1" s="1"/>
  <c r="F765" i="2"/>
  <c r="G765" i="2" s="1"/>
  <c r="F1779" i="2"/>
  <c r="G1779" i="2" s="1"/>
  <c r="F1840" i="2"/>
  <c r="F767" i="2"/>
  <c r="G767" i="2" s="1"/>
  <c r="G591" i="2"/>
  <c r="F1818" i="2"/>
  <c r="G1818" i="2" s="1"/>
  <c r="F1858" i="2"/>
  <c r="G1858" i="2" s="1"/>
  <c r="F1816" i="2"/>
  <c r="G1816" i="2" s="1"/>
  <c r="F1856" i="2"/>
  <c r="G1856" i="2" s="1"/>
  <c r="F105" i="2"/>
  <c r="G105" i="2" s="1"/>
  <c r="F1842" i="2"/>
  <c r="G1842" i="2" s="1"/>
  <c r="F1736" i="2"/>
  <c r="G1736" i="2" s="1"/>
  <c r="F1981" i="7"/>
  <c r="G1981" i="7" s="1"/>
  <c r="F1966" i="7"/>
  <c r="G1966" i="7" s="1"/>
  <c r="F1951" i="7"/>
  <c r="F1979" i="7"/>
  <c r="G1979" i="7" s="1"/>
  <c r="F1964" i="7"/>
  <c r="G1964" i="7" s="1"/>
  <c r="F1949" i="7"/>
  <c r="G1949" i="7" s="1"/>
  <c r="F1540" i="2"/>
  <c r="G1540" i="2" s="1"/>
  <c r="F2016" i="2"/>
  <c r="G2016" i="2" s="1"/>
  <c r="F1957" i="2"/>
  <c r="G1957" i="2" s="1"/>
  <c r="F2054" i="2"/>
  <c r="G2054" i="2" s="1"/>
  <c r="F2033" i="2"/>
  <c r="G2033" i="2" s="1"/>
  <c r="F500" i="2"/>
  <c r="G500" i="2" s="1"/>
  <c r="F103" i="2"/>
  <c r="G103" i="2" s="1"/>
  <c r="F35" i="2"/>
  <c r="G35" i="2" s="1"/>
  <c r="F1576" i="2"/>
  <c r="G1576" i="2" s="1"/>
  <c r="F2018" i="2"/>
  <c r="G2018" i="2" s="1"/>
  <c r="F1959" i="2"/>
  <c r="G1959" i="2" s="1"/>
  <c r="F1612" i="2"/>
  <c r="G1612" i="2" s="1"/>
  <c r="F1544" i="2"/>
  <c r="G1544" i="2" s="1"/>
  <c r="F1630" i="2"/>
  <c r="G1630" i="2" s="1"/>
  <c r="F1594" i="2"/>
  <c r="G1594" i="2" s="1"/>
  <c r="F2056" i="2"/>
  <c r="G2056" i="2" s="1"/>
  <c r="F2035" i="2"/>
  <c r="G2035" i="2" s="1"/>
  <c r="G1092" i="7"/>
  <c r="F1614" i="2"/>
  <c r="G1614" i="2" s="1"/>
  <c r="F1632" i="2"/>
  <c r="G1632" i="2" s="1"/>
  <c r="F1596" i="2"/>
  <c r="G1596" i="2" s="1"/>
  <c r="F1578" i="2"/>
  <c r="G1578" i="2" s="1"/>
  <c r="F1560" i="2"/>
  <c r="G1560" i="2" s="1"/>
  <c r="G1563" i="2" s="1"/>
  <c r="G1564" i="2" s="1"/>
  <c r="B1565" i="2" s="1"/>
  <c r="F1431" i="2"/>
  <c r="G1431" i="2" s="1"/>
  <c r="F1804" i="7"/>
  <c r="G1804" i="7" s="1"/>
  <c r="G1806" i="7" s="1"/>
  <c r="G1807" i="7" s="1"/>
  <c r="G1871" i="7"/>
  <c r="F1451" i="2" s="1"/>
  <c r="G1451" i="2" s="1"/>
  <c r="G1798" i="2"/>
  <c r="F980" i="2"/>
  <c r="G980" i="2" s="1"/>
  <c r="F999" i="2"/>
  <c r="G999" i="2" s="1"/>
  <c r="F982" i="2"/>
  <c r="G982" i="2" s="1"/>
  <c r="F1001" i="2"/>
  <c r="G1001" i="2" s="1"/>
  <c r="F2099" i="2"/>
  <c r="G2099" i="2" s="1"/>
  <c r="F2081" i="2"/>
  <c r="G2081" i="2" s="1"/>
  <c r="F1940" i="2"/>
  <c r="G1940" i="2" s="1"/>
  <c r="F1920" i="2"/>
  <c r="G1920" i="2" s="1"/>
  <c r="F1429" i="2"/>
  <c r="G1429" i="2" s="1"/>
  <c r="G1433" i="2" s="1"/>
  <c r="G1434" i="2" s="1"/>
  <c r="B1435" i="2" s="1"/>
  <c r="G238" i="7"/>
  <c r="F1036" i="2"/>
  <c r="G1036" i="2" s="1"/>
  <c r="F1072" i="2"/>
  <c r="G1072" i="2" s="1"/>
  <c r="F1054" i="2"/>
  <c r="G1054" i="2" s="1"/>
  <c r="F1018" i="2"/>
  <c r="G1018" i="2" s="1"/>
  <c r="F1092" i="2"/>
  <c r="G1092" i="2" s="1"/>
  <c r="F959" i="2"/>
  <c r="G959" i="2" s="1"/>
  <c r="F1942" i="2"/>
  <c r="G1942" i="2" s="1"/>
  <c r="F997" i="2"/>
  <c r="G997" i="2" s="1"/>
  <c r="F1034" i="2"/>
  <c r="G1034" i="2" s="1"/>
  <c r="F1566" i="7"/>
  <c r="G1566" i="7" s="1"/>
  <c r="G1568" i="7" s="1"/>
  <c r="F1193" i="2"/>
  <c r="G1193" i="2" s="1"/>
  <c r="F1166" i="2"/>
  <c r="G1166" i="2" s="1"/>
  <c r="F1129" i="2"/>
  <c r="G1129" i="2" s="1"/>
  <c r="F1070" i="2"/>
  <c r="G1070" i="2" s="1"/>
  <c r="F1052" i="2"/>
  <c r="G1052" i="2" s="1"/>
  <c r="F1016" i="2"/>
  <c r="G1016" i="2" s="1"/>
  <c r="F978" i="2"/>
  <c r="G978" i="2" s="1"/>
  <c r="F1090" i="2"/>
  <c r="G1090" i="2" s="1"/>
  <c r="F1214" i="2"/>
  <c r="G1214" i="2" s="1"/>
  <c r="G1217" i="2" s="1"/>
  <c r="G1218" i="2" s="1"/>
  <c r="B1219" i="2" s="1"/>
  <c r="F1481" i="7"/>
  <c r="G1481" i="7" s="1"/>
  <c r="F2079" i="2"/>
  <c r="G2079" i="2" s="1"/>
  <c r="F2097" i="2"/>
  <c r="G2097" i="2" s="1"/>
  <c r="G1525" i="7"/>
  <c r="F1455" i="2" s="1"/>
  <c r="G1455" i="2" s="1"/>
  <c r="F944" i="2"/>
  <c r="G944" i="2" s="1"/>
  <c r="G1556" i="7"/>
  <c r="F939" i="2"/>
  <c r="G939" i="2" s="1"/>
  <c r="F961" i="2"/>
  <c r="G961" i="2" s="1"/>
  <c r="F920" i="2"/>
  <c r="F355" i="2"/>
  <c r="G355" i="2" s="1"/>
  <c r="G357" i="2" s="1"/>
  <c r="F901" i="2"/>
  <c r="G901" i="2" s="1"/>
  <c r="G907" i="2" s="1"/>
  <c r="F502" i="2"/>
  <c r="G502" i="2" s="1"/>
  <c r="F904" i="2"/>
  <c r="G904" i="2" s="1"/>
  <c r="F443" i="2"/>
  <c r="G443" i="2" s="1"/>
  <c r="G445" i="2" s="1"/>
  <c r="G446" i="2" s="1"/>
  <c r="B447" i="2" s="1"/>
  <c r="F937" i="2"/>
  <c r="G937" i="2" s="1"/>
  <c r="F1758" i="2"/>
  <c r="F1896" i="2"/>
  <c r="F406" i="2"/>
  <c r="G406" i="2" s="1"/>
  <c r="F1486" i="2"/>
  <c r="F1795" i="2"/>
  <c r="F646" i="2"/>
  <c r="G646" i="2" s="1"/>
  <c r="F725" i="2"/>
  <c r="G725" i="2" s="1"/>
  <c r="F85" i="2"/>
  <c r="G85" i="2" s="1"/>
  <c r="F171" i="2"/>
  <c r="G171" i="2" s="1"/>
  <c r="G173" i="2" s="1"/>
  <c r="G174" i="2" s="1"/>
  <c r="B175" i="2" s="1"/>
  <c r="F156" i="2"/>
  <c r="G156" i="2" s="1"/>
  <c r="F139" i="2"/>
  <c r="G139" i="2" s="1"/>
  <c r="F186" i="2"/>
  <c r="G186" i="2" s="1"/>
  <c r="G188" i="2" s="1"/>
  <c r="G189" i="2" s="1"/>
  <c r="B190" i="2" s="1"/>
  <c r="F408" i="2"/>
  <c r="G408" i="2" s="1"/>
  <c r="F424" i="2"/>
  <c r="G424" i="2" s="1"/>
  <c r="G426" i="2" s="1"/>
  <c r="G427" i="2" s="1"/>
  <c r="B428" i="2" s="1"/>
  <c r="F1922" i="2"/>
  <c r="G1922" i="2" s="1"/>
  <c r="F83" i="2"/>
  <c r="G83" i="2" s="1"/>
  <c r="F293" i="2"/>
  <c r="G293" i="2" s="1"/>
  <c r="F154" i="2"/>
  <c r="G154" i="2" s="1"/>
  <c r="F137" i="2"/>
  <c r="G137" i="2" s="1"/>
  <c r="F883" i="2"/>
  <c r="G883" i="2" s="1"/>
  <c r="G684" i="7"/>
  <c r="G687" i="7" s="1"/>
  <c r="G300" i="2"/>
  <c r="G322" i="2"/>
  <c r="F390" i="2"/>
  <c r="G390" i="2" s="1"/>
  <c r="F372" i="2"/>
  <c r="G372" i="2" s="1"/>
  <c r="G374" i="2" s="1"/>
  <c r="G375" i="2" s="1"/>
  <c r="B376" i="2" s="1"/>
  <c r="F228" i="2"/>
  <c r="G228" i="2" s="1"/>
  <c r="G230" i="2" s="1"/>
  <c r="G231" i="2" s="1"/>
  <c r="B232" i="2" s="1"/>
  <c r="F295" i="2"/>
  <c r="G295" i="2" s="1"/>
  <c r="F1823" i="2"/>
  <c r="G1823" i="2" s="1"/>
  <c r="F1760" i="2"/>
  <c r="G1760" i="2" s="1"/>
  <c r="F1934" i="7"/>
  <c r="G1934" i="7" s="1"/>
  <c r="F703" i="2"/>
  <c r="G703" i="2" s="1"/>
  <c r="F680" i="2"/>
  <c r="G680" i="2" s="1"/>
  <c r="F582" i="2"/>
  <c r="G582" i="2" s="1"/>
  <c r="F662" i="2"/>
  <c r="G662" i="2" s="1"/>
  <c r="F1918" i="2"/>
  <c r="G1918" i="2" s="1"/>
  <c r="F1898" i="2"/>
  <c r="G1898" i="2" s="1"/>
  <c r="G1324" i="7"/>
  <c r="F707" i="2"/>
  <c r="G707" i="2" s="1"/>
  <c r="F588" i="2"/>
  <c r="G588" i="2" s="1"/>
  <c r="F1683" i="2"/>
  <c r="F1797" i="2"/>
  <c r="G1797" i="2" s="1"/>
  <c r="F1936" i="7"/>
  <c r="G1936" i="7" s="1"/>
  <c r="G710" i="2"/>
  <c r="G606" i="7"/>
  <c r="F817" i="7"/>
  <c r="G817" i="7" s="1"/>
  <c r="G823" i="7" s="1"/>
  <c r="F1089" i="7"/>
  <c r="G1089" i="7" s="1"/>
  <c r="G563" i="2"/>
  <c r="F1091" i="7"/>
  <c r="G1091" i="7" s="1"/>
  <c r="F1917" i="7"/>
  <c r="G1917" i="7" s="1"/>
  <c r="F859" i="2"/>
  <c r="G859" i="2" s="1"/>
  <c r="F546" i="2"/>
  <c r="G546" i="2" s="1"/>
  <c r="F863" i="2"/>
  <c r="G863" i="2" s="1"/>
  <c r="F885" i="2"/>
  <c r="G885" i="2" s="1"/>
  <c r="F861" i="2"/>
  <c r="G861" i="2" s="1"/>
  <c r="F1902" i="7"/>
  <c r="G1902" i="7" s="1"/>
  <c r="F1919" i="7"/>
  <c r="G1919" i="7" s="1"/>
  <c r="F1883" i="7"/>
  <c r="G1883" i="7" s="1"/>
  <c r="F1900" i="7"/>
  <c r="G1900" i="7" s="1"/>
  <c r="F1870" i="7"/>
  <c r="F1885" i="7"/>
  <c r="G1885" i="7" s="1"/>
  <c r="G55" i="7"/>
  <c r="G68" i="7" s="1"/>
  <c r="G876" i="7"/>
  <c r="G879" i="7" s="1"/>
  <c r="F1170" i="2" s="1"/>
  <c r="G1170" i="2" s="1"/>
  <c r="F1483" i="7"/>
  <c r="G1483" i="7" s="1"/>
  <c r="F1505" i="2"/>
  <c r="G1505" i="2" s="1"/>
  <c r="F1535" i="7"/>
  <c r="G1535" i="7" s="1"/>
  <c r="G1539" i="7" s="1"/>
  <c r="F1655" i="7" s="1"/>
  <c r="G1655" i="7" s="1"/>
  <c r="F1488" i="2"/>
  <c r="G1488" i="2" s="1"/>
  <c r="F562" i="2"/>
  <c r="G562" i="2" s="1"/>
  <c r="F1868" i="7"/>
  <c r="G1868" i="7" s="1"/>
  <c r="F1836" i="7"/>
  <c r="G1836" i="7" s="1"/>
  <c r="F1853" i="7"/>
  <c r="G1853" i="7" s="1"/>
  <c r="F1817" i="7"/>
  <c r="G1817" i="7" s="1"/>
  <c r="F1851" i="7"/>
  <c r="G1851" i="7" s="1"/>
  <c r="F1834" i="7"/>
  <c r="G1834" i="7" s="1"/>
  <c r="F1449" i="2"/>
  <c r="G1449" i="2" s="1"/>
  <c r="F1522" i="7"/>
  <c r="G1522" i="7" s="1"/>
  <c r="F1819" i="7"/>
  <c r="G1819" i="7" s="1"/>
  <c r="F1693" i="7"/>
  <c r="G1693" i="7" s="1"/>
  <c r="F1393" i="2"/>
  <c r="G1393" i="2" s="1"/>
  <c r="F1411" i="2"/>
  <c r="G1411" i="2" s="1"/>
  <c r="F1695" i="7"/>
  <c r="G1695" i="7" s="1"/>
  <c r="F1413" i="2"/>
  <c r="G1413" i="2" s="1"/>
  <c r="F1395" i="2"/>
  <c r="G1395" i="2" s="1"/>
  <c r="G1778" i="7"/>
  <c r="F1345" i="2" s="1"/>
  <c r="G1345" i="2" s="1"/>
  <c r="F1762" i="7"/>
  <c r="F1720" i="7"/>
  <c r="G1720" i="7" s="1"/>
  <c r="F1764" i="7"/>
  <c r="G1764" i="7" s="1"/>
  <c r="F1722" i="7"/>
  <c r="G1722" i="7" s="1"/>
  <c r="F1331" i="2"/>
  <c r="G1331" i="2" s="1"/>
  <c r="F1300" i="2"/>
  <c r="G1300" i="2" s="1"/>
  <c r="F1362" i="2"/>
  <c r="G1362" i="2" s="1"/>
  <c r="F1304" i="2"/>
  <c r="G1304" i="2" s="1"/>
  <c r="F1366" i="2"/>
  <c r="F1312" i="2"/>
  <c r="G1312" i="2" s="1"/>
  <c r="F1374" i="2"/>
  <c r="F1306" i="2"/>
  <c r="G1306" i="2" s="1"/>
  <c r="F1368" i="2"/>
  <c r="F1298" i="2"/>
  <c r="G1298" i="2" s="1"/>
  <c r="F1360" i="2"/>
  <c r="G1360" i="2" s="1"/>
  <c r="F1308" i="2"/>
  <c r="G1308" i="2" s="1"/>
  <c r="F1341" i="2"/>
  <c r="G1341" i="2" s="1"/>
  <c r="F1310" i="2"/>
  <c r="G1310" i="2" s="1"/>
  <c r="F1372" i="2"/>
  <c r="G1669" i="7"/>
  <c r="F1283" i="2" s="1"/>
  <c r="G1283" i="2" s="1"/>
  <c r="F1279" i="2"/>
  <c r="G1279" i="2" s="1"/>
  <c r="F1736" i="7"/>
  <c r="G1736" i="7" s="1"/>
  <c r="F1749" i="7"/>
  <c r="G1749" i="7" s="1"/>
  <c r="F1267" i="2"/>
  <c r="G1267" i="2" s="1"/>
  <c r="F1329" i="2"/>
  <c r="G1329" i="2" s="1"/>
  <c r="F1273" i="2"/>
  <c r="G1273" i="2" s="1"/>
  <c r="F1335" i="2"/>
  <c r="G1335" i="2" s="1"/>
  <c r="F1281" i="2"/>
  <c r="G1281" i="2" s="1"/>
  <c r="F1343" i="2"/>
  <c r="F1277" i="2"/>
  <c r="G1277" i="2" s="1"/>
  <c r="F1339" i="2"/>
  <c r="G1339" i="2" s="1"/>
  <c r="F1734" i="7"/>
  <c r="G1734" i="7" s="1"/>
  <c r="F1747" i="7"/>
  <c r="G1747" i="7" s="1"/>
  <c r="F1275" i="2"/>
  <c r="G1275" i="2" s="1"/>
  <c r="F1337" i="2"/>
  <c r="G1337" i="2" s="1"/>
  <c r="F1623" i="7"/>
  <c r="G1623" i="7" s="1"/>
  <c r="F1651" i="7"/>
  <c r="G1651" i="7" s="1"/>
  <c r="F1637" i="7"/>
  <c r="G1637" i="7" s="1"/>
  <c r="F1625" i="7"/>
  <c r="G1625" i="7" s="1"/>
  <c r="F1653" i="7"/>
  <c r="G1653" i="7" s="1"/>
  <c r="F1639" i="7"/>
  <c r="G1639" i="7" s="1"/>
  <c r="F1579" i="7"/>
  <c r="G1579" i="7" s="1"/>
  <c r="F1608" i="7"/>
  <c r="G1608" i="7" s="1"/>
  <c r="F1593" i="7"/>
  <c r="G1593" i="7" s="1"/>
  <c r="F1581" i="7"/>
  <c r="G1581" i="7" s="1"/>
  <c r="F1610" i="7"/>
  <c r="G1610" i="7" s="1"/>
  <c r="F1595" i="7"/>
  <c r="G1595" i="7" s="1"/>
  <c r="G323" i="7"/>
  <c r="F1520" i="7"/>
  <c r="G1520" i="7" s="1"/>
  <c r="G289" i="7"/>
  <c r="F1507" i="7"/>
  <c r="G1507" i="7" s="1"/>
  <c r="F1494" i="7"/>
  <c r="G1494" i="7" s="1"/>
  <c r="F1269" i="2"/>
  <c r="G1269" i="2" s="1"/>
  <c r="G255" i="7"/>
  <c r="F1681" i="7"/>
  <c r="G1681" i="7" s="1"/>
  <c r="F1496" i="7"/>
  <c r="G1496" i="7" s="1"/>
  <c r="F1509" i="7"/>
  <c r="G1509" i="7" s="1"/>
  <c r="F1103" i="7"/>
  <c r="G1103" i="7" s="1"/>
  <c r="F1075" i="7"/>
  <c r="G1075" i="7" s="1"/>
  <c r="F1105" i="7"/>
  <c r="G1105" i="7" s="1"/>
  <c r="F1077" i="7"/>
  <c r="G1077" i="7" s="1"/>
  <c r="F484" i="2"/>
  <c r="G484" i="2" s="1"/>
  <c r="G486" i="2" s="1"/>
  <c r="G204" i="7"/>
  <c r="G1032" i="7"/>
  <c r="F211" i="2"/>
  <c r="G211" i="2" s="1"/>
  <c r="F544" i="2"/>
  <c r="G544" i="2" s="1"/>
  <c r="F522" i="2"/>
  <c r="G522" i="2" s="1"/>
  <c r="G531" i="2" s="1"/>
  <c r="G532" i="2" s="1"/>
  <c r="F483" i="2"/>
  <c r="G483" i="2" s="1"/>
  <c r="F462" i="2"/>
  <c r="G462" i="2" s="1"/>
  <c r="F1063" i="7"/>
  <c r="G1063" i="7" s="1"/>
  <c r="F277" i="2"/>
  <c r="G277" i="2" s="1"/>
  <c r="G279" i="2" s="1"/>
  <c r="G280" i="2" s="1"/>
  <c r="B281" i="2" s="1"/>
  <c r="F840" i="7"/>
  <c r="G840" i="7" s="1"/>
  <c r="G846" i="7" s="1"/>
  <c r="F213" i="2"/>
  <c r="G213" i="2" s="1"/>
  <c r="F338" i="2"/>
  <c r="G338" i="2" s="1"/>
  <c r="F260" i="2"/>
  <c r="G260" i="2" s="1"/>
  <c r="G262" i="2" s="1"/>
  <c r="G263" i="2" s="1"/>
  <c r="B264" i="2" s="1"/>
  <c r="F245" i="2"/>
  <c r="G245" i="2" s="1"/>
  <c r="F799" i="7"/>
  <c r="G799" i="7" s="1"/>
  <c r="G805" i="7" s="1"/>
  <c r="F317" i="2"/>
  <c r="G317" i="2" s="1"/>
  <c r="G187" i="7"/>
  <c r="F481" i="2"/>
  <c r="G481" i="2" s="1"/>
  <c r="F1061" i="7"/>
  <c r="G1061" i="7" s="1"/>
  <c r="F460" i="2"/>
  <c r="G460" i="2" s="1"/>
  <c r="F243" i="2"/>
  <c r="G243" i="2" s="1"/>
  <c r="F336" i="2"/>
  <c r="G336" i="2" s="1"/>
  <c r="F315" i="2"/>
  <c r="G315" i="2" s="1"/>
  <c r="G655" i="7"/>
  <c r="F319" i="2"/>
  <c r="G319" i="2" s="1"/>
  <c r="G788" i="7"/>
  <c r="F321" i="2"/>
  <c r="G321" i="2" s="1"/>
  <c r="G353" i="7"/>
  <c r="G1901" i="7" s="1"/>
  <c r="G1903" i="7" s="1"/>
  <c r="G170" i="7"/>
  <c r="F122" i="2"/>
  <c r="G122" i="2" s="1"/>
  <c r="G153" i="7"/>
  <c r="F120" i="2"/>
  <c r="G120" i="2" s="1"/>
  <c r="G340" i="7"/>
  <c r="F8" i="2"/>
  <c r="G8" i="2" s="1"/>
  <c r="F33" i="2"/>
  <c r="G33" i="2" s="1"/>
  <c r="G89" i="7"/>
  <c r="G404" i="7" s="1"/>
  <c r="G407" i="7" s="1"/>
  <c r="F10" i="2"/>
  <c r="G10" i="2" s="1"/>
  <c r="G106" i="7"/>
  <c r="G1781" i="2" l="1"/>
  <c r="G1782" i="2" s="1"/>
  <c r="B1783" i="2" s="1"/>
  <c r="B1785" i="2" s="1"/>
  <c r="B1786" i="2" s="1"/>
  <c r="P246" i="1" s="1"/>
  <c r="Q246" i="1" s="1"/>
  <c r="G1237" i="2"/>
  <c r="G1238" i="2" s="1"/>
  <c r="B1239" i="2" s="1"/>
  <c r="B1241" i="2" s="1"/>
  <c r="B1242" i="2" s="1"/>
  <c r="P273" i="1" s="1"/>
  <c r="Q273" i="1" s="1"/>
  <c r="G631" i="2"/>
  <c r="G632" i="2" s="1"/>
  <c r="B633" i="2" s="1"/>
  <c r="B635" i="2" s="1"/>
  <c r="B636" i="2" s="1"/>
  <c r="P105" i="1" s="1"/>
  <c r="Q105" i="1" s="1"/>
  <c r="Q95" i="1"/>
  <c r="G649" i="2"/>
  <c r="G1256" i="2"/>
  <c r="B1257" i="2" s="1"/>
  <c r="B1259" i="2" s="1"/>
  <c r="B1260" i="2" s="1"/>
  <c r="G2101" i="2"/>
  <c r="G2102" i="2" s="1"/>
  <c r="B2103" i="2" s="1"/>
  <c r="B2105" i="2" s="1"/>
  <c r="B2106" i="2" s="1"/>
  <c r="P342" i="1" s="1"/>
  <c r="Q342" i="1" s="1"/>
  <c r="G771" i="2"/>
  <c r="G772" i="2" s="1"/>
  <c r="B773" i="2" s="1"/>
  <c r="B775" i="2" s="1"/>
  <c r="B776" i="2" s="1"/>
  <c r="P121" i="1" s="1"/>
  <c r="Q121" i="1" s="1"/>
  <c r="G1840" i="2"/>
  <c r="G1844" i="2" s="1"/>
  <c r="G1845" i="2" s="1"/>
  <c r="B1846" i="2" s="1"/>
  <c r="B1848" i="2" s="1"/>
  <c r="B1849" i="2" s="1"/>
  <c r="P232" i="1" s="1"/>
  <c r="Q232" i="1" s="1"/>
  <c r="G71" i="7"/>
  <c r="G72" i="7" s="1"/>
  <c r="G744" i="2"/>
  <c r="F1333" i="2"/>
  <c r="G1333" i="2" s="1"/>
  <c r="G1485" i="7"/>
  <c r="F1454" i="2" s="1"/>
  <c r="G1454" i="2" s="1"/>
  <c r="G1968" i="7"/>
  <c r="F1859" i="2" s="1"/>
  <c r="G1859" i="2" s="1"/>
  <c r="G107" i="2"/>
  <c r="G108" i="2" s="1"/>
  <c r="B109" i="2" s="1"/>
  <c r="B111" i="2" s="1"/>
  <c r="B112" i="2" s="1"/>
  <c r="P89" i="1" s="1"/>
  <c r="Q89" i="1" s="1"/>
  <c r="G1862" i="2"/>
  <c r="G1824" i="2"/>
  <c r="G1983" i="7"/>
  <c r="G1599" i="2"/>
  <c r="G1600" i="2" s="1"/>
  <c r="B1601" i="2" s="1"/>
  <c r="B1603" i="2" s="1"/>
  <c r="B1604" i="2" s="1"/>
  <c r="P255" i="1" s="1"/>
  <c r="Q255" i="1" s="1"/>
  <c r="G2062" i="2"/>
  <c r="G2063" i="2" s="1"/>
  <c r="B2064" i="2" s="1"/>
  <c r="B2066" i="2" s="1"/>
  <c r="B2067" i="2" s="1"/>
  <c r="G509" i="2"/>
  <c r="G510" i="2" s="1"/>
  <c r="B511" i="2" s="1"/>
  <c r="B513" i="2" s="1"/>
  <c r="B514" i="2" s="1"/>
  <c r="P329" i="1" s="1"/>
  <c r="Q329" i="1" s="1"/>
  <c r="G1635" i="2"/>
  <c r="G1636" i="2" s="1"/>
  <c r="B1637" i="2" s="1"/>
  <c r="B1639" i="2" s="1"/>
  <c r="B1640" i="2" s="1"/>
  <c r="P257" i="1" s="1"/>
  <c r="Q257" i="1" s="1"/>
  <c r="G1965" i="2"/>
  <c r="G1966" i="2" s="1"/>
  <c r="B1967" i="2" s="1"/>
  <c r="B1969" i="2" s="1"/>
  <c r="B1970" i="2" s="1"/>
  <c r="P231" i="1" s="1"/>
  <c r="Q231" i="1" s="1"/>
  <c r="B1567" i="2"/>
  <c r="B1568" i="2" s="1"/>
  <c r="P251" i="1" s="1"/>
  <c r="G1581" i="2"/>
  <c r="G1582" i="2" s="1"/>
  <c r="B1583" i="2" s="1"/>
  <c r="B1585" i="2" s="1"/>
  <c r="B1586" i="2" s="1"/>
  <c r="P254" i="1" s="1"/>
  <c r="Q254" i="1" s="1"/>
  <c r="G2020" i="2"/>
  <c r="G2021" i="2" s="1"/>
  <c r="B2022" i="2" s="1"/>
  <c r="B2025" i="2" s="1"/>
  <c r="G1617" i="2"/>
  <c r="G1618" i="2" s="1"/>
  <c r="B1619" i="2" s="1"/>
  <c r="B1621" i="2" s="1"/>
  <c r="B1622" i="2" s="1"/>
  <c r="P256" i="1" s="1"/>
  <c r="Q256" i="1" s="1"/>
  <c r="G2041" i="2"/>
  <c r="G2042" i="2" s="1"/>
  <c r="B2043" i="2" s="1"/>
  <c r="B2045" i="2" s="1"/>
  <c r="B2046" i="2" s="1"/>
  <c r="P187" i="1" s="1"/>
  <c r="B266" i="2"/>
  <c r="B267" i="2" s="1"/>
  <c r="P275" i="1" s="1"/>
  <c r="Q275" i="1" s="1"/>
  <c r="B234" i="2"/>
  <c r="B235" i="2" s="1"/>
  <c r="B378" i="2"/>
  <c r="B379" i="2" s="1"/>
  <c r="P66" i="1" s="1"/>
  <c r="Q66" i="1" s="1"/>
  <c r="B430" i="2"/>
  <c r="B431" i="2" s="1"/>
  <c r="P69" i="1" s="1"/>
  <c r="Q69" i="1" s="1"/>
  <c r="B1221" i="2"/>
  <c r="B1222" i="2" s="1"/>
  <c r="P359" i="1" s="1"/>
  <c r="Q359" i="1" s="1"/>
  <c r="Q360" i="1" s="1"/>
  <c r="B283" i="2"/>
  <c r="B284" i="2" s="1"/>
  <c r="P346" i="1" s="1"/>
  <c r="Q346" i="1" s="1"/>
  <c r="B192" i="2"/>
  <c r="B193" i="2" s="1"/>
  <c r="P34" i="1" s="1"/>
  <c r="Q34" i="1" s="1"/>
  <c r="B177" i="2"/>
  <c r="B178" i="2" s="1"/>
  <c r="P31" i="1" s="1"/>
  <c r="Q31" i="1" s="1"/>
  <c r="B449" i="2"/>
  <c r="B450" i="2" s="1"/>
  <c r="B1437" i="2"/>
  <c r="B1438" i="2" s="1"/>
  <c r="G87" i="2"/>
  <c r="G88" i="2" s="1"/>
  <c r="B89" i="2" s="1"/>
  <c r="F1364" i="2"/>
  <c r="G1364" i="2" s="1"/>
  <c r="G302" i="7"/>
  <c r="G305" i="7" s="1"/>
  <c r="G306" i="7" s="1"/>
  <c r="G701" i="7"/>
  <c r="G704" i="7" s="1"/>
  <c r="G1752" i="7"/>
  <c r="G1753" i="7" s="1"/>
  <c r="F1271" i="2"/>
  <c r="G1271" i="2" s="1"/>
  <c r="G1285" i="2" s="1"/>
  <c r="G1021" i="2"/>
  <c r="G1022" i="2" s="1"/>
  <c r="B1023" i="2" s="1"/>
  <c r="F1302" i="2"/>
  <c r="G1302" i="2" s="1"/>
  <c r="G1316" i="2" s="1"/>
  <c r="G2083" i="2"/>
  <c r="G2084" i="2" s="1"/>
  <c r="B2085" i="2" s="1"/>
  <c r="G984" i="2"/>
  <c r="G985" i="2" s="1"/>
  <c r="B986" i="2" s="1"/>
  <c r="G1039" i="2"/>
  <c r="G1040" i="2" s="1"/>
  <c r="B1041" i="2" s="1"/>
  <c r="G1095" i="2"/>
  <c r="G1096" i="2" s="1"/>
  <c r="B1097" i="2" s="1"/>
  <c r="B533" i="2"/>
  <c r="G1077" i="2"/>
  <c r="G1078" i="2" s="1"/>
  <c r="B1079" i="2" s="1"/>
  <c r="G1057" i="2"/>
  <c r="G1058" i="2" s="1"/>
  <c r="B1059" i="2" s="1"/>
  <c r="G1003" i="2"/>
  <c r="G1004" i="2" s="1"/>
  <c r="B1005" i="2" s="1"/>
  <c r="F963" i="2"/>
  <c r="G963" i="2" s="1"/>
  <c r="G965" i="2" s="1"/>
  <c r="G966" i="2" s="1"/>
  <c r="B967" i="2" s="1"/>
  <c r="G1569" i="7"/>
  <c r="G1944" i="2"/>
  <c r="G1945" i="2" s="1"/>
  <c r="B1946" i="2" s="1"/>
  <c r="G946" i="2"/>
  <c r="G947" i="2" s="1"/>
  <c r="B948" i="2" s="1"/>
  <c r="G920" i="2"/>
  <c r="G923" i="2" s="1"/>
  <c r="G141" i="2"/>
  <c r="G142" i="2" s="1"/>
  <c r="B143" i="2" s="1"/>
  <c r="G158" i="2"/>
  <c r="G159" i="2" s="1"/>
  <c r="B160" i="2" s="1"/>
  <c r="B162" i="2" s="1"/>
  <c r="G648" i="2"/>
  <c r="G688" i="7"/>
  <c r="F388" i="2"/>
  <c r="G388" i="2" s="1"/>
  <c r="G392" i="2" s="1"/>
  <c r="G393" i="2" s="1"/>
  <c r="B394" i="2" s="1"/>
  <c r="G410" i="2"/>
  <c r="G411" i="2" s="1"/>
  <c r="B412" i="2" s="1"/>
  <c r="G301" i="2"/>
  <c r="G302" i="2" s="1"/>
  <c r="B303" i="2" s="1"/>
  <c r="G889" i="2"/>
  <c r="G890" i="2" s="1"/>
  <c r="B891" i="2" s="1"/>
  <c r="G1738" i="7"/>
  <c r="F1668" i="7" s="1"/>
  <c r="G1668" i="7" s="1"/>
  <c r="G408" i="7"/>
  <c r="F1821" i="2"/>
  <c r="G1821" i="2" s="1"/>
  <c r="G1683" i="2"/>
  <c r="G1685" i="2" s="1"/>
  <c r="G1938" i="7"/>
  <c r="G370" i="7"/>
  <c r="G373" i="7" s="1"/>
  <c r="F727" i="2" s="1"/>
  <c r="G727" i="2" s="1"/>
  <c r="G729" i="2" s="1"/>
  <c r="G730" i="2" s="1"/>
  <c r="B731" i="2" s="1"/>
  <c r="B733" i="2" s="1"/>
  <c r="G387" i="7"/>
  <c r="G390" i="7" s="1"/>
  <c r="G438" i="7"/>
  <c r="G441" i="7" s="1"/>
  <c r="F786" i="2" s="1"/>
  <c r="G786" i="2" s="1"/>
  <c r="G789" i="2" s="1"/>
  <c r="G790" i="2" s="1"/>
  <c r="B791" i="2" s="1"/>
  <c r="G1921" i="7"/>
  <c r="F1668" i="2" s="1"/>
  <c r="G1668" i="2" s="1"/>
  <c r="F868" i="2"/>
  <c r="G868" i="2" s="1"/>
  <c r="G870" i="2" s="1"/>
  <c r="G871" i="2" s="1"/>
  <c r="B872" i="2" s="1"/>
  <c r="G824" i="7"/>
  <c r="G549" i="2"/>
  <c r="G550" i="2" s="1"/>
  <c r="B551" i="2" s="1"/>
  <c r="G1093" i="7"/>
  <c r="G1904" i="7"/>
  <c r="G1905" i="7" s="1"/>
  <c r="G1887" i="7"/>
  <c r="G1888" i="7" s="1"/>
  <c r="G1918" i="7"/>
  <c r="G1920" i="7" s="1"/>
  <c r="F1651" i="2"/>
  <c r="G1651" i="2" s="1"/>
  <c r="G1653" i="2" s="1"/>
  <c r="G1666" i="2"/>
  <c r="G880" i="7"/>
  <c r="F1264" i="7"/>
  <c r="G1264" i="7" s="1"/>
  <c r="G1268" i="7" s="1"/>
  <c r="F1238" i="7"/>
  <c r="G1238" i="7" s="1"/>
  <c r="F1249" i="7"/>
  <c r="G1838" i="7"/>
  <c r="F1448" i="2" s="1"/>
  <c r="G1448" i="2" s="1"/>
  <c r="G1821" i="7"/>
  <c r="F1446" i="2" s="1"/>
  <c r="G1446" i="2" s="1"/>
  <c r="G1540" i="7"/>
  <c r="F1524" i="7"/>
  <c r="G1524" i="7" s="1"/>
  <c r="G1526" i="7" s="1"/>
  <c r="F1456" i="2" s="1"/>
  <c r="G1456" i="2" s="1"/>
  <c r="G1855" i="7"/>
  <c r="G356" i="7"/>
  <c r="G1835" i="7"/>
  <c r="G1837" i="7" s="1"/>
  <c r="G1415" i="2"/>
  <c r="G1397" i="2"/>
  <c r="G1398" i="2" s="1"/>
  <c r="B1399" i="2" s="1"/>
  <c r="G1697" i="7"/>
  <c r="G1724" i="7"/>
  <c r="G1725" i="7" s="1"/>
  <c r="G1763" i="7"/>
  <c r="G1765" i="7" s="1"/>
  <c r="F1789" i="7" s="1"/>
  <c r="G1789" i="7" s="1"/>
  <c r="G1791" i="7" s="1"/>
  <c r="F1376" i="2" s="1"/>
  <c r="G1376" i="2" s="1"/>
  <c r="G1683" i="7"/>
  <c r="G1374" i="2"/>
  <c r="G1657" i="7"/>
  <c r="G1627" i="7"/>
  <c r="F1371" i="2" s="1"/>
  <c r="G1641" i="7"/>
  <c r="G1612" i="7"/>
  <c r="G1583" i="7"/>
  <c r="G1597" i="7"/>
  <c r="G1511" i="7"/>
  <c r="G1498" i="7"/>
  <c r="G1065" i="7"/>
  <c r="G1066" i="7" s="1"/>
  <c r="G1079" i="7"/>
  <c r="G1107" i="7"/>
  <c r="G247" i="2"/>
  <c r="G248" i="2" s="1"/>
  <c r="B249" i="2" s="1"/>
  <c r="G323" i="2"/>
  <c r="G324" i="2" s="1"/>
  <c r="B325" i="2" s="1"/>
  <c r="G847" i="7"/>
  <c r="F340" i="2"/>
  <c r="G340" i="2" s="1"/>
  <c r="G342" i="2" s="1"/>
  <c r="G343" i="2" s="1"/>
  <c r="B344" i="2" s="1"/>
  <c r="F37" i="2"/>
  <c r="G37" i="2" s="1"/>
  <c r="G39" i="2" s="1"/>
  <c r="G40" i="2" s="1"/>
  <c r="B41" i="2" s="1"/>
  <c r="B43" i="2" s="1"/>
  <c r="G806" i="7"/>
  <c r="G124" i="2"/>
  <c r="G125" i="2" s="1"/>
  <c r="B126" i="2" s="1"/>
  <c r="G16" i="2"/>
  <c r="G17" i="2" s="1"/>
  <c r="B18" i="2" s="1"/>
  <c r="B20" i="2" s="1"/>
  <c r="G1951" i="7" l="1"/>
  <c r="G1953" i="7" s="1"/>
  <c r="F1150" i="2"/>
  <c r="G1150" i="2" s="1"/>
  <c r="G1153" i="2" s="1"/>
  <c r="G1154" i="2" s="1"/>
  <c r="B1155" i="2" s="1"/>
  <c r="B1157" i="2" s="1"/>
  <c r="B1158" i="2" s="1"/>
  <c r="P112" i="1" s="1"/>
  <c r="Q112" i="1" s="1"/>
  <c r="B793" i="2"/>
  <c r="B794" i="2" s="1"/>
  <c r="P84" i="1" s="1"/>
  <c r="Q84" i="1" s="1"/>
  <c r="P345" i="1"/>
  <c r="Q345" i="1" s="1"/>
  <c r="P274" i="1"/>
  <c r="Q274" i="1" s="1"/>
  <c r="G752" i="2"/>
  <c r="G753" i="2" s="1"/>
  <c r="B754" i="2" s="1"/>
  <c r="B756" i="2" s="1"/>
  <c r="B757" i="2" s="1"/>
  <c r="P81" i="1" s="1"/>
  <c r="Q81" i="1" s="1"/>
  <c r="Q82" i="1" s="1"/>
  <c r="G1969" i="7"/>
  <c r="F1819" i="2"/>
  <c r="G1819" i="2" s="1"/>
  <c r="F1734" i="2"/>
  <c r="G1734" i="2" s="1"/>
  <c r="G1738" i="2" s="1"/>
  <c r="G1739" i="2" s="1"/>
  <c r="B1740" i="2" s="1"/>
  <c r="B1742" i="2" s="1"/>
  <c r="B1743" i="2" s="1"/>
  <c r="P238" i="1" s="1"/>
  <c r="Q238" i="1" s="1"/>
  <c r="G1486" i="7"/>
  <c r="F207" i="2"/>
  <c r="G207" i="2" s="1"/>
  <c r="G215" i="2" s="1"/>
  <c r="G216" i="2" s="1"/>
  <c r="B217" i="2" s="1"/>
  <c r="B219" i="2" s="1"/>
  <c r="B220" i="2" s="1"/>
  <c r="P49" i="1" s="1"/>
  <c r="Q49" i="1" s="1"/>
  <c r="Q50" i="1" s="1"/>
  <c r="F1861" i="2"/>
  <c r="G1861" i="2" s="1"/>
  <c r="G1984" i="7"/>
  <c r="G705" i="7"/>
  <c r="F1542" i="2"/>
  <c r="G1542" i="2" s="1"/>
  <c r="G1547" i="2" s="1"/>
  <c r="G1548" i="2" s="1"/>
  <c r="B1549" i="2" s="1"/>
  <c r="B1551" i="2" s="1"/>
  <c r="B1552" i="2" s="1"/>
  <c r="P183" i="1" s="1"/>
  <c r="Q183" i="1" s="1"/>
  <c r="Q185" i="1" s="1"/>
  <c r="P300" i="1"/>
  <c r="Q300" i="1" s="1"/>
  <c r="P71" i="1"/>
  <c r="Q71" i="1" s="1"/>
  <c r="P326" i="1"/>
  <c r="Q326" i="1" s="1"/>
  <c r="P54" i="1"/>
  <c r="Q54" i="1" s="1"/>
  <c r="P219" i="1"/>
  <c r="Q219" i="1" s="1"/>
  <c r="P70" i="1"/>
  <c r="Q70" i="1" s="1"/>
  <c r="P303" i="1"/>
  <c r="Q303" i="1" s="1"/>
  <c r="P304" i="1"/>
  <c r="Q304" i="1" s="1"/>
  <c r="P330" i="1"/>
  <c r="Q330" i="1" s="1"/>
  <c r="P299" i="1"/>
  <c r="Q299" i="1" s="1"/>
  <c r="P64" i="1"/>
  <c r="Q64" i="1" s="1"/>
  <c r="P325" i="1"/>
  <c r="Q325" i="1" s="1"/>
  <c r="P216" i="1"/>
  <c r="Q216" i="1" s="1"/>
  <c r="B1061" i="2"/>
  <c r="B1062" i="2" s="1"/>
  <c r="P355" i="1" s="1"/>
  <c r="Q355" i="1" s="1"/>
  <c r="B1025" i="2"/>
  <c r="B1026" i="2" s="1"/>
  <c r="B1401" i="2"/>
  <c r="B1402" i="2" s="1"/>
  <c r="P145" i="1" s="1"/>
  <c r="Q145" i="1" s="1"/>
  <c r="B553" i="2"/>
  <c r="B554" i="2" s="1"/>
  <c r="P350" i="1" s="1"/>
  <c r="Q350" i="1" s="1"/>
  <c r="B1081" i="2"/>
  <c r="B1082" i="2" s="1"/>
  <c r="P356" i="1" s="1"/>
  <c r="Q356" i="1" s="1"/>
  <c r="B988" i="2"/>
  <c r="B989" i="2" s="1"/>
  <c r="P310" i="1" s="1"/>
  <c r="Q310" i="1" s="1"/>
  <c r="P39" i="1"/>
  <c r="Q39" i="1" s="1"/>
  <c r="B305" i="2"/>
  <c r="B306" i="2" s="1"/>
  <c r="P65" i="1" s="1"/>
  <c r="Q65" i="1" s="1"/>
  <c r="P220" i="1"/>
  <c r="Q220" i="1" s="1"/>
  <c r="B969" i="2"/>
  <c r="B970" i="2" s="1"/>
  <c r="B535" i="2"/>
  <c r="B536" i="2" s="1"/>
  <c r="P349" i="1" s="1"/>
  <c r="Q349" i="1" s="1"/>
  <c r="B2087" i="2"/>
  <c r="B2088" i="2" s="1"/>
  <c r="P320" i="1" s="1"/>
  <c r="Q320" i="1" s="1"/>
  <c r="B396" i="2"/>
  <c r="B397" i="2" s="1"/>
  <c r="P67" i="1" s="1"/>
  <c r="Q67" i="1" s="1"/>
  <c r="B145" i="2"/>
  <c r="B146" i="2" s="1"/>
  <c r="P32" i="1" s="1"/>
  <c r="Q32" i="1" s="1"/>
  <c r="B1948" i="2"/>
  <c r="B1949" i="2" s="1"/>
  <c r="P322" i="1" s="1"/>
  <c r="Q322" i="1" s="1"/>
  <c r="B1043" i="2"/>
  <c r="B1044" i="2" s="1"/>
  <c r="B327" i="2"/>
  <c r="B328" i="2" s="1"/>
  <c r="B893" i="2"/>
  <c r="B894" i="2" s="1"/>
  <c r="P127" i="1" s="1"/>
  <c r="Q127" i="1" s="1"/>
  <c r="B128" i="2"/>
  <c r="B129" i="2" s="1"/>
  <c r="P30" i="1" s="1"/>
  <c r="Q30" i="1" s="1"/>
  <c r="B346" i="2"/>
  <c r="B347" i="2" s="1"/>
  <c r="P347" i="1" s="1"/>
  <c r="Q347" i="1" s="1"/>
  <c r="B251" i="2"/>
  <c r="B252" i="2" s="1"/>
  <c r="P53" i="1" s="1"/>
  <c r="Q53" i="1" s="1"/>
  <c r="B874" i="2"/>
  <c r="B875" i="2" s="1"/>
  <c r="P128" i="1" s="1"/>
  <c r="Q128" i="1" s="1"/>
  <c r="B414" i="2"/>
  <c r="B415" i="2" s="1"/>
  <c r="P68" i="1" s="1"/>
  <c r="Q68" i="1" s="1"/>
  <c r="B950" i="2"/>
  <c r="B951" i="2" s="1"/>
  <c r="B1007" i="2"/>
  <c r="B1008" i="2" s="1"/>
  <c r="B1099" i="2"/>
  <c r="B1100" i="2" s="1"/>
  <c r="P270" i="1" s="1"/>
  <c r="Q270" i="1" s="1"/>
  <c r="B91" i="2"/>
  <c r="B92" i="2" s="1"/>
  <c r="P10" i="1" s="1"/>
  <c r="Q10" i="1" s="1"/>
  <c r="F1777" i="7"/>
  <c r="G1777" i="7" s="1"/>
  <c r="F1131" i="2"/>
  <c r="G1131" i="2" s="1"/>
  <c r="F1236" i="7"/>
  <c r="G1236" i="7" s="1"/>
  <c r="F1174" i="2"/>
  <c r="G1174" i="2" s="1"/>
  <c r="F1195" i="2"/>
  <c r="G1195" i="2" s="1"/>
  <c r="G1201" i="2" s="1"/>
  <c r="G1202" i="2" s="1"/>
  <c r="B1203" i="2" s="1"/>
  <c r="F1168" i="2"/>
  <c r="G1168" i="2" s="1"/>
  <c r="F356" i="2"/>
  <c r="G356" i="2" s="1"/>
  <c r="G358" i="2" s="1"/>
  <c r="G359" i="2" s="1"/>
  <c r="B360" i="2" s="1"/>
  <c r="F902" i="2"/>
  <c r="G902" i="2" s="1"/>
  <c r="G908" i="2" s="1"/>
  <c r="G909" i="2" s="1"/>
  <c r="B910" i="2" s="1"/>
  <c r="G650" i="2"/>
  <c r="B651" i="2" s="1"/>
  <c r="B163" i="2"/>
  <c r="P33" i="1" s="1"/>
  <c r="Q33" i="1" s="1"/>
  <c r="B734" i="2"/>
  <c r="P100" i="1" s="1"/>
  <c r="Q100" i="1" s="1"/>
  <c r="G442" i="7"/>
  <c r="F682" i="2"/>
  <c r="G682" i="2" s="1"/>
  <c r="G685" i="2" s="1"/>
  <c r="F664" i="2"/>
  <c r="G664" i="2" s="1"/>
  <c r="G667" i="2" s="1"/>
  <c r="G1795" i="2"/>
  <c r="G1799" i="2" s="1"/>
  <c r="G1800" i="2" s="1"/>
  <c r="B1801" i="2" s="1"/>
  <c r="G1758" i="2"/>
  <c r="G1762" i="2" s="1"/>
  <c r="G1763" i="2" s="1"/>
  <c r="B1764" i="2" s="1"/>
  <c r="F1916" i="2"/>
  <c r="G1916" i="2" s="1"/>
  <c r="G1924" i="2" s="1"/>
  <c r="G1925" i="2" s="1"/>
  <c r="B1926" i="2" s="1"/>
  <c r="G1896" i="2"/>
  <c r="G1900" i="2" s="1"/>
  <c r="G1901" i="2" s="1"/>
  <c r="B1902" i="2" s="1"/>
  <c r="G374" i="7"/>
  <c r="F705" i="2"/>
  <c r="G705" i="2" s="1"/>
  <c r="G711" i="2" s="1"/>
  <c r="G712" i="2" s="1"/>
  <c r="B713" i="2" s="1"/>
  <c r="F584" i="2"/>
  <c r="G584" i="2" s="1"/>
  <c r="G592" i="2" s="1"/>
  <c r="G593" i="2" s="1"/>
  <c r="B594" i="2" s="1"/>
  <c r="F1684" i="2"/>
  <c r="G1684" i="2" s="1"/>
  <c r="G1686" i="2" s="1"/>
  <c r="G1687" i="2" s="1"/>
  <c r="B1688" i="2" s="1"/>
  <c r="G1939" i="7"/>
  <c r="F1652" i="2"/>
  <c r="G1652" i="2" s="1"/>
  <c r="G391" i="7"/>
  <c r="F921" i="2"/>
  <c r="G921" i="2" s="1"/>
  <c r="F564" i="2"/>
  <c r="G564" i="2" s="1"/>
  <c r="G1670" i="2"/>
  <c r="F1650" i="2"/>
  <c r="G1650" i="2" s="1"/>
  <c r="G1094" i="7"/>
  <c r="F464" i="2"/>
  <c r="G464" i="2" s="1"/>
  <c r="G466" i="2" s="1"/>
  <c r="G467" i="2" s="1"/>
  <c r="B468" i="2" s="1"/>
  <c r="G1922" i="7"/>
  <c r="F1667" i="2"/>
  <c r="G1667" i="2" s="1"/>
  <c r="G1669" i="2" s="1"/>
  <c r="G1248" i="7"/>
  <c r="G1254" i="7" s="1"/>
  <c r="G1269" i="7"/>
  <c r="G1249" i="7" s="1"/>
  <c r="G1255" i="7" s="1"/>
  <c r="F1172" i="2" s="1"/>
  <c r="G1172" i="2" s="1"/>
  <c r="G1822" i="7"/>
  <c r="G1486" i="2"/>
  <c r="G1490" i="2" s="1"/>
  <c r="G1491" i="2" s="1"/>
  <c r="B1492" i="2" s="1"/>
  <c r="F1503" i="2"/>
  <c r="G1503" i="2" s="1"/>
  <c r="G1527" i="2" s="1"/>
  <c r="G1528" i="2" s="1"/>
  <c r="B1529" i="2" s="1"/>
  <c r="G1839" i="7"/>
  <c r="F1447" i="2"/>
  <c r="G1447" i="2" s="1"/>
  <c r="G1457" i="2" s="1"/>
  <c r="G357" i="7"/>
  <c r="G1870" i="7"/>
  <c r="G1872" i="7" s="1"/>
  <c r="F1450" i="2"/>
  <c r="G1450" i="2" s="1"/>
  <c r="G1856" i="7"/>
  <c r="F1708" i="7"/>
  <c r="G1708" i="7" s="1"/>
  <c r="G1698" i="7"/>
  <c r="F1788" i="7"/>
  <c r="G1788" i="7" s="1"/>
  <c r="F1706" i="7"/>
  <c r="G1706" i="7" s="1"/>
  <c r="F1334" i="2"/>
  <c r="G1334" i="2" s="1"/>
  <c r="F1303" i="2"/>
  <c r="G1303" i="2" s="1"/>
  <c r="F1365" i="2"/>
  <c r="G1365" i="2" s="1"/>
  <c r="G1642" i="7"/>
  <c r="F1311" i="2"/>
  <c r="G1311" i="2" s="1"/>
  <c r="F1373" i="2"/>
  <c r="G1373" i="2" s="1"/>
  <c r="F1338" i="2"/>
  <c r="G1338" i="2" s="1"/>
  <c r="F1307" i="2"/>
  <c r="G1307" i="2" s="1"/>
  <c r="F1369" i="2"/>
  <c r="F1330" i="2"/>
  <c r="G1330" i="2" s="1"/>
  <c r="F1299" i="2"/>
  <c r="G1299" i="2" s="1"/>
  <c r="F1361" i="2"/>
  <c r="G1361" i="2" s="1"/>
  <c r="F1305" i="2"/>
  <c r="G1305" i="2" s="1"/>
  <c r="F1367" i="2"/>
  <c r="G1367" i="2" s="1"/>
  <c r="F1332" i="2"/>
  <c r="G1332" i="2" s="1"/>
  <c r="F1301" i="2"/>
  <c r="G1301" i="2" s="1"/>
  <c r="F1363" i="2"/>
  <c r="G1363" i="2" s="1"/>
  <c r="G1613" i="7"/>
  <c r="G1366" i="2" s="1"/>
  <c r="F1309" i="2"/>
  <c r="G1309" i="2" s="1"/>
  <c r="F1313" i="2"/>
  <c r="G1313" i="2" s="1"/>
  <c r="F1375" i="2"/>
  <c r="G1375" i="2" s="1"/>
  <c r="G1739" i="7"/>
  <c r="F1666" i="7"/>
  <c r="G1666" i="7" s="1"/>
  <c r="G1670" i="7" s="1"/>
  <c r="F1284" i="2" s="1"/>
  <c r="G1284" i="2" s="1"/>
  <c r="G1762" i="7"/>
  <c r="F1274" i="2"/>
  <c r="G1274" i="2" s="1"/>
  <c r="F1336" i="2"/>
  <c r="G1336" i="2" s="1"/>
  <c r="F1278" i="2"/>
  <c r="G1278" i="2" s="1"/>
  <c r="F1340" i="2"/>
  <c r="G1340" i="2" s="1"/>
  <c r="G1368" i="2"/>
  <c r="G1343" i="2"/>
  <c r="G1347" i="2" s="1"/>
  <c r="F1775" i="7"/>
  <c r="G1775" i="7" s="1"/>
  <c r="G1684" i="7"/>
  <c r="G1658" i="7"/>
  <c r="G1371" i="2" s="1"/>
  <c r="G1370" i="2"/>
  <c r="F1344" i="2"/>
  <c r="F1282" i="2"/>
  <c r="G1282" i="2" s="1"/>
  <c r="F1280" i="2"/>
  <c r="G1280" i="2" s="1"/>
  <c r="F1342" i="2"/>
  <c r="G1342" i="2" s="1"/>
  <c r="G1628" i="7"/>
  <c r="G1584" i="7"/>
  <c r="G1598" i="7"/>
  <c r="F1276" i="2"/>
  <c r="G1276" i="2" s="1"/>
  <c r="F1272" i="2"/>
  <c r="G1272" i="2" s="1"/>
  <c r="G1527" i="7"/>
  <c r="F1270" i="2"/>
  <c r="G1270" i="2" s="1"/>
  <c r="G1512" i="7"/>
  <c r="G1499" i="7"/>
  <c r="F1268" i="2"/>
  <c r="G1268" i="2" s="1"/>
  <c r="G1108" i="7"/>
  <c r="F485" i="2"/>
  <c r="G485" i="2" s="1"/>
  <c r="G487" i="2" s="1"/>
  <c r="G488" i="2" s="1"/>
  <c r="B489" i="2" s="1"/>
  <c r="G1080" i="7"/>
  <c r="B21" i="2"/>
  <c r="B44" i="2"/>
  <c r="G1135" i="2" l="1"/>
  <c r="G1136" i="2" s="1"/>
  <c r="B1137" i="2" s="1"/>
  <c r="B1139" i="2" s="1"/>
  <c r="B1140" i="2" s="1"/>
  <c r="Q280" i="1"/>
  <c r="Q55" i="1"/>
  <c r="Q44" i="1"/>
  <c r="Q72" i="1"/>
  <c r="Q221" i="1"/>
  <c r="F1817" i="2"/>
  <c r="G1817" i="2" s="1"/>
  <c r="G1825" i="2" s="1"/>
  <c r="G1826" i="2" s="1"/>
  <c r="B1827" i="2" s="1"/>
  <c r="B1829" i="2" s="1"/>
  <c r="B1830" i="2" s="1"/>
  <c r="P230" i="1" s="1"/>
  <c r="Q230" i="1" s="1"/>
  <c r="F1857" i="2"/>
  <c r="G1857" i="2" s="1"/>
  <c r="G1863" i="2" s="1"/>
  <c r="G1864" i="2" s="1"/>
  <c r="B1865" i="2" s="1"/>
  <c r="G1954" i="7"/>
  <c r="P332" i="1"/>
  <c r="Q332" i="1" s="1"/>
  <c r="P61" i="1"/>
  <c r="Q61" i="1" s="1"/>
  <c r="P319" i="1"/>
  <c r="Q319" i="1" s="1"/>
  <c r="P312" i="1"/>
  <c r="Q312" i="1" s="1"/>
  <c r="P337" i="1"/>
  <c r="Q337" i="1" s="1"/>
  <c r="P318" i="1"/>
  <c r="Q318" i="1" s="1"/>
  <c r="P336" i="1"/>
  <c r="Q336" i="1" s="1"/>
  <c r="P311" i="1"/>
  <c r="Q311" i="1" s="1"/>
  <c r="P331" i="1"/>
  <c r="Q331" i="1" s="1"/>
  <c r="P60" i="1"/>
  <c r="Q60" i="1" s="1"/>
  <c r="P305" i="1"/>
  <c r="Q305" i="1" s="1"/>
  <c r="P334" i="1"/>
  <c r="Q334" i="1" s="1"/>
  <c r="P308" i="1"/>
  <c r="Q308" i="1" s="1"/>
  <c r="P301" i="1"/>
  <c r="Q301" i="1" s="1"/>
  <c r="P327" i="1"/>
  <c r="Q327" i="1" s="1"/>
  <c r="P309" i="1"/>
  <c r="Q309" i="1" s="1"/>
  <c r="P335" i="1"/>
  <c r="Q335" i="1" s="1"/>
  <c r="P57" i="1"/>
  <c r="Q57" i="1" s="1"/>
  <c r="P338" i="1"/>
  <c r="Q338" i="1" s="1"/>
  <c r="P313" i="1"/>
  <c r="Q313" i="1" s="1"/>
  <c r="B1690" i="2"/>
  <c r="B1691" i="2" s="1"/>
  <c r="P224" i="1" s="1"/>
  <c r="Q224" i="1" s="1"/>
  <c r="B1904" i="2"/>
  <c r="B1905" i="2" s="1"/>
  <c r="B1803" i="2"/>
  <c r="B1804" i="2" s="1"/>
  <c r="P247" i="1" s="1"/>
  <c r="Q247" i="1" s="1"/>
  <c r="B1494" i="2"/>
  <c r="B1495" i="2" s="1"/>
  <c r="P167" i="1" s="1"/>
  <c r="Q167" i="1" s="1"/>
  <c r="P40" i="1"/>
  <c r="Q40" i="1" s="1"/>
  <c r="B596" i="2"/>
  <c r="B597" i="2" s="1"/>
  <c r="P99" i="1" s="1"/>
  <c r="Q99" i="1" s="1"/>
  <c r="B1928" i="2"/>
  <c r="B1929" i="2" s="1"/>
  <c r="P240" i="1" s="1"/>
  <c r="P306" i="1"/>
  <c r="Q306" i="1" s="1"/>
  <c r="B912" i="2"/>
  <c r="B913" i="2" s="1"/>
  <c r="P340" i="1"/>
  <c r="Q340" i="1" s="1"/>
  <c r="B1531" i="2"/>
  <c r="B1532" i="2" s="1"/>
  <c r="P41" i="1"/>
  <c r="Q41" i="1" s="1"/>
  <c r="P38" i="1"/>
  <c r="Q38" i="1" s="1"/>
  <c r="B470" i="2"/>
  <c r="B471" i="2" s="1"/>
  <c r="P348" i="1" s="1"/>
  <c r="Q348" i="1" s="1"/>
  <c r="B715" i="2"/>
  <c r="B716" i="2" s="1"/>
  <c r="P106" i="1" s="1"/>
  <c r="Q106" i="1" s="1"/>
  <c r="B653" i="2"/>
  <c r="B654" i="2" s="1"/>
  <c r="P101" i="1" s="1"/>
  <c r="Q101" i="1" s="1"/>
  <c r="B362" i="2"/>
  <c r="B363" i="2" s="1"/>
  <c r="B491" i="2"/>
  <c r="B492" i="2" s="1"/>
  <c r="P59" i="1" s="1"/>
  <c r="Q59" i="1" s="1"/>
  <c r="B1766" i="2"/>
  <c r="B1767" i="2" s="1"/>
  <c r="P225" i="1" s="1"/>
  <c r="Q225" i="1" s="1"/>
  <c r="B1205" i="2"/>
  <c r="B1206" i="2" s="1"/>
  <c r="P351" i="1" s="1"/>
  <c r="Q351" i="1" s="1"/>
  <c r="Q315" i="1"/>
  <c r="P341" i="1"/>
  <c r="Q341" i="1" s="1"/>
  <c r="G1779" i="7"/>
  <c r="G1780" i="7" s="1"/>
  <c r="G1180" i="2"/>
  <c r="F1233" i="7"/>
  <c r="G1233" i="7" s="1"/>
  <c r="G1239" i="7" s="1"/>
  <c r="F566" i="2" s="1"/>
  <c r="G566" i="2" s="1"/>
  <c r="G568" i="2" s="1"/>
  <c r="F1171" i="2"/>
  <c r="G1171" i="2" s="1"/>
  <c r="G1179" i="2" s="1"/>
  <c r="G924" i="2"/>
  <c r="G925" i="2" s="1"/>
  <c r="B926" i="2" s="1"/>
  <c r="G1286" i="2"/>
  <c r="G1287" i="2" s="1"/>
  <c r="B1288" i="2" s="1"/>
  <c r="G1654" i="2"/>
  <c r="G1655" i="2" s="1"/>
  <c r="B1656" i="2" s="1"/>
  <c r="G1671" i="2"/>
  <c r="B1672" i="2" s="1"/>
  <c r="G1256" i="7"/>
  <c r="F1234" i="7"/>
  <c r="G1234" i="7" s="1"/>
  <c r="G1240" i="7" s="1"/>
  <c r="G1873" i="7"/>
  <c r="F1452" i="2"/>
  <c r="G1452" i="2" s="1"/>
  <c r="G1458" i="2" s="1"/>
  <c r="G1459" i="2" s="1"/>
  <c r="B1460" i="2" s="1"/>
  <c r="G1710" i="7"/>
  <c r="G1369" i="2"/>
  <c r="G1766" i="7"/>
  <c r="F1790" i="7" s="1"/>
  <c r="G1790" i="7" s="1"/>
  <c r="G1792" i="7" s="1"/>
  <c r="G1671" i="7"/>
  <c r="G1372" i="2" s="1"/>
  <c r="G1378" i="2" s="1"/>
  <c r="G1344" i="2"/>
  <c r="P12" i="1"/>
  <c r="Q12" i="1" s="1"/>
  <c r="Q314" i="1" l="1"/>
  <c r="P111" i="1"/>
  <c r="Q111" i="1" s="1"/>
  <c r="B1867" i="2"/>
  <c r="B1868" i="2" s="1"/>
  <c r="P233" i="1" s="1"/>
  <c r="Q233" i="1" s="1"/>
  <c r="F1346" i="2"/>
  <c r="G1346" i="2" s="1"/>
  <c r="G1348" i="2" s="1"/>
  <c r="G1349" i="2" s="1"/>
  <c r="B1350" i="2" s="1"/>
  <c r="P333" i="1"/>
  <c r="Q333" i="1" s="1"/>
  <c r="P307" i="1"/>
  <c r="Q307" i="1" s="1"/>
  <c r="P302" i="1"/>
  <c r="Q302" i="1" s="1"/>
  <c r="P328" i="1"/>
  <c r="Q328" i="1" s="1"/>
  <c r="P58" i="1"/>
  <c r="Q58" i="1" s="1"/>
  <c r="Q62" i="1" s="1"/>
  <c r="Q73" i="1" s="1"/>
  <c r="B1658" i="2"/>
  <c r="B1659" i="2" s="1"/>
  <c r="P226" i="1" s="1"/>
  <c r="Q226" i="1" s="1"/>
  <c r="B1290" i="2"/>
  <c r="B1291" i="2" s="1"/>
  <c r="B928" i="2"/>
  <c r="B929" i="2" s="1"/>
  <c r="P122" i="1" s="1"/>
  <c r="Q122" i="1" s="1"/>
  <c r="Q129" i="1" s="1"/>
  <c r="B1462" i="2"/>
  <c r="B1463" i="2" s="1"/>
  <c r="P321" i="1" s="1"/>
  <c r="Q321" i="1" s="1"/>
  <c r="B1674" i="2"/>
  <c r="B1675" i="2" s="1"/>
  <c r="P223" i="1" s="1"/>
  <c r="Q223" i="1" s="1"/>
  <c r="G1181" i="2"/>
  <c r="B1182" i="2" s="1"/>
  <c r="B1184" i="2" s="1"/>
  <c r="G686" i="2"/>
  <c r="B687" i="2" s="1"/>
  <c r="B689" i="2" s="1"/>
  <c r="G668" i="2"/>
  <c r="B669" i="2" s="1"/>
  <c r="B671" i="2" s="1"/>
  <c r="F567" i="2"/>
  <c r="G567" i="2" s="1"/>
  <c r="G569" i="2" s="1"/>
  <c r="G570" i="2" s="1"/>
  <c r="B571" i="2" s="1"/>
  <c r="G1241" i="7"/>
  <c r="G1711" i="7"/>
  <c r="F1315" i="2"/>
  <c r="G1315" i="2" s="1"/>
  <c r="G1317" i="2" s="1"/>
  <c r="G1318" i="2" s="1"/>
  <c r="B1319" i="2" s="1"/>
  <c r="G1793" i="7"/>
  <c r="F1377" i="2"/>
  <c r="G1377" i="2" s="1"/>
  <c r="G1379" i="2" s="1"/>
  <c r="G1380" i="2" s="1"/>
  <c r="B1381" i="2" s="1"/>
  <c r="G1767" i="7"/>
  <c r="P260" i="1"/>
  <c r="Q260" i="1" s="1"/>
  <c r="Q261" i="1" s="1"/>
  <c r="Q113" i="1" l="1"/>
  <c r="Q118" i="1" s="1"/>
  <c r="C16" i="5" s="1"/>
  <c r="C18" i="5"/>
  <c r="B1383" i="2"/>
  <c r="B1384" i="2" s="1"/>
  <c r="P135" i="1" s="1"/>
  <c r="Q135" i="1" s="1"/>
  <c r="B573" i="2"/>
  <c r="B574" i="2" s="1"/>
  <c r="P76" i="1" s="1"/>
  <c r="Q76" i="1" s="1"/>
  <c r="Q77" i="1" s="1"/>
  <c r="B1352" i="2"/>
  <c r="B1353" i="2" s="1"/>
  <c r="P134" i="1" s="1"/>
  <c r="Q134" i="1" s="1"/>
  <c r="B1321" i="2"/>
  <c r="B1322" i="2" s="1"/>
  <c r="P136" i="1" s="1"/>
  <c r="Q136" i="1" s="1"/>
  <c r="B1185" i="2"/>
  <c r="B672" i="2"/>
  <c r="P102" i="1" s="1"/>
  <c r="Q102" i="1" s="1"/>
  <c r="B690" i="2"/>
  <c r="P103" i="1" s="1"/>
  <c r="Q103" i="1" s="1"/>
  <c r="C10" i="5" l="1"/>
  <c r="P142" i="1"/>
  <c r="Q142" i="1" s="1"/>
  <c r="P316" i="1"/>
  <c r="Q316" i="1" s="1"/>
  <c r="P352" i="1"/>
  <c r="Q352" i="1" s="1"/>
  <c r="Q357" i="1" s="1"/>
  <c r="P339" i="1"/>
  <c r="Q339" i="1" s="1"/>
  <c r="Q343" i="1" s="1"/>
  <c r="P317" i="1"/>
  <c r="Q317" i="1" s="1"/>
  <c r="Q323" i="1" l="1"/>
  <c r="Q361" i="1" s="1"/>
  <c r="G1416" i="2"/>
  <c r="B1417" i="2" s="1"/>
  <c r="P248" i="1"/>
  <c r="Q248" i="1" s="1"/>
  <c r="Q253" i="1"/>
  <c r="H21" i="4"/>
  <c r="G21" i="4"/>
  <c r="H38" i="4"/>
  <c r="I38" i="4" s="1"/>
  <c r="H39" i="4"/>
  <c r="I39" i="4" s="1"/>
  <c r="C22" i="5" l="1"/>
  <c r="I40" i="4"/>
  <c r="B1419" i="2"/>
  <c r="B1420" i="2" s="1"/>
  <c r="P144" i="1" s="1"/>
  <c r="Q144" i="1" s="1"/>
  <c r="Q107" i="1"/>
  <c r="L83" i="1"/>
  <c r="C14" i="5" l="1"/>
  <c r="Q85" i="1"/>
  <c r="Q191" i="1"/>
  <c r="Q189" i="1"/>
  <c r="P188" i="1"/>
  <c r="Q188" i="1" s="1"/>
  <c r="Q187" i="1"/>
  <c r="P239" i="1"/>
  <c r="Q239" i="1" s="1"/>
  <c r="Q235" i="1"/>
  <c r="Q168" i="1"/>
  <c r="Q211" i="1" l="1"/>
  <c r="Q87" i="1"/>
  <c r="Q86" i="1"/>
  <c r="Q88" i="1"/>
  <c r="Q251" i="1"/>
  <c r="Q240" i="1"/>
  <c r="G2172" i="2"/>
  <c r="B2173" i="2" s="1"/>
  <c r="P166" i="1"/>
  <c r="Q166" i="1" s="1"/>
  <c r="Q181" i="1" s="1"/>
  <c r="P133" i="1"/>
  <c r="Q133" i="1" s="1"/>
  <c r="Q164" i="1" s="1"/>
  <c r="Q258" i="1" l="1"/>
  <c r="Q281" i="1" s="1"/>
  <c r="Q90" i="1"/>
  <c r="Q96" i="1" s="1"/>
  <c r="B2175" i="2"/>
  <c r="B2176" i="2" s="1"/>
  <c r="N41" i="4"/>
  <c r="O42" i="4" l="1"/>
  <c r="O41" i="4"/>
  <c r="P37" i="1" l="1"/>
  <c r="Q37" i="1" s="1"/>
  <c r="O43" i="4"/>
  <c r="O44" i="4" s="1"/>
  <c r="P27" i="1" s="1"/>
  <c r="Q27" i="1" s="1"/>
  <c r="P35" i="1" l="1"/>
  <c r="Q35" i="1" s="1"/>
  <c r="P11" i="1"/>
  <c r="Q11" i="1" s="1"/>
  <c r="Q13" i="1" s="1"/>
  <c r="B8" i="5" l="1"/>
  <c r="B6" i="5"/>
  <c r="C12" i="5" l="1"/>
  <c r="A8" i="5" l="1"/>
  <c r="A6" i="5"/>
  <c r="D21" i="4" l="1"/>
  <c r="L17" i="4"/>
  <c r="M17" i="4" s="1"/>
  <c r="N17" i="4" s="1"/>
  <c r="O17" i="4" s="1"/>
  <c r="L16" i="4"/>
  <c r="M16" i="4" s="1"/>
  <c r="N16" i="4" s="1"/>
  <c r="O16" i="4" s="1"/>
  <c r="L15" i="4"/>
  <c r="M15" i="4" s="1"/>
  <c r="N15" i="4" s="1"/>
  <c r="O15" i="4" s="1"/>
  <c r="L14" i="4"/>
  <c r="L13" i="4"/>
  <c r="M13" i="4" s="1"/>
  <c r="N13" i="4" s="1"/>
  <c r="O13" i="4" s="1"/>
  <c r="L12" i="4"/>
  <c r="M12" i="4" s="1"/>
  <c r="N12" i="4" s="1"/>
  <c r="O12" i="4" s="1"/>
  <c r="L11" i="4"/>
  <c r="M14" i="4" l="1"/>
  <c r="N14" i="4" s="1"/>
  <c r="O14" i="4" s="1"/>
  <c r="L21" i="4"/>
  <c r="M11" i="4"/>
  <c r="M21" i="4" l="1"/>
  <c r="N11" i="4"/>
  <c r="O11" i="4" s="1"/>
  <c r="O22" i="4" l="1"/>
  <c r="O23" i="4" l="1"/>
  <c r="O24" i="4" s="1"/>
  <c r="O25" i="4" s="1"/>
  <c r="P25" i="1" l="1"/>
  <c r="Q25" i="1" s="1"/>
  <c r="Q28" i="1" l="1"/>
  <c r="Q45" i="1" s="1"/>
  <c r="Q363" i="1" s="1"/>
  <c r="C20" i="5"/>
  <c r="C8" i="5"/>
  <c r="S364" i="1" l="1"/>
  <c r="C6" i="5"/>
  <c r="C26" i="5" s="1"/>
  <c r="D18" i="5" l="1"/>
  <c r="D22" i="5"/>
  <c r="D20" i="5"/>
  <c r="D16" i="5"/>
  <c r="D26" i="5"/>
  <c r="D12" i="5"/>
  <c r="D14" i="5"/>
  <c r="D6" i="5"/>
  <c r="D10" i="5"/>
  <c r="D8" i="5"/>
</calcChain>
</file>

<file path=xl/comments1.xml><?xml version="1.0" encoding="utf-8"?>
<comments xmlns="http://schemas.openxmlformats.org/spreadsheetml/2006/main">
  <authors>
    <author>JacobsGuimar</author>
  </authors>
  <commentList>
    <comment ref="P9" authorId="0" shapeId="0">
      <text>
        <r>
          <rPr>
            <sz val="9"/>
            <color indexed="81"/>
            <rFont val="Segoe UI"/>
            <family val="2"/>
          </rPr>
          <t>PREÇO EMOP 01/2018 (SEM TAXAS+LS)XBDI</t>
        </r>
      </text>
    </comment>
    <comment ref="C295" authorId="0" shapeId="0">
      <text>
        <r>
          <rPr>
            <sz val="9"/>
            <color indexed="81"/>
            <rFont val="Segoe UI"/>
            <family val="2"/>
          </rPr>
          <t>9,42KG/M2</t>
        </r>
      </text>
    </comment>
  </commentList>
</comments>
</file>

<file path=xl/comments2.xml><?xml version="1.0" encoding="utf-8"?>
<comments xmlns="http://schemas.openxmlformats.org/spreadsheetml/2006/main">
  <authors>
    <author>JacobsGuimar</author>
  </authors>
  <commentList>
    <comment ref="J23" authorId="0" shapeId="0">
      <text>
        <r>
          <rPr>
            <sz val="9"/>
            <color indexed="81"/>
            <rFont val="Segoe UI"/>
            <family val="2"/>
          </rPr>
          <t xml:space="preserve">comprimento do semi-arco retirado do Cad
</t>
        </r>
      </text>
    </comment>
    <comment ref="F226" authorId="0" shapeId="0">
      <text>
        <r>
          <rPr>
            <sz val="9"/>
            <color indexed="81"/>
            <rFont val="Segoe UI"/>
            <family val="2"/>
          </rPr>
          <t>kg/m2</t>
        </r>
      </text>
    </comment>
    <comment ref="F229" authorId="0" shapeId="0">
      <text>
        <r>
          <rPr>
            <sz val="9"/>
            <color indexed="81"/>
            <rFont val="Segoe UI"/>
            <family val="2"/>
          </rPr>
          <t xml:space="preserve">empolamento 30%
</t>
        </r>
      </text>
    </comment>
    <comment ref="F251" authorId="0" shapeId="0">
      <text>
        <r>
          <rPr>
            <sz val="9"/>
            <color indexed="81"/>
            <rFont val="Segoe UI"/>
            <family val="2"/>
          </rPr>
          <t>kg/m2</t>
        </r>
      </text>
    </comment>
    <comment ref="F254" authorId="0" shapeId="0">
      <text>
        <r>
          <rPr>
            <sz val="9"/>
            <color indexed="81"/>
            <rFont val="Segoe UI"/>
            <family val="2"/>
          </rPr>
          <t xml:space="preserve">empolamento 30%
</t>
        </r>
      </text>
    </comment>
    <comment ref="F294" authorId="0" shapeId="0">
      <text>
        <r>
          <rPr>
            <sz val="9"/>
            <color indexed="81"/>
            <rFont val="Segoe UI"/>
            <family val="2"/>
          </rPr>
          <t>volume do tubo</t>
        </r>
      </text>
    </comment>
  </commentList>
</comments>
</file>

<file path=xl/sharedStrings.xml><?xml version="1.0" encoding="utf-8"?>
<sst xmlns="http://schemas.openxmlformats.org/spreadsheetml/2006/main" count="11368" uniqueCount="2503">
  <si>
    <t xml:space="preserve"> </t>
  </si>
  <si>
    <t>cj</t>
  </si>
  <si>
    <t/>
  </si>
  <si>
    <t>m³</t>
  </si>
  <si>
    <t>m</t>
  </si>
  <si>
    <t>un</t>
  </si>
  <si>
    <t>1.1</t>
  </si>
  <si>
    <t>1.2</t>
  </si>
  <si>
    <t>1.3</t>
  </si>
  <si>
    <t>3.1</t>
  </si>
  <si>
    <t>4.1</t>
  </si>
  <si>
    <t xml:space="preserve">Total item:   1   </t>
  </si>
  <si>
    <t>m²</t>
  </si>
  <si>
    <t xml:space="preserve">Total item:   2 </t>
  </si>
  <si>
    <t>2.1</t>
  </si>
  <si>
    <t>2.2</t>
  </si>
  <si>
    <t>5.1</t>
  </si>
  <si>
    <t>mês</t>
  </si>
  <si>
    <t>Item</t>
  </si>
  <si>
    <t>Descrição</t>
  </si>
  <si>
    <t>1.1.1</t>
  </si>
  <si>
    <t>1.2.1</t>
  </si>
  <si>
    <t>1.3.1</t>
  </si>
  <si>
    <t>1.1.2</t>
  </si>
  <si>
    <t>1.</t>
  </si>
  <si>
    <t>2.</t>
  </si>
  <si>
    <t>3.</t>
  </si>
  <si>
    <t>4.</t>
  </si>
  <si>
    <t>5.</t>
  </si>
  <si>
    <t>6.</t>
  </si>
  <si>
    <t>Código</t>
  </si>
  <si>
    <t>Administração local da obra - Despesas diversas</t>
  </si>
  <si>
    <t>ITEM</t>
  </si>
  <si>
    <t>CÓDIGO</t>
  </si>
  <si>
    <t>DISCRIMINAÇÃO</t>
  </si>
  <si>
    <t xml:space="preserve">B.D.I. - BONIFICAÇÃO E DESPESAS INDIRETAS </t>
  </si>
  <si>
    <t>CUSTO UNITÁRIO DA REFEIÇÃO</t>
  </si>
  <si>
    <t>CAFÉ DA MANHÃ</t>
  </si>
  <si>
    <t>ALMOÇO / JANTAR</t>
  </si>
  <si>
    <t>FUNCIONÁRIOS</t>
  </si>
  <si>
    <t>CUSTO TOTAL ALIMENTAÇÃO (R$)</t>
  </si>
  <si>
    <t>QUANT.</t>
  </si>
  <si>
    <t>Permanência Obra (mêses)</t>
  </si>
  <si>
    <t>Consumo por Mês</t>
  </si>
  <si>
    <t>Valor Custo (R$)</t>
  </si>
  <si>
    <t>Refeições por Dia</t>
  </si>
  <si>
    <t>Dias</t>
  </si>
  <si>
    <t>Refeições</t>
  </si>
  <si>
    <t>Mensal</t>
  </si>
  <si>
    <t>Esta Obra</t>
  </si>
  <si>
    <t>ALIMENTAÇÃO DO PESSOAL</t>
  </si>
  <si>
    <t>ADMINISTRAÇÃO DIRETA</t>
  </si>
  <si>
    <t>1.3.2</t>
  </si>
  <si>
    <t>T205</t>
  </si>
  <si>
    <t>Apontador</t>
  </si>
  <si>
    <t>1.3.3</t>
  </si>
  <si>
    <t>1.3.4</t>
  </si>
  <si>
    <t>T240</t>
  </si>
  <si>
    <t xml:space="preserve">Laboratorista </t>
  </si>
  <si>
    <t>T500</t>
  </si>
  <si>
    <t>Encarregado Geral</t>
  </si>
  <si>
    <t>T702</t>
  </si>
  <si>
    <t>Ajudante</t>
  </si>
  <si>
    <t>T708</t>
  </si>
  <si>
    <t>T710</t>
  </si>
  <si>
    <t>T730</t>
  </si>
  <si>
    <t>SUB-TOTAIS PREVISTOS</t>
  </si>
  <si>
    <t>CUSTO DIRETO (MENSAL / TOTAL) PARA ESTA OBRA (R$)</t>
  </si>
  <si>
    <t xml:space="preserve">PRAZO TOTAL PREVISTO PARA A OBRA = </t>
  </si>
  <si>
    <t>MESES</t>
  </si>
  <si>
    <t>PREÇO TOTAL PARA ESTA OBRA (Custo Direto + B.D.I)</t>
  </si>
  <si>
    <t>VALOR MÉDIO MENSAL DA DESPESA COM ALIMENTAÇÃO DO PESSOAL DA ADMINISTRAÇÃO DIRETA (Custo Direto + B.D.I)</t>
  </si>
  <si>
    <t>Pedreiro</t>
  </si>
  <si>
    <t>Quadro resumo do orçamento</t>
  </si>
  <si>
    <t xml:space="preserve">Descrição  </t>
  </si>
  <si>
    <t>Valor</t>
  </si>
  <si>
    <t>%</t>
  </si>
  <si>
    <t>TOTAL GERAL</t>
  </si>
  <si>
    <t>DESCRIÇÃO</t>
  </si>
  <si>
    <t>Un</t>
  </si>
  <si>
    <t xml:space="preserve"> Alimentação do pessoal</t>
  </si>
  <si>
    <t>PRÓPRIA</t>
  </si>
  <si>
    <t>Class</t>
  </si>
  <si>
    <t>Coef</t>
  </si>
  <si>
    <t>Preço unitário (R$) sem taxas</t>
  </si>
  <si>
    <t>Total (R$) sem taxas</t>
  </si>
  <si>
    <t>Consumo</t>
  </si>
  <si>
    <t>12892</t>
  </si>
  <si>
    <t>LUVA RASPA DE COURO, CANO CURTO (PUNHO *7* CM)</t>
  </si>
  <si>
    <t>MAT</t>
  </si>
  <si>
    <t>12893</t>
  </si>
  <si>
    <t>BOTA DE SEGURANCA COM BIQUEIRA DE ACO E COLARINHO ACOLCHOADO</t>
  </si>
  <si>
    <t>Total mão-de-obra, sem taxas (R$):</t>
  </si>
  <si>
    <t>0,00</t>
  </si>
  <si>
    <t>Total outros itens, sem taxas (R$):</t>
  </si>
  <si>
    <t>Total geral, sem taxas (R$):</t>
  </si>
  <si>
    <t>Valores Totais (R$)</t>
  </si>
  <si>
    <t xml:space="preserve">Sem taxas: </t>
  </si>
  <si>
    <t xml:space="preserve">Com taxas: </t>
  </si>
  <si>
    <t>m2</t>
  </si>
  <si>
    <t>1</t>
  </si>
  <si>
    <t>kg</t>
  </si>
  <si>
    <t>MOD</t>
  </si>
  <si>
    <t>h</t>
  </si>
  <si>
    <t>SER</t>
  </si>
  <si>
    <t>88316U</t>
  </si>
  <si>
    <t>SERVENTE COM ENCARGOS COMPLEMENTARES</t>
  </si>
  <si>
    <t>m3</t>
  </si>
  <si>
    <t>Administração da Obra</t>
  </si>
  <si>
    <t>7.</t>
  </si>
  <si>
    <t>PEDREIRO COM ENCARGOS COMPLEMENTARES</t>
  </si>
  <si>
    <t>uni</t>
  </si>
  <si>
    <t>0,8</t>
  </si>
  <si>
    <t>PEDREIRO</t>
  </si>
  <si>
    <t>5.2</t>
  </si>
  <si>
    <t>5.5</t>
  </si>
  <si>
    <t>CARPINTEIRO DE FORMAS COM ENCARGOS COMPLEMENTARES</t>
  </si>
  <si>
    <t>SERVIÇOS PRELIMINARES</t>
  </si>
  <si>
    <t>4813</t>
  </si>
  <si>
    <t>PREGO DE ACO POLIDO COM CABECA 18 X 30 (2 3/4 X 10)</t>
  </si>
  <si>
    <t>SINAPI 74209</t>
  </si>
  <si>
    <t>Pedreiros</t>
  </si>
  <si>
    <t>Carpinteiros</t>
  </si>
  <si>
    <t>Eletricistas</t>
  </si>
  <si>
    <t>custo</t>
  </si>
  <si>
    <t>6,45</t>
  </si>
  <si>
    <t>5</t>
  </si>
  <si>
    <t>Transporte</t>
  </si>
  <si>
    <t>TRANSPORTE DA EQUIPE</t>
  </si>
  <si>
    <t>Alvarás entre outras - Ex.: CREA, INSS, Prefeitura Municipal, etc. fornecendo todos os comprovantes para o SESC</t>
  </si>
  <si>
    <t>PROPRIO</t>
  </si>
  <si>
    <t>Aluguel de Van com 14 lugares</t>
  </si>
  <si>
    <t>20039</t>
  </si>
  <si>
    <t>MAO-DE-OBRA DE BOMBEIRO HIDRAULICO DA CONSTRUCAO CIVIL, INCLUSIVE ENCARGOS SOCIAIS DESONERADOS</t>
  </si>
  <si>
    <t>16,35</t>
  </si>
  <si>
    <t>Combustivel</t>
  </si>
  <si>
    <t>pt</t>
  </si>
  <si>
    <t>SINAPI  89957</t>
  </si>
  <si>
    <t>Código:   15.004.0010-A</t>
  </si>
  <si>
    <t>1,17</t>
  </si>
  <si>
    <t>4,944</t>
  </si>
  <si>
    <t>20132</t>
  </si>
  <si>
    <t>MAO-DE-OBRA DE SERVENTE DA CONSTRUCAO CIVIL, INCLUSIVE ENCARGOS SOCIAIS DESONERADOS</t>
  </si>
  <si>
    <t>11,83</t>
  </si>
  <si>
    <t>Alça para barrilete de distribuição do tipo concentrado, sobalça para barrilete de distribuição do tipo concentrado, sobreservatorio duplo, inclusive ramais para extravasor e limpeza</t>
  </si>
  <si>
    <t>EMOP 15.004.0010-A</t>
  </si>
  <si>
    <t>Descrição:   Reservatório para água em fibra de vidro, 1.000 litros com tampa</t>
  </si>
  <si>
    <t>2C 03 08 04 13 11</t>
  </si>
  <si>
    <t>Adesivo para PVC</t>
  </si>
  <si>
    <t>0,05</t>
  </si>
  <si>
    <t>55,68</t>
  </si>
  <si>
    <t>2C 03 08 06 15 06</t>
  </si>
  <si>
    <t>Massa para calafetação</t>
  </si>
  <si>
    <t>0,155</t>
  </si>
  <si>
    <t>26,06</t>
  </si>
  <si>
    <t>2C 03 10 02 11 06</t>
  </si>
  <si>
    <t>Solução limpadora para PVC</t>
  </si>
  <si>
    <t>l</t>
  </si>
  <si>
    <t>34,59</t>
  </si>
  <si>
    <t>2C 10 11 05 11 04</t>
  </si>
  <si>
    <t>Reservatório para água em fibra de vidro, 1.000 litros, com tampa</t>
  </si>
  <si>
    <t>327,00</t>
  </si>
  <si>
    <t>2C 10 12 04 00 10</t>
  </si>
  <si>
    <t>Registro PVC de esfera soldável Ø 25 mm</t>
  </si>
  <si>
    <t>18,08</t>
  </si>
  <si>
    <t>2C 10 12 04 00 11</t>
  </si>
  <si>
    <t>Registro PVC de esfera soldável Ø 32 mm</t>
  </si>
  <si>
    <t>25,12</t>
  </si>
  <si>
    <t>2C 10 12 04 00 13</t>
  </si>
  <si>
    <t>Registro PVC de esfera soldável Ø 50 mm</t>
  </si>
  <si>
    <t>40,89</t>
  </si>
  <si>
    <t>2C 10 18 00 50 46</t>
  </si>
  <si>
    <t>Fita de vedação para tubos e conexões roscáveis, rolo de 50 m x 18 mm</t>
  </si>
  <si>
    <t>0,35</t>
  </si>
  <si>
    <t>2C 10 20 00 00 12</t>
  </si>
  <si>
    <t>Adaptador PVC soldável com flanges e anel para caixa d' água Ø 25 mm x 3/4"</t>
  </si>
  <si>
    <t>11,76</t>
  </si>
  <si>
    <t>2C 10 20 00 00 13</t>
  </si>
  <si>
    <t>Adaptador PVC soldável com flanges e anel para caixa d' água Ø 32 mm x 1"</t>
  </si>
  <si>
    <t>21,00</t>
  </si>
  <si>
    <t>2C 10 20 00 00 15</t>
  </si>
  <si>
    <t>Adaptador PVC soldável com flanges e anel para caixa d' água Ø 50 mm x 1 1/2"</t>
  </si>
  <si>
    <t>28,45</t>
  </si>
  <si>
    <t>2C 10 22 03 00 68</t>
  </si>
  <si>
    <t>Joelho 90º PVC soldável Ø 25 mm</t>
  </si>
  <si>
    <t>0,54</t>
  </si>
  <si>
    <t>2C 10 22 03 00 69</t>
  </si>
  <si>
    <t>Joelho 90º PVC soldável Ø 32 mm</t>
  </si>
  <si>
    <t>2C 10 22 03 00 71</t>
  </si>
  <si>
    <t>Joelho 90º PVC soldável Ø 50 mm</t>
  </si>
  <si>
    <t>3,31</t>
  </si>
  <si>
    <t>2C 12 02 00 01 01</t>
  </si>
  <si>
    <t>Torneira de boia em PVC para caixa d'água Ø 3/4"</t>
  </si>
  <si>
    <t>48,48</t>
  </si>
  <si>
    <t>2C 12 14 00 60 73</t>
  </si>
  <si>
    <t>Tubo PVC soldável Ø 25 mm</t>
  </si>
  <si>
    <t>3,26</t>
  </si>
  <si>
    <t>2C 12 14 00 60 74</t>
  </si>
  <si>
    <t>Tubo PVC soldável Ø 32 mm</t>
  </si>
  <si>
    <t>8,49</t>
  </si>
  <si>
    <t>2C 12 14 00 60 76</t>
  </si>
  <si>
    <t>Tubo PVC soldável Ø 50 mm</t>
  </si>
  <si>
    <t>14,00</t>
  </si>
  <si>
    <t>2C 12 14 06 65 73</t>
  </si>
  <si>
    <t>Tê 90º PVC soldável Ø 32 mm</t>
  </si>
  <si>
    <t>3,25</t>
  </si>
  <si>
    <t>2C 12 14 06 65 75</t>
  </si>
  <si>
    <t>Tê 90º PVC soldável Ø 50 mm</t>
  </si>
  <si>
    <t>8,29</t>
  </si>
  <si>
    <t>11795</t>
  </si>
  <si>
    <t>37329</t>
  </si>
  <si>
    <t>REJUNTE EPOXI BRANCO</t>
  </si>
  <si>
    <t>0,0257</t>
  </si>
  <si>
    <t>37590</t>
  </si>
  <si>
    <t>SUPORTE MAO-FRANCESA EM ACO, ABAS IGUAIS 30 CM, CAPACIDADE MINIMA 60 KG, BRANCO</t>
  </si>
  <si>
    <t>4823</t>
  </si>
  <si>
    <t>MASSA PLASTICA PARA MARMORE/GRANITO</t>
  </si>
  <si>
    <t>0,3844</t>
  </si>
  <si>
    <t>7568</t>
  </si>
  <si>
    <t>BUCHA DE NYLON SEM ABA S10, COM PARAFUSO DE 6,10 X 65 MM EM ACO ZINCADO COM ROSCA SOBERBA, CABECA CHATA E FENDA PHILLIPS</t>
  </si>
  <si>
    <t>0,43</t>
  </si>
  <si>
    <t>MARMORISTA/GRANITEIRO COM ENCARGOS COMPLEMENTARES</t>
  </si>
  <si>
    <t>1,92</t>
  </si>
  <si>
    <t>0,98</t>
  </si>
  <si>
    <t>86879U</t>
  </si>
  <si>
    <t>VÁLVULA EM PLÁSTICO 1" PARA PIA, TANQUE OU LAVATÓRIO, COM OU SEM LADRÃO - FORNECIMENTO E INSTALAÇÃO. AF_12/2013</t>
  </si>
  <si>
    <t>5,35</t>
  </si>
  <si>
    <t>86883U</t>
  </si>
  <si>
    <t>SIFÃO DO TIPO FLEXÍVEL EM PVC 1? X 1.1/2? - FORNECIMENTO E INSTALAÇÃO. AF_12/2013</t>
  </si>
  <si>
    <t>10,25</t>
  </si>
  <si>
    <t>86884U</t>
  </si>
  <si>
    <t>ENGATE FLEXÍVEL EM PLÁSTICO BRANCO, 1/2" X 30CM - FORNECIMENTO E INSTALAÇÃO. AF_12/2013</t>
  </si>
  <si>
    <t>6,64</t>
  </si>
  <si>
    <t>86904U</t>
  </si>
  <si>
    <t>LAVATÓRIO LOUÇA BRANCA SUSPENSO, 29,5 X 39CM OU EQUIVALENTE, PADRÃO POPULAR - FORNECIMENTO E INSTALAÇÃO. AF_12/2013</t>
  </si>
  <si>
    <t>113,01</t>
  </si>
  <si>
    <t>TORNEIRA CROMADA DE MESA, 1/2" OU 3/4", PARA LAVATÓRIO, PADRÃO POPULAR - FORNECIMENTO E INSTALAÇÃO. AF_12/2013</t>
  </si>
  <si>
    <t>36,01</t>
  </si>
  <si>
    <t>9,92</t>
  </si>
  <si>
    <t>161,34</t>
  </si>
  <si>
    <t>171,26</t>
  </si>
  <si>
    <t>3146</t>
  </si>
  <si>
    <t>FITA VEDA ROSCA EM ROLOS DE 18 MM X 10 M (L X C)</t>
  </si>
  <si>
    <t>0,0304</t>
  </si>
  <si>
    <t>88267U</t>
  </si>
  <si>
    <t>ENCANADOR OU BOMBEIRO HIDRÁULICO COM ENCARGOS COMPLEMENTARES</t>
  </si>
  <si>
    <t>14,12</t>
  </si>
  <si>
    <t>SINAPI  86915</t>
  </si>
  <si>
    <t>0,07</t>
  </si>
  <si>
    <t>ELETRICISTA COM ENCARGOS COMPLEMENTARES</t>
  </si>
  <si>
    <t>0,3</t>
  </si>
  <si>
    <t>Código:   3R 23 14 00 00 39 10 01 05</t>
  </si>
  <si>
    <t>Ponto de esgoto primário com tubo PVC e conexões Ø 100 mm</t>
  </si>
  <si>
    <t>TCPO  3R 23 14 00 00 39 10 01 05</t>
  </si>
  <si>
    <t>3</t>
  </si>
  <si>
    <t>Ponto de esgoto secundário com tubo PVC e conexões Ø 50 mm</t>
  </si>
  <si>
    <t>TCPO  3R 23 14 00 00 39 10 01 06</t>
  </si>
  <si>
    <t>11741</t>
  </si>
  <si>
    <t>RALO SIFONADO PVC CILINDRICO, 100 X 40 MM,  COM GRELHA REDONDA BRANCA</t>
  </si>
  <si>
    <t>5,05</t>
  </si>
  <si>
    <t>122</t>
  </si>
  <si>
    <t>ADESIVO PLASTICO PARA PVC, FRASCO COM 850 GR</t>
  </si>
  <si>
    <t>0,0049</t>
  </si>
  <si>
    <t>37,67</t>
  </si>
  <si>
    <t>0,18</t>
  </si>
  <si>
    <t>20083</t>
  </si>
  <si>
    <t>SOLUCAO LIMPADORA PARA PVC, FRASCO COM 1000 CM3</t>
  </si>
  <si>
    <t>0,0075</t>
  </si>
  <si>
    <t>32,71</t>
  </si>
  <si>
    <t>38383</t>
  </si>
  <si>
    <t>LIXA DAGUA EM FOLHA, GRAO 100</t>
  </si>
  <si>
    <t>0,017</t>
  </si>
  <si>
    <t>1,72</t>
  </si>
  <si>
    <t>88248U</t>
  </si>
  <si>
    <t>AUXILIAR DE ENCANADOR OU BOMBEIRO HIDRÁULICO COM ENCARGOS COMPLEMENTARES</t>
  </si>
  <si>
    <t>1,12</t>
  </si>
  <si>
    <t>6,21</t>
  </si>
  <si>
    <t>7,33</t>
  </si>
  <si>
    <t>790</t>
  </si>
  <si>
    <t>07.007.0010-B</t>
  </si>
  <si>
    <t>ARGAMASSA CIM.,SAIBRO,AREIA 1:2:2,PREPARO MECANICO</t>
  </si>
  <si>
    <t>255,14</t>
  </si>
  <si>
    <t>11.001.0001-B</t>
  </si>
  <si>
    <t>CONCRETO FCK 10MPA</t>
  </si>
  <si>
    <t>0,0336</t>
  </si>
  <si>
    <t>209,41</t>
  </si>
  <si>
    <t>11.001.0005-B</t>
  </si>
  <si>
    <t>CONCRETO FCK 15MPA</t>
  </si>
  <si>
    <t>0,0672</t>
  </si>
  <si>
    <t>225,07</t>
  </si>
  <si>
    <t>11.002.0013-B</t>
  </si>
  <si>
    <t>PREPARO CONCR. BETON. 320L; 2,0M3/H</t>
  </si>
  <si>
    <t>0,39</t>
  </si>
  <si>
    <t>58,50</t>
  </si>
  <si>
    <t>11.002.0035-B</t>
  </si>
  <si>
    <t>LANCAMENTO CONC.S/ARM.2,0M3/H, HORIZ.</t>
  </si>
  <si>
    <t>54,03</t>
  </si>
  <si>
    <t>11.013.0003-B</t>
  </si>
  <si>
    <t>VERGAS CONCR. ARMADO P/ ALVEN.</t>
  </si>
  <si>
    <t>0,02</t>
  </si>
  <si>
    <t>1297,42</t>
  </si>
  <si>
    <t>13.001.0025-B</t>
  </si>
  <si>
    <t>EMBOCO ARG. CIM. E AREIA TRACO 1:3</t>
  </si>
  <si>
    <t>2,88</t>
  </si>
  <si>
    <t>20,65</t>
  </si>
  <si>
    <t>20115</t>
  </si>
  <si>
    <t>MAO-DE-OBRA DE PEDREIRO, INCLUSIVE ENCARGOS SOCIAIS DESONERADOS</t>
  </si>
  <si>
    <t>8,5284</t>
  </si>
  <si>
    <t>355,79</t>
  </si>
  <si>
    <t>698,35</t>
  </si>
  <si>
    <t>1.054,14</t>
  </si>
  <si>
    <t>Descrição:   CAIXA DE GORDURA ESPECIAL EM ALVENARIA DE TIJOLOS MACICOS(7X10X20CM),EM PAREDES DE UMA VEZ(0,20M),MEDINDO 0,80X0,80X0,90M,INCLUSIVE REVESTIMENTO INTERNO EM ARGAMASSA DE CIMENTO E AREIA NO TRACO , CONSTRUÍDO CONFORME PROJETO</t>
  </si>
  <si>
    <t>Código:   401530</t>
  </si>
  <si>
    <t>Descrição:   CAIXA DE INSPECAO DE ESGOTO 80X80X120CM</t>
  </si>
  <si>
    <t>000040</t>
  </si>
  <si>
    <t>ESCAVACAO MANUAL EM VALA ATE 2M</t>
  </si>
  <si>
    <t>1,2</t>
  </si>
  <si>
    <t>000090</t>
  </si>
  <si>
    <t>APILOAMENTO MANUAL</t>
  </si>
  <si>
    <t>0,64</t>
  </si>
  <si>
    <t>000130</t>
  </si>
  <si>
    <t>CONCRETO CONSUMO 161KG CIMENTO/M3 1:4:8 BETONEIRA COM LANCAMENTO</t>
  </si>
  <si>
    <t>0,064</t>
  </si>
  <si>
    <t>000150</t>
  </si>
  <si>
    <t>REATERRO APILOADO DE VALA</t>
  </si>
  <si>
    <t>000270</t>
  </si>
  <si>
    <t>CONCRETO BETONEIRA 15MPa COM LANCAMENTO</t>
  </si>
  <si>
    <t>000510</t>
  </si>
  <si>
    <t>CHAPISCO 1:3 VERTICAL</t>
  </si>
  <si>
    <t>2,64</t>
  </si>
  <si>
    <t>000570</t>
  </si>
  <si>
    <t>EMBOCO 1:3 VERTICAL E=15MM COM IMPERMEABILIZANTE</t>
  </si>
  <si>
    <t>000700</t>
  </si>
  <si>
    <t>ALVENARIA DE TIJOLO DE BARRO E=10CM</t>
  </si>
  <si>
    <t>3,36</t>
  </si>
  <si>
    <t>001000</t>
  </si>
  <si>
    <t>FORMA DE TABUA FUNDACAO</t>
  </si>
  <si>
    <t>002381</t>
  </si>
  <si>
    <t>ACO CA 50 (MEDIA)</t>
  </si>
  <si>
    <t>1,28</t>
  </si>
  <si>
    <t>152030</t>
  </si>
  <si>
    <t>TUBO PVC 100MM JE - ESG</t>
  </si>
  <si>
    <t>152080</t>
  </si>
  <si>
    <t>COTOVELO 90o PVC 100MM JE - ESG</t>
  </si>
  <si>
    <t>UN</t>
  </si>
  <si>
    <t>H</t>
  </si>
  <si>
    <t>M</t>
  </si>
  <si>
    <t>Código:   09-11-05</t>
  </si>
  <si>
    <t>Descrição:   PÁRA-RAIOS TIPO "FRANKLIN", EXCLUSIVE DESCIDA E ATERRAMENTO</t>
  </si>
  <si>
    <t>02041</t>
  </si>
  <si>
    <t>ELETRICISTA (SGSP)</t>
  </si>
  <si>
    <t>8,53</t>
  </si>
  <si>
    <t>02044</t>
  </si>
  <si>
    <t>AJUDANTE DE ELETRICISTA (SGSP)</t>
  </si>
  <si>
    <t>57210</t>
  </si>
  <si>
    <t>BASE E ESTAIS PARA MASTRO DE PÁRA-RAIOS</t>
  </si>
  <si>
    <t>112,47</t>
  </si>
  <si>
    <t>57220</t>
  </si>
  <si>
    <t>CAPTOR TIPO FRANKLIN PARA DUAS DESCIDAS</t>
  </si>
  <si>
    <t>47,48</t>
  </si>
  <si>
    <t>57630</t>
  </si>
  <si>
    <t>MASTRO DE AÇO GALVANIZADO - 2"X3,00M</t>
  </si>
  <si>
    <t>81,15</t>
  </si>
  <si>
    <t>74,90</t>
  </si>
  <si>
    <t>241,10</t>
  </si>
  <si>
    <t>316,00</t>
  </si>
  <si>
    <t>ELETRODUTO DE PVC RIGIDO ROSCAVEL DE 1 ", SEM LUVA</t>
  </si>
  <si>
    <t>1,02</t>
  </si>
  <si>
    <t>LUVA EM PVC RIGIDO ROSCAVEL, DE 1", PARA ELETRODUTO</t>
  </si>
  <si>
    <t>M³</t>
  </si>
  <si>
    <t>CABO DE COBRE NU 50 MM2 MEIO-DURO</t>
  </si>
  <si>
    <t>SINAPI  93358</t>
  </si>
  <si>
    <t>142</t>
  </si>
  <si>
    <t>SELANTE ELASTICO MONOCOMPONENTE A BASE DE POLIURETANO PARA JUNTAS DIVERSAS</t>
  </si>
  <si>
    <t xml:space="preserve">SINAPI 90843 </t>
  </si>
  <si>
    <t>AZULEJISTA OU LADRILHISTA COM ENCARGOS COMPLEMENTARES</t>
  </si>
  <si>
    <t>CIMENTO BRANCO</t>
  </si>
  <si>
    <t>17,59</t>
  </si>
  <si>
    <t>COTAÇÃO</t>
  </si>
  <si>
    <t>11769</t>
  </si>
  <si>
    <t>MISTURADOR CROMADO DE MESA BICA BAIXA PARA LAVATORIO (REF 1875)</t>
  </si>
  <si>
    <t>0,0608</t>
  </si>
  <si>
    <t>0,46</t>
  </si>
  <si>
    <t>0,15</t>
  </si>
  <si>
    <t>SINAPI  85005</t>
  </si>
  <si>
    <t>COBERTURA</t>
  </si>
  <si>
    <t>MONTADOR DE ESTRUTURA METÁLICA COM ENCARGOS COMPLEMENTARES</t>
  </si>
  <si>
    <t>13388</t>
  </si>
  <si>
    <t>SOLDA EM BARRA DE ESTANHO-CHUMBO 50/50</t>
  </si>
  <si>
    <t>5061</t>
  </si>
  <si>
    <t>PREGO DE ACO POLIDO COM CABECA 18 X 27 (2 1/2 X 10)</t>
  </si>
  <si>
    <t>5104</t>
  </si>
  <si>
    <t>REBITE DE ALUMINIO VAZADO DE REPUXO, 3,2 X 8 MM (1KG = 1025 UNIDADES)</t>
  </si>
  <si>
    <t>TELHADISTA COM ENCARGOS COMPLEMENTARES</t>
  </si>
  <si>
    <t>TABUA DE MADEIRA APARELHADA *2,5 X 30* CM, MACARANDUBA, ANGELIM OU EQUIVALENTE DA REGIAO</t>
  </si>
  <si>
    <t>AJUDANTE DE CARPINTEIRO COM ENCARGOS COMPLEMENTARES</t>
  </si>
  <si>
    <t>8.</t>
  </si>
  <si>
    <t>8.1</t>
  </si>
  <si>
    <t>8.2</t>
  </si>
  <si>
    <t>38877</t>
  </si>
  <si>
    <t>MASSA PARA TEXTURA LISA DE BASE ACRILICA, USO INTERNO E EXTERNO</t>
  </si>
  <si>
    <t>PINTOR COM ENCARGOS COMPLEMENTARES</t>
  </si>
  <si>
    <t>Código:   15.014.0100-A</t>
  </si>
  <si>
    <t>13833</t>
  </si>
  <si>
    <t>KIT P/INST.DO SIST.DE AQUECIMENTO SOLAR, P/100 E 200L E 1 COLETOR VERT.OU HORIZ.(MAT.COMPLEM.AOS RESERV.E COLETORES)</t>
  </si>
  <si>
    <t>386,76</t>
  </si>
  <si>
    <t>17,8808</t>
  </si>
  <si>
    <t>20102</t>
  </si>
  <si>
    <t>MAO-DE-OBRA DE MONTADOR A (MONTAGEM DE ESTRUTURAS METALICAS), INCLUSIVE ENCARGOS SOCIAIS DESONERADOS</t>
  </si>
  <si>
    <t>7,1585</t>
  </si>
  <si>
    <t>15,862</t>
  </si>
  <si>
    <t>605,92</t>
  </si>
  <si>
    <t>992,68</t>
  </si>
  <si>
    <t>Código:   18.210.0012-A</t>
  </si>
  <si>
    <t>13390</t>
  </si>
  <si>
    <t>RESERVATORIO TERMICO DE BAIXA PRESSAO, PARA SISTEMA DE AQUECIMENTO SOLAR, COM 200L</t>
  </si>
  <si>
    <t>1286,16</t>
  </si>
  <si>
    <t>1.286,16</t>
  </si>
  <si>
    <t xml:space="preserve">8. </t>
  </si>
  <si>
    <t xml:space="preserve">                               </t>
  </si>
  <si>
    <t>21127</t>
  </si>
  <si>
    <t>FITA ISOLANTE ADESIVA ANTICHAMA, USO ATE 750 V, EM ROLO DE 19 MM X 5 M</t>
  </si>
  <si>
    <t>AUXILIAR DE ELETRICISTA COM ENCARGOS COMPLEMENTARES</t>
  </si>
  <si>
    <t>1379</t>
  </si>
  <si>
    <t>CIMENTO PORTLAND COMPOSTO CP II-32</t>
  </si>
  <si>
    <t>867</t>
  </si>
  <si>
    <t>0,31</t>
  </si>
  <si>
    <t>SINAPI 72254</t>
  </si>
  <si>
    <t>3379</t>
  </si>
  <si>
    <t>HASTE DE ATERRAMENTO EM ACO COM 3,00 M DE COMPRIMENTO E DN = 5/8", REVESTIDA COM BAIXA CAMADA DE COBRE, SEM CONECTOR</t>
  </si>
  <si>
    <t xml:space="preserve">                          </t>
  </si>
  <si>
    <t>Instalações Provisórias</t>
  </si>
  <si>
    <t>Despesas e Encargos Mensais</t>
  </si>
  <si>
    <t>1.2.3</t>
  </si>
  <si>
    <t>Construção da Escola de Ensino Fundamental II</t>
  </si>
  <si>
    <t>Unidade  Sesc Poconé</t>
  </si>
  <si>
    <t xml:space="preserve">Fornecimento e instalação de sistema de aquecimento solar, para 2000l incluindo 8coletor com 1,6 m², sem o fornecimento de reservatório </t>
  </si>
  <si>
    <t>SINAPI  96523</t>
  </si>
  <si>
    <t>SINAPI  96995</t>
  </si>
  <si>
    <t>SINAPI  72897</t>
  </si>
  <si>
    <t>INFRAESTRUTURA</t>
  </si>
  <si>
    <t>Trabalhos em Terra</t>
  </si>
  <si>
    <t>Fundações</t>
  </si>
  <si>
    <t>SINAPI  96619</t>
  </si>
  <si>
    <t>SINAPI  96545</t>
  </si>
  <si>
    <t>SINAPI  96546</t>
  </si>
  <si>
    <t>SINAPI  94965</t>
  </si>
  <si>
    <t>SUPRAESTRUTURA</t>
  </si>
  <si>
    <t xml:space="preserve">Total item:   3  </t>
  </si>
  <si>
    <t>Esquadrias</t>
  </si>
  <si>
    <t>Vidros</t>
  </si>
  <si>
    <t>4.1.1</t>
  </si>
  <si>
    <t>4.2</t>
  </si>
  <si>
    <t>4.2.1</t>
  </si>
  <si>
    <t>4.2.2</t>
  </si>
  <si>
    <t>4.2.3</t>
  </si>
  <si>
    <t>4.2.4</t>
  </si>
  <si>
    <t>4.3</t>
  </si>
  <si>
    <t>4.3.1</t>
  </si>
  <si>
    <t>4.3.2</t>
  </si>
  <si>
    <t xml:space="preserve">Total item:   4  </t>
  </si>
  <si>
    <t>COBERTURAS E PROTEÇÕES</t>
  </si>
  <si>
    <t xml:space="preserve">Total item:   5  </t>
  </si>
  <si>
    <t>5.3</t>
  </si>
  <si>
    <t>5.4</t>
  </si>
  <si>
    <t>2.1.1</t>
  </si>
  <si>
    <t>2.2.1</t>
  </si>
  <si>
    <t>2.2.2</t>
  </si>
  <si>
    <t>2.2.3</t>
  </si>
  <si>
    <t>Pinturas</t>
  </si>
  <si>
    <t>Total item:   6</t>
  </si>
  <si>
    <t>Total item:   7</t>
  </si>
  <si>
    <t>INSTALAÇÕES E APARELHOS</t>
  </si>
  <si>
    <t>Instalações Elétricas</t>
  </si>
  <si>
    <t>8.1.1</t>
  </si>
  <si>
    <t>8.1.2</t>
  </si>
  <si>
    <t>8.1.3</t>
  </si>
  <si>
    <t>8.1.4</t>
  </si>
  <si>
    <t>8.1.5</t>
  </si>
  <si>
    <t>Instalações de Água Fria</t>
  </si>
  <si>
    <t>8.3</t>
  </si>
  <si>
    <t>Instalações de Esgoto Sanitário</t>
  </si>
  <si>
    <t>8.1.6</t>
  </si>
  <si>
    <t>8.1.7</t>
  </si>
  <si>
    <t>8.1.8</t>
  </si>
  <si>
    <t>8.2.1</t>
  </si>
  <si>
    <t>8.2.2</t>
  </si>
  <si>
    <t>8.2.3</t>
  </si>
  <si>
    <t>8.2.4</t>
  </si>
  <si>
    <t>8.2.5</t>
  </si>
  <si>
    <t>8.2.6</t>
  </si>
  <si>
    <t>8.3.1</t>
  </si>
  <si>
    <t>8.3.2</t>
  </si>
  <si>
    <t>8.4</t>
  </si>
  <si>
    <t>Instalações de Ar Condicionado</t>
  </si>
  <si>
    <t>8.4.1</t>
  </si>
  <si>
    <t>8.4.3</t>
  </si>
  <si>
    <t>8.4.4</t>
  </si>
  <si>
    <t>8.5</t>
  </si>
  <si>
    <t>Louças e Metais</t>
  </si>
  <si>
    <t>8.5.1</t>
  </si>
  <si>
    <t>Instalações de Água Quente</t>
  </si>
  <si>
    <t>8.5.2</t>
  </si>
  <si>
    <t>8.6</t>
  </si>
  <si>
    <t>8.6.1</t>
  </si>
  <si>
    <t>8.6.2</t>
  </si>
  <si>
    <t>8.6.3</t>
  </si>
  <si>
    <t>8.6.4</t>
  </si>
  <si>
    <t>8.6.5</t>
  </si>
  <si>
    <t>8.6.6</t>
  </si>
  <si>
    <t>8.6.7</t>
  </si>
  <si>
    <t>8.4.5</t>
  </si>
  <si>
    <t>8.4.6</t>
  </si>
  <si>
    <t>8.4.8</t>
  </si>
  <si>
    <t>8.6.8</t>
  </si>
  <si>
    <t>8.6.9</t>
  </si>
  <si>
    <t>8.6.10</t>
  </si>
  <si>
    <t>8.6.11</t>
  </si>
  <si>
    <t>8.6.12</t>
  </si>
  <si>
    <t>8.6.13</t>
  </si>
  <si>
    <t>8.6.14</t>
  </si>
  <si>
    <t>8.6.15</t>
  </si>
  <si>
    <t>8.6.16</t>
  </si>
  <si>
    <t>8.6.17</t>
  </si>
  <si>
    <t>8.7</t>
  </si>
  <si>
    <t>SPDA</t>
  </si>
  <si>
    <t>8.8</t>
  </si>
  <si>
    <t>Incêndio</t>
  </si>
  <si>
    <t>8.8.1</t>
  </si>
  <si>
    <t>8.8.2</t>
  </si>
  <si>
    <t>8.8.3</t>
  </si>
  <si>
    <t>8.8.4</t>
  </si>
  <si>
    <t>8.8.5</t>
  </si>
  <si>
    <t>8.8.6</t>
  </si>
  <si>
    <t>Total item:   8</t>
  </si>
  <si>
    <t>9.</t>
  </si>
  <si>
    <t>COMPLEMENTAÇÃO DA OBRA</t>
  </si>
  <si>
    <t>9.1</t>
  </si>
  <si>
    <t>LIMPEZA FINAL DA OBRA</t>
  </si>
  <si>
    <t>Total item:   9</t>
  </si>
  <si>
    <t>9.2</t>
  </si>
  <si>
    <t>COMPOSIÇÕES AUXILIARES</t>
  </si>
  <si>
    <t>PREÇO SINAPI MT 05/2018</t>
  </si>
  <si>
    <t>CODIGO</t>
  </si>
  <si>
    <t>88236 SINAPI MT 2018</t>
  </si>
  <si>
    <t>FERRAMENTAS (ENCARGOS COMPLEMENTARES) - HORISTA</t>
  </si>
  <si>
    <t>10</t>
  </si>
  <si>
    <t>BALDE PLASTICO CAPACIDADE *10* L</t>
  </si>
  <si>
    <t>0,0080172</t>
  </si>
  <si>
    <t>2711</t>
  </si>
  <si>
    <t>CARRINHO DE MAO DE ACO CAPACIDADE 50 A 60 L, PNEU COM CAMARA</t>
  </si>
  <si>
    <t>0,0006646</t>
  </si>
  <si>
    <t>11359</t>
  </si>
  <si>
    <t>ESMERILHADEIRA ANGULAR ELETRICA, DIAMETRO DO DISCO 7 '' (180 MM), ROTACAO 8500 RPM, POTENCIA 2400 W</t>
  </si>
  <si>
    <t>0,0000677</t>
  </si>
  <si>
    <t>12815</t>
  </si>
  <si>
    <t>FITA CREPE ROLO DE 25 MM X 50 M</t>
  </si>
  <si>
    <t>0,0090691</t>
  </si>
  <si>
    <t>25966</t>
  </si>
  <si>
    <t>REDUTOR TIPO THINNER PARA ACABAMENTO</t>
  </si>
  <si>
    <t>L</t>
  </si>
  <si>
    <t>0,0015115</t>
  </si>
  <si>
    <t>38382</t>
  </si>
  <si>
    <t>LINHA DE PEDREIRO LISA 100 M</t>
  </si>
  <si>
    <t>0,0027300</t>
  </si>
  <si>
    <t>38390</t>
  </si>
  <si>
    <t>ROLO DE LA DE CARNEIRO 23 CM (SEM CABO)</t>
  </si>
  <si>
    <t>38393</t>
  </si>
  <si>
    <t>ROLO DE ESPUMA POLIESTER 23 CM (SEM CABO)</t>
  </si>
  <si>
    <t>38396</t>
  </si>
  <si>
    <t>SELADOR HORIZONTAL PARA FITA DE ACO 1 "</t>
  </si>
  <si>
    <t>0,0000542</t>
  </si>
  <si>
    <t>38399</t>
  </si>
  <si>
    <t>BOLSA DE LONA PARA FERRAMENTAS *50 X 35 X 25* CM</t>
  </si>
  <si>
    <t>0,0002708</t>
  </si>
  <si>
    <t>38413</t>
  </si>
  <si>
    <t>LIXADEIRA ELETRICA ANGULAR, PARA DISCO DE 7 " (180 MM), POTENCIA DE 2.200 W, *5.000* RPM, 220 V</t>
  </si>
  <si>
    <t>0,0000441</t>
  </si>
  <si>
    <t>38476</t>
  </si>
  <si>
    <t>ESCADA DUPLA DE ABRIR EM ALUMINIO, MODELO PINTOR, 8 DEGRAUS</t>
  </si>
  <si>
    <t>0,0002057</t>
  </si>
  <si>
    <t>38477</t>
  </si>
  <si>
    <t>ESCADA EXTENSIVEL EM ALUMINIO COM 6,00 M ESTENDIDA</t>
  </si>
  <si>
    <t>88237 SINAPI MT 05/2018</t>
  </si>
  <si>
    <t>EPI (ENCARGOS COMPLEMENTARES) - HORISTA</t>
  </si>
  <si>
    <t>PAR</t>
  </si>
  <si>
    <t>0,0137346</t>
  </si>
  <si>
    <t>0,0016010</t>
  </si>
  <si>
    <t>36144</t>
  </si>
  <si>
    <t>RESPIRADOR DESCARTAVEL SEM VALVULA DE EXALACAO, PFF 1</t>
  </si>
  <si>
    <t>0,1114872</t>
  </si>
  <si>
    <t>36146</t>
  </si>
  <si>
    <t>PROTETOR SOLAR FPS 30, EMBALAGEM 2 LITROS</t>
  </si>
  <si>
    <t>0,0012403</t>
  </si>
  <si>
    <t>36149</t>
  </si>
  <si>
    <t>TRAVA-QUEDAS EM ACO PARA CORDA DE 12 MM, EXTENSOR DE 25 X 300 MM, COM MOSQUETAO TIPO GANCHO TRAVA DUPLA</t>
  </si>
  <si>
    <t>0,0007200</t>
  </si>
  <si>
    <t>36150</t>
  </si>
  <si>
    <t>AVENTAL DE SEGURANCA DE RASPA DE COURO 1,00 X 0,60 M</t>
  </si>
  <si>
    <t>0,0026463</t>
  </si>
  <si>
    <t>36153</t>
  </si>
  <si>
    <t>TALABARTE DE SEGURANCA, 2 MOSQUETOES TRAVA DUPLA *53* MM DE ABERTURA, COM ABSORVEDOR DE ENERGIA</t>
  </si>
  <si>
    <t>0,0010750</t>
  </si>
  <si>
    <t>95311 SINAPI MT 05/2018</t>
  </si>
  <si>
    <t>CURSO DE CAPACITAÇÃO PARA AJUDANTE DE OPERAÇÃO EM GERAL (ENCARGOS COMPLEMENTARES) - HORISTA</t>
  </si>
  <si>
    <t>248</t>
  </si>
  <si>
    <t>AJUDANTE DE OPERACAO EM GERAL</t>
  </si>
  <si>
    <t>95378 SINAPI MT 05/2018</t>
  </si>
  <si>
    <t>CURSO DE CAPACITAÇÃO PARA SERVENTE (ENCARGOS COMPLEMENTARES) - HORISTA</t>
  </si>
  <si>
    <t>SERVENTE DE OBRAS</t>
  </si>
  <si>
    <t>95348 SINAPI MT 05/2018</t>
  </si>
  <si>
    <t>MOTORISTA DE CAMINHÃO-CARRETA</t>
  </si>
  <si>
    <t>95346 SINAPI MT 05/2018</t>
  </si>
  <si>
    <t>CURSO DE CAPACITAÇÃO PARA MOTORISTA DE BASCULANTE (ENCARGOS COMPLEMENTARES) - HORISTA</t>
  </si>
  <si>
    <t>MOTORISTA DE CAMINHÃO BASCULANTE</t>
  </si>
  <si>
    <t>95330 SINAPI MT 05/2018</t>
  </si>
  <si>
    <t>CURSO DE CAPACITAÇÃO PARA CARPINTEIRO DE FORMAS (ENCARGOS COMPLEMENTARES) - HORISTA</t>
  </si>
  <si>
    <t>CARPINTEIRO DE FORMAS</t>
  </si>
  <si>
    <t>95371 SINAPI MT 05/2018</t>
  </si>
  <si>
    <t>CURSO DE CAPACITAÇÃO PARA PEDREIRO (ENCARGOS COMPLEMENTARES) - HORISTA</t>
  </si>
  <si>
    <t>5961 SINAPI MT 2018</t>
  </si>
  <si>
    <t>CAMINHÃO BASCULANTE 6 M3, PESO BRUTO TOTAL 16.000 KG, CARGA ÚTIL MÁXIMA 13.071 KG, DISTÂNCIA ENTRE EIXOS 4,80 M, POTÊNCIA 230 CV INCLUSIVE CAÇAMBA METÁLICA</t>
  </si>
  <si>
    <t>CHI</t>
  </si>
  <si>
    <t>MOTORISTA DE BASCULANTE COM ENCARGOS COMPLEMENTARES</t>
  </si>
  <si>
    <t>91367</t>
  </si>
  <si>
    <t>CAMINHÃO BASCULANTE 6 M3, PESO BRUTO TOTAL 16.000 KG, CARGA ÚTIL MÁXIMA 13.071 KG, DISTÂNCIA ENTRE EIXOS 4,80 M, POTÊNCIA 230 CV INCLUSIVE CAÇAMBA METÁLICA - DEPRECIAÇÃO</t>
  </si>
  <si>
    <t>EQUIP</t>
  </si>
  <si>
    <t>91368</t>
  </si>
  <si>
    <t>CAMINHÃO BASCULANTE 6 M3, PESO BRUTO TOTAL 16.000 KG, CARGA ÚTIL MÁXIMA 13.071 KG, DISTÂNCIA ENTRE EIXOS 4,80 M, POTÊNCIA 230 CV INCLUSIVE CAÇAMBA METÁLICA - JUROS</t>
  </si>
  <si>
    <t>91369</t>
  </si>
  <si>
    <t xml:space="preserve">CAMINHÃO BASCULANTE 6 M3, PESO BRUTO TOTAL 16.000 KG, CARGA ÚTIL MÁXIMA 13.071 KG, DISTÂNCIA ENTRE EIXOS 4,80 M, POTÊNCIA 230 CV INCLUSIVE CAÇAMBA METÁLICA - IMPOSTOS E SEGUROS. </t>
  </si>
  <si>
    <t>91367 SINAPI MT 2018</t>
  </si>
  <si>
    <t>CAMINHÃO BASCULANTE 6 M3, PESO BRUTO TOTAL 16.000 KG, CARGA ÚTIL MÁXIMA 13.071 KG, DISTÂNCIA ENTRE EIXOS 4,80 M, POTÊNCIA 230 CV INCLUSIVE CAÇAMBA METÁLICA - DEPRECIAÇÃO. AF_06/2014</t>
  </si>
  <si>
    <t>37733</t>
  </si>
  <si>
    <t>CACAMBA METALICA BASCULANTE COM CAPACIDADE DE 6 M3 (INCLUI MONTAGEM, NAO INCLUI CAMINHAO)</t>
  </si>
  <si>
    <t>37760</t>
  </si>
  <si>
    <t>CAMINHAO TOCO, PESO BRUTO TOTAL 16000 KG, CARGA UTIL MAXIMA 13071 KG, DISTANCIA ENTRE EIXOS 4,80 M, POTENCIA 230 CV (INCLUI CABINE E CHASSI, NAO INCLUI CARROCERIA)</t>
  </si>
  <si>
    <t>251.584,95</t>
  </si>
  <si>
    <t>91368 SINAPI MT 2018</t>
  </si>
  <si>
    <t>91369 SINAPI MT 2018</t>
  </si>
  <si>
    <t>CAMINHÃO BASCULANTE 6 M3, PESO BRUTO TOTAL 16.000 KG, CARGA ÚTIL MÁXIMA 13.071 KG, DISTÂNCIA ENTRE EIXOS 4,80 M, POTÊNCIA 230 CV INCLUSIVE CAÇAMBA METÁLICA - IMPOSTOS E SEGUROS</t>
  </si>
  <si>
    <t>91533 SINAPI MT 2018</t>
  </si>
  <si>
    <t>COMPACTADOR DE SOLOS DE PERCUSSÃO (SOQUETE) COM MOTOR A GASOLINA 4 TEMPOS, POTÊNCIA 4 CV - CHP DIURNO.</t>
  </si>
  <si>
    <t>CHP</t>
  </si>
  <si>
    <t>OPERADOR DE MÁQUINAS E EQUIPAMENTOS COM ENCARGOS COMPLEMENTARES</t>
  </si>
  <si>
    <t>91529</t>
  </si>
  <si>
    <t xml:space="preserve">COMPACTADOR DE SOLOS DE PERCUSSÃO (SOQUETE) COM MOTOR A GASOLINA 4 TEMPOS, POTÊNCIA 4 CV - DEPRECIAÇÃO. </t>
  </si>
  <si>
    <t>91530</t>
  </si>
  <si>
    <t>COMPACTADOR DE SOLOS DE PERCUSSÃO (SOQUETE) COM MOTOR A GASOLINA 4 TEMPOS, POTÊNCIA 4 CV - JUROS.</t>
  </si>
  <si>
    <t>91531</t>
  </si>
  <si>
    <t>COMPACTADOR DE SOLOS DE PERCUSSÃO (SOQUETE) COM MOTOR A GASOLINA 4 TEMPOS, POTÊNCIA 4 CV - MANUTENÇÃO.</t>
  </si>
  <si>
    <t>91532</t>
  </si>
  <si>
    <t>COMPACTADOR DE SOLOS DE PERCUSSÃO (SOQUETE) COM MOTOR A GASOLINA 4 TEMPOS, POTÊNCIA 4 CV - MATERIAIS NA OPERAÇÃO.</t>
  </si>
  <si>
    <t>PREÇO SINAPI 05/2018</t>
  </si>
  <si>
    <t>88297 SINAPI MT 05/2018</t>
  </si>
  <si>
    <t>OPERADOR DE MÁQUINAS E TRATORES DIVERSOS (TERRAPLANAGEM)</t>
  </si>
  <si>
    <t>37370</t>
  </si>
  <si>
    <t>ALIMENTACAO - HORISTA (ENCARGOS COMPLEMENTARES) (COLETADO CAIXA)</t>
  </si>
  <si>
    <t>SERV</t>
  </si>
  <si>
    <t>37371</t>
  </si>
  <si>
    <t>TRANSPORTE - HORISTA (ENCARGOS COMPLEMENTARES) (COLETADO CAIXA)</t>
  </si>
  <si>
    <t>37372</t>
  </si>
  <si>
    <t>EXAMES - HORISTA (ENCARGOS COMPLEMENTARES) (COLETADO CAIXA)</t>
  </si>
  <si>
    <t>37373</t>
  </si>
  <si>
    <t>SEGURO - HORISTA (ENCARGOS COMPLEMENTARES) (COLETADO CAIXA)</t>
  </si>
  <si>
    <t>88237</t>
  </si>
  <si>
    <t>CURSO DE CAPACITAÇÃO PARA OPERADOR DE MÁQUINAS E EQUIPAMENTOS (ENCARGOS COMPLEMENTARES) - HORISTA</t>
  </si>
  <si>
    <t>95360 SINAPI MT 05/2018</t>
  </si>
  <si>
    <t>91529 SINAPI MT 05/2018</t>
  </si>
  <si>
    <t>13458</t>
  </si>
  <si>
    <t>COMPACTADOR DE SOLOS DE PERCURSAO (SOQUETE) COM MOTOR A GASOLINA 4 TEMPOS DE 4 HP (4 CV)</t>
  </si>
  <si>
    <t>91530 SINAPI MT 05/2018</t>
  </si>
  <si>
    <t>COMPACTADOR DE SOLOS DE PERCUSSÃO (SOQUETE) COM MOTOR A GASOLINA 4 TEMPOS, POTÊNCIA 4 CV - JUROS</t>
  </si>
  <si>
    <t>91531 SINAPI MT 05/2018</t>
  </si>
  <si>
    <t>COMPACTADOR DE SOLOS DE PERCUSSÃO (SOQUETE) COM MOTOR A GASOLINA 4 TEMPOS, POTÊNCIA 4 CV - MANUTENÇÃO</t>
  </si>
  <si>
    <t>91532 SINAPI MT 05/2018</t>
  </si>
  <si>
    <t>COMPACTADOR DE SOLOS DE PERCUSSÃO (SOQUETE) COM MOTOR A GASOLINA 4 TEMPOS, POTÊNCIA 4 CV - MATERIAIS NA OPERAÇÃO</t>
  </si>
  <si>
    <t>GASOLINA COMUM</t>
  </si>
  <si>
    <t>91534 SINAPI MT 2018</t>
  </si>
  <si>
    <t xml:space="preserve">COMPACTADOR DE SOLOS DE PERCUSSÃO (SOQUETE) COM MOTOR A GASOLINA 4 TEMPOS, POTÊNCIA 4 CV - CHI DIURNO. </t>
  </si>
  <si>
    <t>94968 SINAPI MT 2018</t>
  </si>
  <si>
    <t xml:space="preserve">CONCRETO MAGRO PARA LASTRO, TRAÇO 1:4,5:4,5 (CIMENTO/ AREIA MÉDIA/ BRITA 1)  - PREPARO MECÂNICO COM BETONEIRA 600 L. </t>
  </si>
  <si>
    <t>M3</t>
  </si>
  <si>
    <t>370</t>
  </si>
  <si>
    <t>AREIA MEDIA - POSTO JAZIDA/FORNECEDOR (RETIRADO NA JAZIDA, SEM TRANSPORTE)</t>
  </si>
  <si>
    <t>KG</t>
  </si>
  <si>
    <t>4721</t>
  </si>
  <si>
    <t>PEDRA BRITADA N. 1 (9,5 a 19 MM) POSTO PEDREIRA/FORNECEDOR, SEM FRETE</t>
  </si>
  <si>
    <t>88316</t>
  </si>
  <si>
    <t>88377</t>
  </si>
  <si>
    <t>OPERADOR DE BETONEIRA ESTACIONÁRIA/MISTURADOR COM ENCARGOS COMPLEMENTARES</t>
  </si>
  <si>
    <t>89225</t>
  </si>
  <si>
    <t>BETONEIRA CAPACIDADE NOMINAL DE 600 L, CAPACIDADE DE MISTURA 360 L, MOTOR ELÉTRICO TRIFÁSICO POTÊNCIA DE 4 CV, SEM CARREGADOR - CHP DIURNO. AF_11/2014</t>
  </si>
  <si>
    <t>89226</t>
  </si>
  <si>
    <t>BETONEIRA CAPACIDADE NOMINAL DE 600 L, CAPACIDADE DE MISTURA 360 L, MOTOR ELÉTRICO TRIFÁSICO POTÊNCIA DE 4 CV, SEM CARREGADOR - CHI DIURNO. AF_11/2014</t>
  </si>
  <si>
    <t>88377 SINAPI MT 05/2018</t>
  </si>
  <si>
    <t>OPERADOR DE BETONEIRA ESTACIONÁRIA/MISTURADOR</t>
  </si>
  <si>
    <t>CURSO DE CAPACITAÇÃO PARA OPERADOR DE BETONEIRA ESTACIONÁRIA/MISTURADOR (ENCARGOS COMPLEMENTARES) - HORISTA</t>
  </si>
  <si>
    <t>95389 SINAPI MT 05/2018</t>
  </si>
  <si>
    <t>89225 SINAPI MT 2018</t>
  </si>
  <si>
    <t>BETONEIRA CAPACIDADE NOMINAL DE 600 L, CAPACIDADE DE MISTURA 360 L, MOTOR ELÉTRICO TRIFÁSICO POTÊNCIA DE 4 CV, SEM CARREGADOR - CHP DIURNO.</t>
  </si>
  <si>
    <t>89221</t>
  </si>
  <si>
    <t xml:space="preserve">BETONEIRA CAPACIDADE NOMINAL DE 600 L, CAPACIDADE DE MISTURA 360 L, MOTOR ELÉTRICO TRIFÁSICO POTÊNCIA DE 4 CV, SEM CARREGADOR - DEPRECIAÇÃO. </t>
  </si>
  <si>
    <t>89222</t>
  </si>
  <si>
    <t xml:space="preserve">BETONEIRA CAPACIDADE NOMINAL DE 600 L, CAPACIDADE DE MISTURA 360 L, MOTOR ELÉTRICO TRIFÁSICO POTÊNCIA DE 4 CV, SEM CARREGADOR - JUROS. </t>
  </si>
  <si>
    <t>89223</t>
  </si>
  <si>
    <t xml:space="preserve">BETONEIRA CAPACIDADE NOMINAL DE 600 L, CAPACIDADE DE MISTURA 360 L, MOTOR ELÉTRICO TRIFÁSICO POTÊNCIA DE 4 CV, SEM CARREGADOR - MANUTENÇÃO. </t>
  </si>
  <si>
    <t>89224</t>
  </si>
  <si>
    <t xml:space="preserve">BETONEIRA CAPACIDADE NOMINAL DE 600 L, CAPACIDADE DE MISTURA 360 L, MOTOR ELÉTRICO TRIFÁSICO POTÊNCIA DE 4 CV, SEM CARREGADOR - MATERIAIS NA OPERAÇÃO. </t>
  </si>
  <si>
    <t>89221 SINAPI MT 2018</t>
  </si>
  <si>
    <t>BETONEIRA, CAPACIDADE NOMINAL 600 L, CAPACIDADE DE MISTURA  360L, MOTOR ELETRICO TRIFASICO 220/380V, POTENCIA 4CV, EXCLUSO CARREGADOR</t>
  </si>
  <si>
    <t>89222 SINAPI MT 2018</t>
  </si>
  <si>
    <t>BETONEIRA CAPACIDADE NOMINAL DE 600 L, CAPACIDADE DE MISTURA 360 L, MOTOR ELÉTRICO TRIFÁSICO POTÊNCIA DE 4 CV, SEM CARREGADOR - JUROS</t>
  </si>
  <si>
    <t>89223 SINAPI MT 2018</t>
  </si>
  <si>
    <t>BETONEIRA CAPACIDADE NOMINAL DE 600 L, CAPACIDADE DE MISTURA 360 L, MOTOR ELÉTRICO TRIFÁSICO POTÊNCIA DE 4 CV, SEM CARREGADOR - MANUTENÇÃO</t>
  </si>
  <si>
    <t>89224 SINAPI MT 2018</t>
  </si>
  <si>
    <t>BETONEIRA CAPACIDADE NOMINAL DE 600 L, CAPACIDADE DE MISTURA 360 L, MOTOR ELÉTRICO TRIFÁSICO POTÊNCIA DE 4 CV, SEM CARREGADOR - MATERIAIS NA OPERAÇÃO</t>
  </si>
  <si>
    <t>2705</t>
  </si>
  <si>
    <t>ENERGIA ELETRICA ATE 2000 KWH INDUSTRIAL, SEM DEMANDA</t>
  </si>
  <si>
    <t>KW/H</t>
  </si>
  <si>
    <t>89226 SINAPI MT 2018</t>
  </si>
  <si>
    <t>BETONEIRA CAPACIDADE NOMINAL DE 600 L, CAPACIDADE DE MISTURA 360 L, MOTOR ELÉTRICO TRIFÁSICO POTÊNCIA DE 4 CV, SEM CARREGADOR - CHI DIURNO.</t>
  </si>
  <si>
    <t>91692 SINAPI MT 2018</t>
  </si>
  <si>
    <t xml:space="preserve">SERRA CIRCULAR DE BANCADA COM MOTOR ELÉTRICO POTÊNCIA DE 5HP, COM COIFA PARA DISCO 10" - CHP DIURNO. </t>
  </si>
  <si>
    <t>88297</t>
  </si>
  <si>
    <t>91688</t>
  </si>
  <si>
    <t>SERRA CIRCULAR DE BANCADA COM MOTOR ELÉTRICO POTÊNCIA DE 5HP, COM COIFA PARA DISCO 10" - DEPRECIAÇÃO.</t>
  </si>
  <si>
    <t>91689</t>
  </si>
  <si>
    <t xml:space="preserve">SERRA CIRCULAR DE BANCADA COM MOTOR ELÉTRICO POTÊNCIA DE 5HP, COM COIFA PARA DISCO 10" - JUROS. </t>
  </si>
  <si>
    <t>91690</t>
  </si>
  <si>
    <t xml:space="preserve">SERRA CIRCULAR DE BANCADA COM MOTOR ELÉTRICO POTÊNCIA DE 5HP, COM COIFA PARA DISCO 10" - MANUTENÇÃO. </t>
  </si>
  <si>
    <t>91691</t>
  </si>
  <si>
    <t xml:space="preserve">SERRA CIRCULAR DE BANCADA COM MOTOR ELÉTRICO POTÊNCIA DE 5HP, COM COIFA PARA DISCO 10" - MATERIAIS NA OPERAÇÃO. </t>
  </si>
  <si>
    <t>91688 SINAPI MT 2018</t>
  </si>
  <si>
    <t>14618</t>
  </si>
  <si>
    <t>SERRA CIRCULAR DE BANCADA COM MOTOR ELETRICO, POTENCIA DE *1600* W, PARA DISCO DE DIAMETRO DE 10" (250 MM)</t>
  </si>
  <si>
    <t>91689 SINAPI MT 2018</t>
  </si>
  <si>
    <t>SERRA CIRCULAR DE BANCADA COM MOTOR ELÉTRICO POTÊNCIA DE 5HP, COM COIFA PARA DISCO 10" - JUROS.</t>
  </si>
  <si>
    <t>91690 SINAPI MT 2018</t>
  </si>
  <si>
    <t>SERRA CIRCULAR DE BANCADA COM MOTOR ELÉTRICO POTÊNCIA DE 5HP, COM COIFA PARA DISCO 10" - MANUTENÇÃO.</t>
  </si>
  <si>
    <t>91691 SINAPI MT 2018</t>
  </si>
  <si>
    <t>SERRA CIRCULAR DE BANCADA COM MOTOR ELÉTRICO POTÊNCIA DE 5HP, COM COIFA PARA DISCO 10" - MATERIAIS NA OPERAÇÃO.</t>
  </si>
  <si>
    <t>91693 SINAPI MT 2018</t>
  </si>
  <si>
    <t xml:space="preserve">SERRA CIRCULAR DE BANCADA COM MOTOR ELÉTRICO POTÊNCIA DE 5HP, COM COIFA PARA DISCO 10" - CHI DIURNO. </t>
  </si>
  <si>
    <t>95308 SINAPI MT 05/2018</t>
  </si>
  <si>
    <t>CURSO DE CAPACITAÇÃO PARA AJUDANTE DE ARMADOR (ENCARGOS COMPLEMENTARES) - HORISTA</t>
  </si>
  <si>
    <t>AJUDANTE DE ARMADOR</t>
  </si>
  <si>
    <t>CURSO DE CAPACITAÇÃO PARA ARMADOR (ENCARGOS COMPLEMENTARES) - HORISTA</t>
  </si>
  <si>
    <t>ARMADOR</t>
  </si>
  <si>
    <t>CORTE E DOBRA DE AÇO CA-50, DIÂMETRO DE 8,0 MM, UTILIZADO EM ESTRUTURAS DIVERSAS, EXCETO LAJES.</t>
  </si>
  <si>
    <t>33</t>
  </si>
  <si>
    <t>ACO CA-50, 8,0 MM, VERGALHAO</t>
  </si>
  <si>
    <t>88238</t>
  </si>
  <si>
    <t>AJUDANTE DE ARMADOR COM ENCARGOS COMPLEMENTARES</t>
  </si>
  <si>
    <t>ARMADOR COM ENCARGOS COMPLEMENTARES</t>
  </si>
  <si>
    <t xml:space="preserve">CORTE E DOBRA DE AÇO CA-50, DIÂMETRO DE 10,0 MM, UTILIZADO EM ESTRUTURAS DIVERSAS, EXCETO LAJES. </t>
  </si>
  <si>
    <t>ACO CA-50, 10,0 MM, VERGALHAO</t>
  </si>
  <si>
    <t>88830 SINAPI MT 2018</t>
  </si>
  <si>
    <t xml:space="preserve">BETONEIRA CAPACIDADE NOMINAL DE 400 L, CAPACIDADE DE MISTURA 280 L, MOTOR ELÉTRICO TRIFÁSICO POTÊNCIA DE 2 CV, SEM CARREGADOR - CHP DIURNO. </t>
  </si>
  <si>
    <t xml:space="preserve">BETONEIRA CAPACIDADE NOMINAL DE 400 L, CAPACIDADE DE MISTURA 280 L, MOTOR ELÉTRICO TRIFÁSICO POTÊNCIA DE 2 CV, SEM CARREGADOR - DEPRECIAÇÃO. </t>
  </si>
  <si>
    <t xml:space="preserve">BETONEIRA CAPACIDADE NOMINAL DE 400 L, CAPACIDADE DE MISTURA 280 L, MOTOR ELÉTRICO TRIFÁSICO POTÊNCIA DE 2 CV, SEM CARREGADOR - JUROS. </t>
  </si>
  <si>
    <t xml:space="preserve">BETONEIRA CAPACIDADE NOMINAL DE 400 L, CAPACIDADE DE MISTURA 280 L, MOTOR ELÉTRICO TRIFÁSICO POTÊNCIA DE 2 CV, SEM CARREGADOR - MANUTENÇÃO. </t>
  </si>
  <si>
    <t xml:space="preserve">BETONEIRA CAPACIDADE NOMINAL DE 400 L, CAPACIDADE DE MISTURA 280 L, MOTOR ELÉTRICO TRIFÁSICO POTÊNCIA DE 2 CV, SEM CARREGADOR - MATERIAIS NA OPERAÇÃO. </t>
  </si>
  <si>
    <t>88826 SINAPI MT 2018</t>
  </si>
  <si>
    <t>BETONEIRA, CAPACIDADE NOMINAL 400 L, CAPACIDADE DE MISTURA  280L, MOTOR ELETRICO TRIFASICO 220/380V, POTENCIA 2CV, EXCLUSO CARREGADOR</t>
  </si>
  <si>
    <t>88827 SINAPI MT 2018</t>
  </si>
  <si>
    <t>BETONEIRA CAPACIDADE NOMINAL DE 400 L, CAPACIDADE DE MISTURA 280 L, MOTOR ELÉTRICO TRIFÁSICO POTÊNCIA DE 2 CV, SEM CARREGADOR - JUROS</t>
  </si>
  <si>
    <t>BETONEIRA, CAPACIDADE NOMINAL 400 L, CAPACIDADE DE MISTURA  280L, MOTOR ELETRICO TRIFASICO 220/380V, POTENCIA 4CV, EXCLUSO CARREGADOR</t>
  </si>
  <si>
    <t>88828 SINAPI MT 2018</t>
  </si>
  <si>
    <t>BETONEIRA CAPACIDADE NOMINAL DE 400 L, CAPACIDADE DE MISTURA 280 L, MOTOR ELÉTRICO TRIFÁSICO POTÊNCIA DE 2 CV, SEM CARREGADOR - MANUTENÇÃO</t>
  </si>
  <si>
    <t>88829 SINAPI MT 2018</t>
  </si>
  <si>
    <t>BETONEIRA CAPACIDADE NOMINAL DE 400 L, CAPACIDADE DE MISTURA 280 L, MOTOR ELÉTRICO TRIFÁSICO POTÊNCIA DE 2 CV, SEM CARREGADOR - MATERIAIS NA OPERAÇÃO</t>
  </si>
  <si>
    <t>88831 SINAPI MT 2018</t>
  </si>
  <si>
    <t xml:space="preserve">BETONEIRA CAPACIDADE NOMINAL DE 400 L, CAPACIDADE DE MISTURA 280 L, MOTOR ELÉTRICO TRIFÁSICO POTÊNCIA DE 2 CV, SEM CARREGADOR - CHI DIURNO. </t>
  </si>
  <si>
    <t>GUINCHO ELÉTRICO DE COLUNA, CAPACIDADE 400 KG, COM MOTO FREIO, MOTOR TRIFÁSICO DE 1,25 CV - CHP DIURNO.</t>
  </si>
  <si>
    <t>88295</t>
  </si>
  <si>
    <t>OPERADOR DE GUINCHO COM ENCARGOS COMPLEMENTARES</t>
  </si>
  <si>
    <t>93277</t>
  </si>
  <si>
    <t>GUINCHO ELÉTRICO DE COLUNA, CAPACIDADE 400 KG, COM MOTO FREIO, MOTOR TRIFÁSICO DE 1,25 CV - DEPRECIAÇÃO. AF_03/2016</t>
  </si>
  <si>
    <t>93278</t>
  </si>
  <si>
    <t>GUINCHO ELÉTRICO DE COLUNA, CAPACIDADE 400 KG, COM MOTO FREIO, MOTOR TRIFÁSICO DE 1,25 CV - JUROS. AF_03/2016</t>
  </si>
  <si>
    <t>93279</t>
  </si>
  <si>
    <t>GUINCHO ELÉTRICO DE COLUNA, CAPACIDADE 400 KG, COM MOTO FREIO, MOTOR TRIFÁSICO DE 1,25 CV - MANUTENÇÃO. AF_03/2016</t>
  </si>
  <si>
    <t>93280</t>
  </si>
  <si>
    <t>GUINCHO ELÉTRICO DE COLUNA, CAPACIDADE 400 KG, COM MOTO FREIO, MOTOR TRIFÁSICO DE 1,25 CV - MATERIAIS NA OPERAÇÃO. AF_03/2016</t>
  </si>
  <si>
    <t>88295 SINAPI MT 05/2018</t>
  </si>
  <si>
    <t>OPERADOR DE GUINCHO</t>
  </si>
  <si>
    <t>CURSO DE CAPACITAÇÃO PARA OPERADOR DE GUINCHO (ENCARGOS COMPLEMENTARES) - HORISTA</t>
  </si>
  <si>
    <t>95358 SINAPI MT 05/2018</t>
  </si>
  <si>
    <t>CLASS</t>
  </si>
  <si>
    <t xml:space="preserve">GUINCHO ELÉTRICO DE COLUNA, CAPACIDADE 400 KG, COM MOTO FREIO, MOTOR TRIFÁSICO DE 1,25 CV - DEPRECIAÇÃO. </t>
  </si>
  <si>
    <t>36487</t>
  </si>
  <si>
    <t>GUINCHO ELETRICO DE COLUNA, CAPACIDADE 400 KG, COM MOTO FREIO, MOTOR TRIFASICO DE 1,25 CV</t>
  </si>
  <si>
    <t xml:space="preserve">GUINCHO ELÉTRICO DE COLUNA, CAPACIDADE 400 KG, COM MOTO FREIO, MOTOR TRIFÁSICO DE 1,25 CV - JUROS. </t>
  </si>
  <si>
    <t xml:space="preserve">GUINCHO ELÉTRICO DE COLUNA, CAPACIDADE 400 KG, COM MOTO FREIO, MOTOR TRIFÁSICO DE 1,25 CV - MANUTENÇÃO. </t>
  </si>
  <si>
    <t xml:space="preserve">GUINCHO ELÉTRICO DE COLUNA, CAPACIDADE 400 KG, COM MOTO FREIO, MOTOR TRIFÁSICO DE 1,25 CV - MATERIAIS NA OPERAÇÃO. </t>
  </si>
  <si>
    <t>93282 SINAPI MT 2018</t>
  </si>
  <si>
    <t>GUINCHO ELÉTRICO DE COLUNA, CAPACIDADE 400 KG, COM MOTO FREIO, MOTOR TRIFÁSICO DE 1,25 CV - CHI DIURNO.</t>
  </si>
  <si>
    <t>95385 SINAPI MT 05/2018</t>
  </si>
  <si>
    <t>CURSO DE CAPACITAÇÃO PARA TELHADISTA (ENCARGOS COMPLEMENTARES) - HORISTA</t>
  </si>
  <si>
    <t>TELHADOR</t>
  </si>
  <si>
    <t>95309 SINAPI MT 05/2018</t>
  </si>
  <si>
    <t>CURSO DE CAPACITAÇÃO PARA AJUDANTE DE CARPINTEIRO (ENCARGOS COMPLEMENTARES) - HORISTA</t>
  </si>
  <si>
    <t>CARPINTEIRO AUXILIAR</t>
  </si>
  <si>
    <t>95372 SINAPI MT 05/2018</t>
  </si>
  <si>
    <t>CURSO DE CAPACITAÇÃO PARA PINTOR (ENCARGOS COMPLEMENTARES) - HORISTA</t>
  </si>
  <si>
    <t>PINTOR</t>
  </si>
  <si>
    <t>95316 SINAPI MT 05/2018</t>
  </si>
  <si>
    <t>CURSO DE CAPACITAÇÃO PARA AUXILIAR DE ELETRICISTA (ENCARGOS COMPLEMENTARES) - HORISTA</t>
  </si>
  <si>
    <t>AJUDANTE DE ELETRICISTA</t>
  </si>
  <si>
    <t>95332 SINAPI MT 05/2018</t>
  </si>
  <si>
    <t>CURSO DE CAPACITAÇÃO PARA ELETRICISTA (ENCARGOS COMPLEMENTARES) - HORISTA</t>
  </si>
  <si>
    <t>ELETRICISTA</t>
  </si>
  <si>
    <t>95317 SINAPI MT 05/2018</t>
  </si>
  <si>
    <t>CURSO DE CAPACITAÇÃO PARA AUXILIAR DE ENCANADOR OU BOMBEIRO HIDRÁULICO (ENCARGOS COMPLEMENTARES) - HORISTA</t>
  </si>
  <si>
    <t>AUXILIAR DE ENCANADOR OU BOMBEIRO HIDRÁULICO</t>
  </si>
  <si>
    <t>95335 SINAPI MT 05/2018</t>
  </si>
  <si>
    <t>CURSO DE CAPACITAÇÃO PARA ENCANADOR OU BOMBEIRO HIDRÁULICO (ENCARGOS COMPLEMENTARES) - HORISTA</t>
  </si>
  <si>
    <t>ENCANADOR OU BOMBEIRO HIDRÁULICO</t>
  </si>
  <si>
    <t>Código:   91946 SINAPI MT</t>
  </si>
  <si>
    <t>Descrição:</t>
  </si>
  <si>
    <t xml:space="preserve">SUPORTE PARAFUSADO COM PLACA DE ENCAIXE 4" X 2" MÉDIO (1,30 M DO PISO) PARA PONTO ELÉTRICO - FORNECIMENTO E INSTALAÇÃO. </t>
  </si>
  <si>
    <t>UND</t>
  </si>
  <si>
    <t>38094</t>
  </si>
  <si>
    <t>ESPELHO / PLACA DE 3 POSTOS 4" X 2", PARA INSTALACAO DE TOMADAS E INTERRUPTORES</t>
  </si>
  <si>
    <t>38099</t>
  </si>
  <si>
    <t>SUPORTE DE FIXACAO PARA ESPELHO / PLACA 4" X 2", PARA 3 MODULOS, PARA INSTALACAO DE TOMADAS E INTERRUPTORES (SOMENTE SUPORTE)</t>
  </si>
  <si>
    <t>Código:   91958 SINAPI MT</t>
  </si>
  <si>
    <t xml:space="preserve">INTERRUPTOR SIMPLES (2 MÓDULOS), 10A/250V, SEM SUPORTE E SEM PLACA - FORNECIMENTO E INSTALAÇÃO. </t>
  </si>
  <si>
    <t>38112</t>
  </si>
  <si>
    <t>INTERRUPTOR SIMPLES 10A, 250V (APENAS MODULO)</t>
  </si>
  <si>
    <t>Código:   91994 SINAPI MT</t>
  </si>
  <si>
    <t xml:space="preserve">TOMADA MÉDIA DE EMBUTIR (1 MÓDULO), 2P+T 10 A, INCLUINDO SUPORTE E PLACA - FORNECIMENTO E INSTALAÇÃO. </t>
  </si>
  <si>
    <t>38101</t>
  </si>
  <si>
    <t>TOMADA 2P+T 10A, 250V  (APENAS MODULO)</t>
  </si>
  <si>
    <t>Código:   88241 SINAPI MT</t>
  </si>
  <si>
    <t>AJUDANTE DE OPERAÇÃO EM GERAL COM ENCARGOS COMPLEMENTARES</t>
  </si>
  <si>
    <t>88236</t>
  </si>
  <si>
    <t>95311</t>
  </si>
  <si>
    <t>88262 SINAPI MT 05/2018</t>
  </si>
  <si>
    <t>CURSO DE CAPACITAÇÃO PARA CARPINTEIRO (ENCARGOS COMPLEMENTARES) - HORISTA</t>
  </si>
  <si>
    <t>88316 SINAPI MT 05/2018</t>
  </si>
  <si>
    <t>88283 SINAPI MT 05/2018</t>
  </si>
  <si>
    <t>MOTORISTA DE CAMINHÃO E CARRETA COM ENCARGOS COMPLEMENTARES</t>
  </si>
  <si>
    <t xml:space="preserve">MOTORISTA DE CAMINHÃO E CARRETA </t>
  </si>
  <si>
    <t>CURSO DE CAPACITAÇÃO PARA MOTORISTA DE CAMINHÃO E CARRETA (ENCARGOS COMPLEMENTARES) - HORISTA</t>
  </si>
  <si>
    <t>88281 SINAPI MT 05/2018</t>
  </si>
  <si>
    <t xml:space="preserve">MOTORISTA DE CAMINHÃO BASCULANTE </t>
  </si>
  <si>
    <t>88309 SINAPI MT 05/2018</t>
  </si>
  <si>
    <t>88245 SINAPI MT  05/2018</t>
  </si>
  <si>
    <t>88238 SINAPI MT  05/2018</t>
  </si>
  <si>
    <t>88239 SINAPI MT  05/2018</t>
  </si>
  <si>
    <t>88323 SINAPI MT  05/2018</t>
  </si>
  <si>
    <t>88310 SINAPI MT  05/2018</t>
  </si>
  <si>
    <t xml:space="preserve">ELETRICISTA </t>
  </si>
  <si>
    <t xml:space="preserve">AJUDANTE DE ELETRICISTA </t>
  </si>
  <si>
    <t>88248 SINAPI MT  05/2018</t>
  </si>
  <si>
    <t>88267 SINAPI MT  05/2018</t>
  </si>
  <si>
    <t>M2</t>
  </si>
  <si>
    <t>COMPOSIÇÕES DE PREÇO</t>
  </si>
  <si>
    <t xml:space="preserve">ARMADOR </t>
  </si>
  <si>
    <t xml:space="preserve">AJUDANTE DE ARMADOR </t>
  </si>
  <si>
    <t>Código:   74209 SINAPI</t>
  </si>
  <si>
    <t>MÊS</t>
  </si>
  <si>
    <t>LOCACAO DE CONTAINER 2,30  X  6,00 M, ALT. 2,50 M, COM 1 SANITARIO, PARA ESCRITORIO, COMPLETO, SEM DIVISORIAS INTERNAS</t>
  </si>
  <si>
    <t>SINAPI 73847/001</t>
  </si>
  <si>
    <t>PECA DE MADEIRA NATIVA/REGIONAL 2,5 X 7,0 CM (SARRAFO-P/FORMA)</t>
  </si>
  <si>
    <t>94962 SINAPI MT 2018</t>
  </si>
  <si>
    <t xml:space="preserve">CONCRETO MAGRO PARA LASTRO, TRAÇO 1:4,5:4,5 (CIMENTO/ AREIA MÉDIA/ BRITA 1)  - PREPARO MECÂNICO COM BETONEIRA 400 L. </t>
  </si>
  <si>
    <t>BETONEIRA CAPACIDADE NOMINAL DE 400 L, CAPACIDADE DE MISTURA 280 L, MOTOR ELÉTRICO TRIFÁSICO POTÊNCIA DE 2 CV, SEM CARREGADOR - CHP DIURNO. AF_10/2014</t>
  </si>
  <si>
    <t>BETONEIRA CAPACIDADE NOMINAL DE 400 L, CAPACIDADE DE MISTURA 280 L, MOTOR ELÉTRICO TRIFÁSICO POTÊNCIA DE 2 CV, SEM CARREGADOR - CHI DIURNO. AF_10/2014</t>
  </si>
  <si>
    <t>CONCRETO MAGRO PARA LASTRO, TRAÇO 1:4,5:4,5 (CIMENTO/ AREIA MÉDIA/ BRITA 1)  - PREPARO MECÂNICO COM BETONEIRA 400 L.</t>
  </si>
  <si>
    <t>Código:   97622  SINAPI</t>
  </si>
  <si>
    <t>ENCANADOR OU BOMBEIRO HIDRAULICO COM ENCARGOS COMPLEMENTARES</t>
  </si>
  <si>
    <t>88256 SINAPI MT  05/2018</t>
  </si>
  <si>
    <t>AZULEJISTA OU LADRILHISTA</t>
  </si>
  <si>
    <t>CURSO DE CAPACITAÇÃO PARA AZULEJISTA OU LADRILHISTA (ENCARGOS COMPLEMENTARES) - HORISTA</t>
  </si>
  <si>
    <t>95324 SINAPI MT 05/2018</t>
  </si>
  <si>
    <t>88323  SINAPI MT  05/2018</t>
  </si>
  <si>
    <t>Código:   3R 23 13 00 00 35 20 02 11  TCPO</t>
  </si>
  <si>
    <t>Código:   86932  SINAPI</t>
  </si>
  <si>
    <t>Código:   86915  SINAPI</t>
  </si>
  <si>
    <t>Código:   86905  SINAPI</t>
  </si>
  <si>
    <t>PISOS, RODAPÉS E SOLEIRAS</t>
  </si>
  <si>
    <t>Código:   3R 23 14 00 00 39 10 01 10  TCPO</t>
  </si>
  <si>
    <t>Código:   15.002.0080-A  EMOP</t>
  </si>
  <si>
    <t>COMP OK</t>
  </si>
  <si>
    <t>337</t>
  </si>
  <si>
    <t>ARAME RECOZIDO 18 BWG, 1,25 MM (0,01 KG/M)</t>
  </si>
  <si>
    <t>88262</t>
  </si>
  <si>
    <t>CAMINHÃO BASCULANTE 6 M3, PESO BRUTO TOTAL 16.000 KG, CARGA ÚTIL MÁXIMA 13.071 KG, DISTÂNCIA ENTRE EIXOS 4,80 M, POTÊNCIA 230 CV INCLUSIVE CAÇAMBA METÁLICA - CHI DIURNO</t>
  </si>
  <si>
    <t>4720</t>
  </si>
  <si>
    <t>PEDRA BRITADA N. 0, OU PEDRISCO (4,8 A 9,5 MM) POSTO PEDREIRA/FORNECEDOR, SEM FRETE</t>
  </si>
  <si>
    <t>88309</t>
  </si>
  <si>
    <t>91533</t>
  </si>
  <si>
    <t xml:space="preserve">COMPACTADOR DE SOLOS DE PERCUSSÃO (SOQUETE) COM MOTOR A GASOLINA 4 TEMPOS, POTÊNCIA 4 CV - CHP DIURNO. </t>
  </si>
  <si>
    <t>91534</t>
  </si>
  <si>
    <t xml:space="preserve">RASGO EM ALVENARIA PARA ELETRODUTOS COM DIAMETROS MENORES OU IGUAIS A 40 MM. </t>
  </si>
  <si>
    <t>QUEBRA EM ALVENARIA PARA INSTALAÇÃO DE CAIXA DE TOMADA (4X4 OU 4X2).</t>
  </si>
  <si>
    <t xml:space="preserve">CHUMBAMENTO LINEAR EM ALVENARIA PARA RAMAIS/DISTRIBUIÇÃO COM DIÂMETROS MENORES OU IGUAIS A 40 MM. </t>
  </si>
  <si>
    <t xml:space="preserve">ELETRODUTO FLEXÍVEL CORRUGADO, PVC, DN 20 MM (1/2"), PARA CIRCUITOS TERMINAIS, INSTALADO EM LAJE - FORNECIMENTO E INSTALAÇÃO. </t>
  </si>
  <si>
    <t xml:space="preserve">ELETRODUTO FLEXÍVEL CORRUGADO, PVC, DN 20 MM (1/2"), PARA CIRCUITOS TERMINAIS, INSTALADO EM PAREDE - FORNECIMENTO E INSTALAÇÃO. </t>
  </si>
  <si>
    <t xml:space="preserve">CABO DE COBRE FLEXÍVEL ISOLADO, 1,5 MM², ANTI-CHAMA 450/750 V, PARA CIRCUITOS TERMINAIS - FORNECIMENTO E INSTALAÇÃO. </t>
  </si>
  <si>
    <t xml:space="preserve">CABO DE COBRE FLEXÍVEL ISOLADO, 2,5 MM², ANTI-CHAMA 450/750 V, PARA CIRCUITOS TERMINAIS - FORNECIMENTO E INSTALAÇÃO. </t>
  </si>
  <si>
    <t xml:space="preserve">CAIXA OCTOGONAL 3" X 3", PVC, INSTALADA EM LAJE - FORNECIMENTO E INSTALAÇÃO. </t>
  </si>
  <si>
    <t xml:space="preserve">CAIXA RETANGULAR 4" X 2" MÉDIA (1,30 M DO PISO), PVC, INSTALADA EM PAREDE - FORNECIMENTO E INSTALAÇÃO. </t>
  </si>
  <si>
    <t>39017</t>
  </si>
  <si>
    <t>ESPACADOR / DISTANCIADOR CIRCULAR COM ENTRADA LATERAL, EM PLASTICO, PARA VERGALHAO *4,2 A 12,5* MM, COBRIMENTO 20 MM</t>
  </si>
  <si>
    <t>88245</t>
  </si>
  <si>
    <t>LASTRO DE CONCRETO MAGRO, APLICADO EM BLOCOS DE COROAMENTO OU SAPATAS.  (sapatas)</t>
  </si>
  <si>
    <t>92794</t>
  </si>
  <si>
    <t>1.4</t>
  </si>
  <si>
    <t>Demolições e Retiradas</t>
  </si>
  <si>
    <t>2.3</t>
  </si>
  <si>
    <t>CARGA MANUAL DE ENTULHO EM CAMINHAO BASCULANTE 6M3 (bota fora)</t>
  </si>
  <si>
    <t>2.3.1</t>
  </si>
  <si>
    <t>2.3.2</t>
  </si>
  <si>
    <t>2.3.3</t>
  </si>
  <si>
    <t>2.3.4</t>
  </si>
  <si>
    <t>2.3.5</t>
  </si>
  <si>
    <t>SINAPI  74157/004</t>
  </si>
  <si>
    <r>
      <t xml:space="preserve">ARMAÇÃO DE BLOCO, </t>
    </r>
    <r>
      <rPr>
        <sz val="11"/>
        <color rgb="FFFF0000"/>
        <rFont val="Arial"/>
        <family val="2"/>
      </rPr>
      <t>VIGA BALDRAME</t>
    </r>
    <r>
      <rPr>
        <sz val="11"/>
        <color theme="1"/>
        <rFont val="Arial"/>
        <family val="2"/>
      </rPr>
      <t xml:space="preserve"> OU SAPATA UTILIZANDO AÇO CA-50 DE 10MM - MONTAGEM. (sapatas)</t>
    </r>
  </si>
  <si>
    <t>ARMAÇÃO DE BLOCO, VIGA BALDRAME OU SAPATA UTILIZANDO AÇO CA-50 DE 8MM - MONTAGEM.   (sapatas)</t>
  </si>
  <si>
    <t>SINAPI 97622</t>
  </si>
  <si>
    <t xml:space="preserve">Descrição:   </t>
  </si>
  <si>
    <t>REMOCAO DE ESQUADRIAS DE MADEIRA INCLUSIVE BATENTES</t>
  </si>
  <si>
    <t>CDHU SP     401226</t>
  </si>
  <si>
    <t>RETIRADA E REASSENTAMENTO DE LAVATORIO, INCLUSIVE MATERIAIS NECESSARIOS</t>
  </si>
  <si>
    <t>15.003.0361-A  EMOP RJ</t>
  </si>
  <si>
    <t>DEMOLIÇÃO DE REVESTIMENTO CERAMICO, DE FORMA MANUAL, SEM REAPROVEITAMENTO</t>
  </si>
  <si>
    <t>97633   SINAPI</t>
  </si>
  <si>
    <t>DEMOLIÇÃO DE PISO CERÂMICO INCLUSIVE RETIRADA DA CAMADA DE REGULARIZAÇÃO SOBRE LASTRO DE CONCRETO COM ESPESSURA DE ATÉ 3CM</t>
  </si>
  <si>
    <t>3R 03 42 00 00 00 00 06 13  TCPO</t>
  </si>
  <si>
    <t xml:space="preserve">Descrição:  </t>
  </si>
  <si>
    <t xml:space="preserve">REMOÇÃO DE TELHAS, DE FIBROCIMENTO, METÁLICA E CERÂMICA, DE FORMA MANUAL, SEM REAPROVEITAMENTO. </t>
  </si>
  <si>
    <t>97647  SINAPI</t>
  </si>
  <si>
    <t>REMOÇÃO DE TRAMA DE MADEIRA PARA COBERTURA, DE FORMA MANUAL, SEM REAPROVEITAMENTO</t>
  </si>
  <si>
    <t>97650  SINAPI</t>
  </si>
  <si>
    <t xml:space="preserve">Descrição:                                         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</si>
  <si>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</si>
  <si>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</si>
  <si>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</si>
  <si>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</si>
  <si>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</si>
  <si>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</si>
  <si>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</si>
  <si>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</si>
  <si>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</si>
  <si>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</si>
  <si>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DEMOLICAO DE ALVENARIA DE BLOCO FURADO, DE FORMA MANUAL,  SEM REAPROVEITAMENTO</t>
  </si>
  <si>
    <t>M²</t>
  </si>
  <si>
    <t>REMOÇÃO DE TESOURAS VÃO MAIOR OU IGUAL A 8,00M</t>
  </si>
  <si>
    <t>REMOÇÃO DE TESOURAS VÃO MENOR QUE 8,00M</t>
  </si>
  <si>
    <t>97651  SINAPI</t>
  </si>
  <si>
    <t>97652  SINAPI</t>
  </si>
  <si>
    <t>97645   SINAPI</t>
  </si>
  <si>
    <t xml:space="preserve">REMOÇÃO DE JANELAS, DE FORMA MANUAL, SEM REAPROVEITAMENTO. </t>
  </si>
  <si>
    <t>FAZER COMP</t>
  </si>
  <si>
    <t>Orçamento Sintético</t>
  </si>
  <si>
    <t xml:space="preserve">Descrição: </t>
  </si>
  <si>
    <t xml:space="preserve"> LASTRO DE CONCRETO MAGRO, APLICADO EM BLOCOS DE COROAMENTO OU SAPATAS. ESPESSURA 5CM</t>
  </si>
  <si>
    <t xml:space="preserve">Descrição:    </t>
  </si>
  <si>
    <t>ARMAÇÃO DE BLOCO, VIGA BALDRAME OU SAPATA UTILIZANDO AÇO CA-50 DE 8 MM - MONTAGEM.</t>
  </si>
  <si>
    <t xml:space="preserve"> ARMAÇÃO DE BLOCO, VIGA BALDRAME OU SAPATA UTILIZANDO AÇO CA-50 DE 10 MM - MONTAGEM.</t>
  </si>
  <si>
    <t xml:space="preserve">92791 SINAPI MT </t>
  </si>
  <si>
    <t xml:space="preserve">92794 SINAPI MT </t>
  </si>
  <si>
    <t xml:space="preserve">92793 SINAPI MT </t>
  </si>
  <si>
    <t xml:space="preserve">95314 SINAPI MT </t>
  </si>
  <si>
    <t xml:space="preserve">CORTE E DOBRA DE AÇO CA-60, DIÂMETRO DE 5,0 MM, UTILIZADO EM ESTRUTURAS DIVERSAS, EXCETO LAJES. </t>
  </si>
  <si>
    <t>ACO CA-60,  5,0 MM, VERGALHAO</t>
  </si>
  <si>
    <t>CARPINTEIRO DE FORMAS , INCLUSIVE ENCARGOS SOCIAIS</t>
  </si>
  <si>
    <t>2692</t>
  </si>
  <si>
    <t>DESMOLDANTE PROTETOR PARA FORMAS DE MADEIRA, DE BASE OLEOSA EMULSIONADA EM AGUA</t>
  </si>
  <si>
    <t>4517</t>
  </si>
  <si>
    <t>5074</t>
  </si>
  <si>
    <t>6189</t>
  </si>
  <si>
    <t>Código:   94965 SINAPI MT</t>
  </si>
  <si>
    <t>88830</t>
  </si>
  <si>
    <t>BETONEIRA CAPACIDADE NOMINAL DE 400 L, CAPACIDADE DE MISTURA 280 L, MOTOR ELÉTRICO TRIFÁSICO POTÊNCIA DE 2 CV, SEM CARREGADOR - CHP DIURNO.</t>
  </si>
  <si>
    <t>BETONEIRA CAPACIDADE NOMINAL DE 400 L, CAPACIDADE DE MISTURA 280 L, MOTOR ELÉTRICO TRIFÁSICO POTÊNCIA DE 2 CV, SEM CARREGADOR - CHI DIURNO.</t>
  </si>
  <si>
    <t xml:space="preserve">CONCRETO FCK = 25MPa, TRAÇO 1:2,3:2,7 (CIMENTO/ AREIA MÉDIA/ BRITA 1)  - PREPARO MECÂNICO COM BETONEIRA 400 L. </t>
  </si>
  <si>
    <t>Código:   74157/004 SINAPI MT</t>
  </si>
  <si>
    <t>90586</t>
  </si>
  <si>
    <t xml:space="preserve">VIBRADOR DE IMERSÃO, DIÂMETRO DE PONTEIRA 45MM, MOTOR ELÉTRICO TRIFÁSICO POTÊNCIA DE 2CV - CHP DIURNO. </t>
  </si>
  <si>
    <t>90586 SINAPI MT 2018</t>
  </si>
  <si>
    <t xml:space="preserve">VIBRADOR DE IMERSÃO, DIÂMETRO DE PONTEIRA 45MM, MOTOR ELÉTRICO TRIFÁSICO POTÊNCIA DE 2 CV - CHP DIURNO. </t>
  </si>
  <si>
    <t>90582</t>
  </si>
  <si>
    <t xml:space="preserve">VIBRADOR DE IMERSÃO, DIÂMETRO DE PONTEIRA 45MM, MOTOR ELÉTRICO TRIFÁSICO POTÊNCIA DE 2 CV - DEPRECIAÇÃO. </t>
  </si>
  <si>
    <t>90583</t>
  </si>
  <si>
    <t xml:space="preserve">VIBRADOR DE IMERSÃO, DIÂMETRO DE PONTEIRA 45MM, MOTOR ELÉTRICO TRIFÁSICO POTÊNCIA DE 2 CV - JUROS. </t>
  </si>
  <si>
    <t>90584</t>
  </si>
  <si>
    <t xml:space="preserve">VIBRADOR DE IMERSÃO, DIÂMETRO DE PONTEIRA 45MM, MOTOR ELÉTRICO TRIFÁSICO POTÊNCIA DE 2 CV - MANUTENÇÃO. </t>
  </si>
  <si>
    <t>90585</t>
  </si>
  <si>
    <t xml:space="preserve">VIBRADOR DE IMERSÃO, DIÂMETRO DE PONTEIRA 45MM, MOTOR ELÉTRICO TRIFÁSICO POTÊNCIA DE 2 CV - MATERIAIS NA OPERAÇÃO. </t>
  </si>
  <si>
    <t>90582 SINAPI MT 2018</t>
  </si>
  <si>
    <t>13896</t>
  </si>
  <si>
    <t>VIBRADOR DE IMERSAO, DIAMETRO DA PONTEIRA DE *45* MM, COM MOTOR ELETRICO TRIFASICO DE 2 HP (2 CV)</t>
  </si>
  <si>
    <t>90583 SINAPI MT 2018</t>
  </si>
  <si>
    <t>VIBRADOR DE IMERSÃO, DIÂMETRO DE PONTEIRA 45MM, MOTOR ELÉTRICO TRIFÁSICO POTÊNCIA DE 2 CV - JUROS</t>
  </si>
  <si>
    <t>90584 SINAPI MT 2018</t>
  </si>
  <si>
    <t>90585 SINAPI MT 2018</t>
  </si>
  <si>
    <t>Código:   90447 SINAPI MT</t>
  </si>
  <si>
    <t>RASGO EM ALVENARIA PARA ELETRODUTOS COM DIAMETROS MENORES OU IGUAIS A 40 MM.</t>
  </si>
  <si>
    <t>Código:   90456 SINAPI MT</t>
  </si>
  <si>
    <t>Código:   90466 SINAPI MT</t>
  </si>
  <si>
    <t xml:space="preserve">ARGAMASSA TRAÇO 1:3 (CIMENTO E AREIA MÉDIA), PREPARO MANUAL. </t>
  </si>
  <si>
    <t>Código:   88629 SINAPI MT</t>
  </si>
  <si>
    <t>ARGAMASSA TRAÇO 1:3 (CIMENTO E AREIA MÉDIA), PREPARO MANUAL.</t>
  </si>
  <si>
    <t>SERVENTE ENCARGOS COMPLEMENTARES</t>
  </si>
  <si>
    <t>Código:   91842 SINAPI MT</t>
  </si>
  <si>
    <t>2689</t>
  </si>
  <si>
    <t>ELETRODUTO PVC FLEXIVEL CORRUGADO, COR AMARELA, DE 20 MM</t>
  </si>
  <si>
    <t>34562</t>
  </si>
  <si>
    <t>ARAME RECOZIDO 16 BWG, 1,60 MM (0,016 KG/M)</t>
  </si>
  <si>
    <t>Código:   91852 SINAPI MT</t>
  </si>
  <si>
    <t>Código:   91924 SINAPI MT</t>
  </si>
  <si>
    <t>983</t>
  </si>
  <si>
    <t>CABO DE COBRE, RIGIDO, CLASSE 2, ISOLACAO EM PVC/A, ANTICHAMA BWF-B, 1 CONDUTOR, 450/750 V, SECAO NOMINAL 1,5 MM2</t>
  </si>
  <si>
    <t>Código:   91926 SINAPI MT</t>
  </si>
  <si>
    <t>CABO DE COBRE, FLEXIVEL, CLASSE 4 OU 5, ISOLACAO EM PVC/A, ANTICHAMA BWF-B, 1 CONDUTOR, 450/750 V, SECAO NOMINAL 2,5 MM2</t>
  </si>
  <si>
    <t>Código:   91937 SINAPI MT</t>
  </si>
  <si>
    <t>1871</t>
  </si>
  <si>
    <t>CAIXA OCTOGONAL DE FUNDO MOVEL, EM PVC, DE 3" X 3", PARA ELETRODUTO FLEXIVEL CORRUGADO</t>
  </si>
  <si>
    <t>Código:   91940 SINAPI MT</t>
  </si>
  <si>
    <t>1872</t>
  </si>
  <si>
    <t>CAIXA DE PASSAGEM, EM PVC, DE 4" X 2", PARA ELETRODUTO FLEXIVEL CORRUGADO</t>
  </si>
  <si>
    <t>SUPORTE PARAFUSADO COM PLACA DE ENCAIXE 4" X 2" MÉDIO (1,30 M DO PISO) PARA PONTO ELÉTRICO - FORNECIMENTO E INSTALAÇÃO.</t>
  </si>
  <si>
    <t>SINAPI  93141</t>
  </si>
  <si>
    <t xml:space="preserve">Código:   93141 SINAPI </t>
  </si>
  <si>
    <t xml:space="preserve">PONTO DE TOMADA RESIDENCIAL INCLUINDO TOMADA 10A/250V, CAIXA ELÉTRICA, ELETRODUTO, CABO, RASGO, QUEBRA E CHUMBAMENTO. </t>
  </si>
  <si>
    <t>TOMADA MÉDIA DE EMBUTIR (1 MÓDULO), 2P+T 10 A, INCLUINDO SUPORTE E PLACA - FORNECIMENTO E INSTALAÇÃO.</t>
  </si>
  <si>
    <t>Código:   91996 SINAPI MT</t>
  </si>
  <si>
    <t xml:space="preserve">TOMADA MÉDIA DE EMBUTIR (1 MÓDULO), 2P+T 10A, INCLUINDO SUPORTE E PLACA - FORNECIMENTO E INSTALAÇÃO. </t>
  </si>
  <si>
    <t>91946</t>
  </si>
  <si>
    <t>91994</t>
  </si>
  <si>
    <t>TOMADA MÉDIA DE EMBUTIR (1 MÓDULO), 2P+T 10 A, SEM SUPORTE E SEM PLACA - FORNECIMENTO E INSTALAÇÃO.</t>
  </si>
  <si>
    <t>SINAPI  93143</t>
  </si>
  <si>
    <r>
      <t xml:space="preserve">PONTO DE TOMADA </t>
    </r>
    <r>
      <rPr>
        <b/>
        <sz val="11"/>
        <color theme="1"/>
        <rFont val="Arial"/>
        <family val="2"/>
      </rPr>
      <t>10A</t>
    </r>
    <r>
      <rPr>
        <sz val="11"/>
        <color theme="1"/>
        <rFont val="Arial"/>
        <family val="2"/>
      </rPr>
      <t>/250V (1 MÓDULO), CAIXA ELÉTRICA, ELETRODUTO, CABO, RASGO, QUEBRA E CHUMBAMENTO.</t>
    </r>
  </si>
  <si>
    <r>
      <t xml:space="preserve">PONTO DE TOMADA </t>
    </r>
    <r>
      <rPr>
        <b/>
        <sz val="11"/>
        <color theme="1"/>
        <rFont val="Arial"/>
        <family val="2"/>
      </rPr>
      <t>20A</t>
    </r>
    <r>
      <rPr>
        <sz val="11"/>
        <color theme="1"/>
        <rFont val="Arial"/>
        <family val="2"/>
      </rPr>
      <t>/250V (1 MÓDULO), CAIXA ELÉTRICA, ELETRODUTO, CABO, RASGO, QUEBRA E CHUMBAMENTO.</t>
    </r>
  </si>
  <si>
    <t xml:space="preserve"> PONTO DE CONSUMO TERMINAL DE ÁGUA FRIA (SUBRAMAL) COM TUBULAÇÃO DE PVC, DN 25 MM, INSTALADO EM RAMAL DE ÁGUA, INCLUSOS RASGO E CHUMBAMENTO EM ALVENARIA.</t>
  </si>
  <si>
    <t>Código:   89957  SINAPI</t>
  </si>
  <si>
    <t xml:space="preserve">Código:   93143 SINAPI </t>
  </si>
  <si>
    <t xml:space="preserve">PONTO DE TOMADA RESIDENCIAL INCLUINDO TOMADA 20A/250V, CAIXA ELÉTRICA, ELETRODUTO, CABO, RASGO, QUEBRA E CHUMBAMENTO. </t>
  </si>
  <si>
    <t>TOMADA MÉDIA DE EMBUTIR (1 MÓDULO), 2P+T 20A, INCLUINDO SUPORTE E PLACA - FORNECIMENTO E INSTALAÇÃO.</t>
  </si>
  <si>
    <t>Código:   91997 SINAPI MT</t>
  </si>
  <si>
    <t xml:space="preserve">TOMADA MÉDIA DE EMBUTIR (1 MÓDULO), 2P+T 20A, INCLUINDO SUPORTE E PLACA - FORNECIMENTO E INSTALAÇÃO. </t>
  </si>
  <si>
    <t>TOMADA MÉDIA DE EMBUTIR (1 MÓDULO), 2P+T 20 A, SEM SUPORTE E SEM PLACA - FORNECIMENTO E INSTALAÇÃO.</t>
  </si>
  <si>
    <t>Código:   91995 SINAPI MT</t>
  </si>
  <si>
    <t>TOMADA MÉDIA DE EMBUTIR (1 MÓDULO), 2P+T 20 A, SEM SUPORTE E SEM PLACA - FORNECIMENTO E INSTALAÇÃO. AF_12/2015</t>
  </si>
  <si>
    <t>38102</t>
  </si>
  <si>
    <t>TOMADA 2P+T 20A, 250V  (APENAS MODULO)</t>
  </si>
  <si>
    <t>PONTO DE ILUMINAÇÃO INCLUINDO INTERRUPTOR SIMPLES, CAIXA ELÉTRICA, ELETRODUTO, CABO, RASGO, QUEBRA E CHUMBAMENTO (EXCLUINDO LUMINÁRIA E LÂMPADA).</t>
  </si>
  <si>
    <t xml:space="preserve">Código:   93128 SINAPI </t>
  </si>
  <si>
    <t xml:space="preserve">PONTO DE ILUMINAÇÃO RESIDENCIAL INCLUINDO INTERRUPTOR SIMPLES, CAIXA ELÉTRICA, ELETRODUTO, CABO, RASGO, QUEBRA E CHUMBAMENTO (EXCLUINDO LUMINÁRIA E LÂMPADA). </t>
  </si>
  <si>
    <t>SINAPI  93128</t>
  </si>
  <si>
    <t xml:space="preserve">INTERRUPTOR SIMPLES (1 MÓDULO), 10A/250V, INCLUINDO SUPORTE E PLACA - FORNECIMENTO E INSTALAÇÃO. </t>
  </si>
  <si>
    <t>Código:   91953 SINAPI MT</t>
  </si>
  <si>
    <t xml:space="preserve">INTERRUPTOR SIMPLES (1 MÓDULO), 10A/250V, SEM SUPORTE E SEM PLACA - FORNECIMENTO E INSTALAÇÃO. </t>
  </si>
  <si>
    <t>Código:   91952 SINAPI MT</t>
  </si>
  <si>
    <t>INTERRUPTOR SIMPLES (1 MÓDULO), 10A/250V, SEM SUPORTE E SEM PLACA - FORNECIMENTO E INSTALAÇÃO.</t>
  </si>
  <si>
    <t>Código:   97593</t>
  </si>
  <si>
    <t xml:space="preserve">LUMINÁRIA TIPO SPOT, DE SOBREPOR, COM 1 LÂMPADA DE 15 W - FORNECIMENTO E INSTALAÇÃO. </t>
  </si>
  <si>
    <t>12266</t>
  </si>
  <si>
    <t>LUMINARIA SPOT DE SOBREPOR EM ALUMINIO COM ALETA PLASTICA PARA 1 LAMPADA, BASE E27, POTENCIA MAXIMA 40/60 W (NAO INCLUI LAMPADA)</t>
  </si>
  <si>
    <t>SINAPI  97593</t>
  </si>
  <si>
    <t>SINAPI 97592</t>
  </si>
  <si>
    <t xml:space="preserve">LUMINÁRIA TIPO PLAFON, DE SOBREPOR, COM 1 LÂMPADA LED - FORNECIMENTO E INSTALAÇÃO. </t>
  </si>
  <si>
    <t>Código:   97592</t>
  </si>
  <si>
    <t>LUMINARIA LED PLAFON REDONDO DE SOBREPOR BIVOLT 12/13 W,  D = *17* CM</t>
  </si>
  <si>
    <t xml:space="preserve">PONTO DE CONSUMO TERMINAL DE ÁGUA FRIA (SUBRAMAL) COM TUBULAÇÃO DE PVC, DN 25 MM, INSTALADO EM RAMAL DE ÁGUA, INCLUSOS RASGO E CHUMBAMENTO EM ALVENARIA. </t>
  </si>
  <si>
    <t xml:space="preserve">TUBO, PVC, SOLDÁVEL, DN 25MM, INSTALADO EM RAMAL OU SUB-RAMAL DE ÁGUA - FORNECIMENTO E INSTALAÇÃO. </t>
  </si>
  <si>
    <t xml:space="preserve">JOELHO 90 GRAUS, PVC, SOLDÁVEL, DN 25MM, INSTALADO EM RAMAL OU SUB-RAMAL DE ÁGUA - FORNECIMENTO E INSTALAÇÃO. </t>
  </si>
  <si>
    <t xml:space="preserve">JOELHO 90 GRAUS COM BUCHA DE LATÃO, PVC, SOLDÁVEL, DN 25MM, X 3/4? INSTALADO EM RAMAL OU SUB-RAMAL DE ÁGUA - FORNECIMENTO E INSTALAÇÃO. </t>
  </si>
  <si>
    <t xml:space="preserve">TE, PVC, SOLDÁVEL, DN 25MM, INSTALADO EM RAMAL OU SUB-RAMAL DE ÁGUA - FORNECIMENTO E INSTALAÇÃO. </t>
  </si>
  <si>
    <t xml:space="preserve">RASGO EM ALVENARIA PARA RAMAIS/ DISTRIBUIÇÃO COM DIAMETROS MENORES OU IGUAIS A 40 MM. </t>
  </si>
  <si>
    <t>9868</t>
  </si>
  <si>
    <t>TUBO PVC, SOLDAVEL, DN 25 MM, AGUA FRIA (NBR-5648)</t>
  </si>
  <si>
    <t>LIXA D'AGUA EM FOLHA, GRAO 100</t>
  </si>
  <si>
    <t>Código:  89356 SINAPI MT</t>
  </si>
  <si>
    <t>Código:  89362  SINAPI MT</t>
  </si>
  <si>
    <t>3529</t>
  </si>
  <si>
    <t>JOELHO PVC, SOLDAVEL, 90 GRAUS, 25 MM, PARA AGUA FRIA PREDIAL</t>
  </si>
  <si>
    <t>Código:  89366  SINAPI MT</t>
  </si>
  <si>
    <t xml:space="preserve">JOELHO 90 GRAUS COM BUCHA DE LATÃO, PVC, SOLDÁVEL, DN 25MM, X 3/4 INSTALADO EM RAMAL OU SUB-RAMAL DE ÁGUA - FORNECIMENTO E INSTALAÇÃO. </t>
  </si>
  <si>
    <t>JOELHO PVC, SOLDAVEL, COM BUCHA DE LATAO, 90 GRAUS, 25 MM X 3/4", PARA AGUA FRIA PREDIAL</t>
  </si>
  <si>
    <t>Código:  89395  SINAPI MT</t>
  </si>
  <si>
    <t>7139</t>
  </si>
  <si>
    <t>TE SOLDAVEL, PVC, 90 GRAUS, 25 MM, PARA AGUA FRIA PREDIAL (NBR 5648)</t>
  </si>
  <si>
    <t>Código:   90443 SINAPI MT</t>
  </si>
  <si>
    <t>REGISTRO GAVETA BRUTO EM LATAO FORJADO, BITOLA 1 " (REF 1509)</t>
  </si>
  <si>
    <t>REGISTRO GAVETA BRUTO EM LATAO FORJADO, BITOLA 1 1/2 " (REF 1509)</t>
  </si>
  <si>
    <t>ADESIVO PLASTICO PARA PVC, BISNAGA COM 75 GR</t>
  </si>
  <si>
    <t>TUBO PVC, SOLDAVEL, DN 32 MM, AGUA FRIA (NBR-5648) 6,00M</t>
  </si>
  <si>
    <t>TUBO PVC, SOLDAVEL, DN 50 MM, PARA AGUA FRIA (NBR-5648) 6,00M</t>
  </si>
  <si>
    <t>ADAPTADOR PVC SOLDAVEL, COM FLANGES LIVRES, 50 MM X 1  1/2", PARA CAIXA D' AGUA</t>
  </si>
  <si>
    <t>TE SOLDAVEL, PVC, 90 GRAUS, 32 MM, PARA AGUA FRIA PREDIAL (NBR 5648)</t>
  </si>
  <si>
    <t>JOELHO PVC, SOLDAVEL, 90 GRAUS, 50 MM, PARA AGUA FRIA PREDIAL</t>
  </si>
  <si>
    <t>JOELHO PVC, SOLDAVEL, 90 GRAUS, 32 MM, PARA AGUA FRIA PREDIAL</t>
  </si>
  <si>
    <t>ADAPTADOR PVC SOLDAVEL CURTO COM BOLSA E ROSCA, 50 MM X1 1/2", PARA AGUA FRIA</t>
  </si>
  <si>
    <t>ADAPTADOR PVC SOLDAVEL CURTO COM BOLSA E ROSCA, 32 MM X 1", PARA AGUA FRIA</t>
  </si>
  <si>
    <t>ADAPTADOR PVC SOLDAVEL, COM FLANGES LIVRES, 32 MM X 1", PARA CAIXA D' AGUA</t>
  </si>
  <si>
    <t>TE DE REDUCAO, PVC, SOLDAVEL, 90 GRAUS, 50 MM X 32 MM, PARA AGUA FRIA PREDIAL</t>
  </si>
  <si>
    <t xml:space="preserve"> ALÇA PARA BARRILETE DE DISTRIBUICAO, DO TIPO CONCENTRADO, SOBALCA PARA BARRILETE DE DISTRIBUICAO, DO TIPO CONCENTRADO, SOBRESERVATORIO DUPLO, INCLUSIVE RAMAIS PARA EXTRAVASOR E LIMPEZA COMPREENDENDO: 5,50M DE TUBO DE PVC 50MM, REGISTROS E CONEXOES. FORNECIMENTO E INSTALAÇÃO</t>
  </si>
  <si>
    <t>CONCRETO MAGRO PARA LASTRO, TRAÇO 1:4,5:4,5 (CIMENTO/ AREIA MÉDIA/ BRITA 1)  - PREPARO MECÂNICO COM BETONEIRA 600 L.</t>
  </si>
  <si>
    <t>LASTRO COM PREPARO DE FUNDO, LARGURA MAIOR OU IGUAL A 1,5 M, COM CAMADA DE BRITA, LANÇAMENTO MANUAL, EM LOCAL COM NÍVEL BAIXO DE INTERFERÊNCIA.</t>
  </si>
  <si>
    <t>PLACA DE OBRA EM CHAPA DE AÇO GALVANIZADO</t>
  </si>
  <si>
    <t>REATERRO MANUAL APILOADO COM SOQUETE</t>
  </si>
  <si>
    <t>CARGA MANUAL DE ENTULHO EM CAMINHÃO BASCULANTE 6M3</t>
  </si>
  <si>
    <t xml:space="preserve">VASO SANITÁRIO SIFONADO COM CAIXA ACOPLADA LOUÇA BRANCA - FORNECIMENTO E INSTALAÇÃO. </t>
  </si>
  <si>
    <t xml:space="preserve">ENGATE FLEXÍVEL EM INOX, 1/2" X 40CM - FORNECIMENTO E INSTALAÇÃO. </t>
  </si>
  <si>
    <t>VASO SANITÁRIO SIFONADO COM CAIXA ACOPLADA LOUÇA BRANCA - PADRÃO MÉDIO, INCLUSO ENGATE FLEXÍVEL EM METAL CROMADO, 1/2? X 40CM - FORNECIMENTO E INSTALAÇÃO.</t>
  </si>
  <si>
    <t>4774</t>
  </si>
  <si>
    <t>6391</t>
  </si>
  <si>
    <t>SOLDA TOPO DESCENDENTE CHANFRADA ESPESSURA=1/4" CHAPA/PERFIL/TUBO ACO COM CONVERSOR DIESEL.</t>
  </si>
  <si>
    <t>SERRALHEIRO COM ENCARGOS COMPLEMENTARES</t>
  </si>
  <si>
    <t>88315  SINAPI MT  05/2018</t>
  </si>
  <si>
    <t xml:space="preserve">SERRALHEIRO </t>
  </si>
  <si>
    <t>CURSO DE CAPACITAÇÃO PARA SERRALHEIRO (ENCARGOS COMPLEMENTARES) - HORISTA</t>
  </si>
  <si>
    <t>95377 SINAPI MT 05/2018</t>
  </si>
  <si>
    <t>SERRALHEIRO</t>
  </si>
  <si>
    <t>6391 SINAPI MT 2018</t>
  </si>
  <si>
    <t>10999</t>
  </si>
  <si>
    <t>ELETRODO REVESTIDO AWS - E6013, DIAMETRO IGUAL A 4,00 MM</t>
  </si>
  <si>
    <t>83765</t>
  </si>
  <si>
    <t>83766</t>
  </si>
  <si>
    <t>88317</t>
  </si>
  <si>
    <t>SOLDADOR COM ENCARGOS COMPLEMENTARES</t>
  </si>
  <si>
    <t xml:space="preserve">GRUPO DE SOLDAGEM COM GERADOR A DIESEL 60 CV PARA SOLDA ELÉTRICA, SOBRE 04 RODAS, COM MOTOR 4 CILINDROS 600 A - CHP DIURNO. </t>
  </si>
  <si>
    <t>GRUPO DE SOLDAGEM COM GERADOR A DIESEL 60 CV PARA SOLDA ELÉTRICA, SOBRE 04 RODAS, COM MOTOR 4 CILINDROS 600 A - CHI DIURNO.</t>
  </si>
  <si>
    <t>83765 SINAPI MT 2018</t>
  </si>
  <si>
    <t>GRUPO DE SOLDAGEM COM GERADOR A DIESEL 60 CV PARA SOLDA ELÉTRICA, SOBRE 04 RODAS, COM MOTOR 4 CILINDROS 600 A - CHP DIURNO.</t>
  </si>
  <si>
    <t>83761</t>
  </si>
  <si>
    <t>83762</t>
  </si>
  <si>
    <t>83763</t>
  </si>
  <si>
    <t>83764</t>
  </si>
  <si>
    <t xml:space="preserve">GRUPO DE SOLDAGEM COM GERADOR A DIESEL 60 CV PARA SOLDA ELÉTRICA, SOBRE 04 RODAS, COM MOTOR 4 CILINDROS 600 A - DEPRECIAÇÃO. </t>
  </si>
  <si>
    <t>GRUPO DE SOLDAGEM COM GERADOR A DIESEL 60 CV PARA SOLDA ELÉTRICA, SOBRE 04 RODAS, COM MOTOR 4 CILINDROS 600 A - MANUTENÇÃO.</t>
  </si>
  <si>
    <t xml:space="preserve">GRUPO DE SOLDAGEM COM GERADOR A DIESEL 60 CV PARA SOLDA ELÉTRICA, SOBRE 04 RODAS, COM MOTOR 4 CILINDROS 600 A - MATERIAIS NA OPERAÇÃO. </t>
  </si>
  <si>
    <t xml:space="preserve">GRUPO DE SOLDAGEM COM GERADOR A DIESEL 60 CV PARA SOLDA ELÉTRICA, SOBRE 04 RODAS, COM MOTOR 4 CILINDROS 600 A - JUROS. </t>
  </si>
  <si>
    <t>83766 SINAPI MT 2018</t>
  </si>
  <si>
    <t>88317 SINAPI MT 05/2018</t>
  </si>
  <si>
    <t xml:space="preserve">SOLDADOR </t>
  </si>
  <si>
    <t>CURSO DE CAPACITAÇÃO PARA SOLDADOR (ENCARGOS COMPLEMENTARES) - HORISTA</t>
  </si>
  <si>
    <t>SOLDADOR</t>
  </si>
  <si>
    <t>95379 SINAPI MT 05/2018</t>
  </si>
  <si>
    <t>83761 SINAPI MT 2018</t>
  </si>
  <si>
    <t>13333</t>
  </si>
  <si>
    <t>GRUPO DE SOLDAGEM C/ GERADOR A DIESEL 60 CV PARA SOLDA ELETRICA, SOBRE 04 RODAS, COM MOTOR 4 CILINDROS</t>
  </si>
  <si>
    <t>83762 SINAPI MT 2018</t>
  </si>
  <si>
    <t xml:space="preserve">GRUPO DE SOLDAGEM COM GERADOR A DIESEL 60 CV PARA SOLDA ELÉTRICA, SOBRE 04 RODAS, COM MOTOR 4 CILINDROS 600 A - MANUTENÇÃO. </t>
  </si>
  <si>
    <t>83763 SINAPI MT 2018</t>
  </si>
  <si>
    <t>4221</t>
  </si>
  <si>
    <t>OLEO DIESEL COMBUSTIVEL COMUM</t>
  </si>
  <si>
    <t>83764 SINAPI MT 2018</t>
  </si>
  <si>
    <t>73970/001     SINAPI</t>
  </si>
  <si>
    <t xml:space="preserve">Unid        </t>
  </si>
  <si>
    <t>QUANTIDADE</t>
  </si>
  <si>
    <t>MOD 1</t>
  </si>
  <si>
    <t>MOD 2</t>
  </si>
  <si>
    <t>MOD 3</t>
  </si>
  <si>
    <t>MOD 4</t>
  </si>
  <si>
    <t>MOD 5</t>
  </si>
  <si>
    <t>MOD 6</t>
  </si>
  <si>
    <t>MOD 7</t>
  </si>
  <si>
    <t>MOD 8</t>
  </si>
  <si>
    <t>CARPINTEIRO COM ENCARGOS COMPLEMENTARES</t>
  </si>
  <si>
    <t xml:space="preserve">DECK DE MADEIRA COM TABUAS 15X5CM APARELHADAS EXCETO VIGAS/BARROTES PARA APOIO </t>
  </si>
  <si>
    <t>Código:  86887 SINAPI MT</t>
  </si>
  <si>
    <t>ENGATE FLEXÍVEL EM INOX, 1/2 X 40CM - FORNECIMENTO E INSTALAÇÃO.</t>
  </si>
  <si>
    <t>11684</t>
  </si>
  <si>
    <t>ENGATE / RABICHO FLEXIVEL INOX 1/2 " X 40 CM</t>
  </si>
  <si>
    <t>Código:  86888 SINAPI MT</t>
  </si>
  <si>
    <t>4384</t>
  </si>
  <si>
    <t>PARAFUSO NIQUELADO COM ACABAMENTO CROMADO PARA FIXAR PECA SANITARIA, INCLUI PORCA CEGA, ARRUELA E BUCHA DE NYLON TAMANHO S-10</t>
  </si>
  <si>
    <t>6138</t>
  </si>
  <si>
    <t>10422</t>
  </si>
  <si>
    <t>BACIA SANITARIA (VASO) COM CAIXA ACOPLADA, DE LOUCA BRANCA</t>
  </si>
  <si>
    <t>VEDAÇÃO PVC, 100 MM, PARA SAIDA VASO SANITARIO</t>
  </si>
  <si>
    <t xml:space="preserve">VASO SANITARIO SIFONADO CONVENCIONAL COM LOUÇA BRANCA, INCLUSO CONJUNTO DE LIGAÇÃO PARA BACIA SANITÁRIA AJUSTÁVEL - FORNECIMENTO E INSTALAÇÃO. </t>
  </si>
  <si>
    <t>CONJUNTO DE LIGACAO PARA BACIA SANITARIA AJUSTAVEL, EM PLASTICO BRANCO, COM TUBO, CANOPLA E ESPUDE</t>
  </si>
  <si>
    <t xml:space="preserve">VASO SANITARIO SIFONADO CONVENCIONAL COM  LOUÇA BRANCA - FORNECIMENTO E INSTALAÇÃO. </t>
  </si>
  <si>
    <t>Código:  95469 SINAPI MT</t>
  </si>
  <si>
    <t>VASO SANITARIO SIFONADO CONVENCIONAL COM  LOUÇA BRANCA - FORNECIMENTO E INSTALAÇÃO.</t>
  </si>
  <si>
    <t>BACIA SANITARIA (VASO) CONVENCIONAL DE LOUCA BRANCA</t>
  </si>
  <si>
    <t>PISO WALL</t>
  </si>
  <si>
    <t>x</t>
  </si>
  <si>
    <t>módulo 8</t>
  </si>
  <si>
    <t>=</t>
  </si>
  <si>
    <t>÷</t>
  </si>
  <si>
    <t>MOD 9</t>
  </si>
  <si>
    <t>módulo 5</t>
  </si>
  <si>
    <t>área retirada do cad</t>
  </si>
  <si>
    <t>módulo 7</t>
  </si>
  <si>
    <t>módulo 9</t>
  </si>
  <si>
    <t>módulo 6</t>
  </si>
  <si>
    <t>módulo 4</t>
  </si>
  <si>
    <t>módulo 3</t>
  </si>
  <si>
    <t>módulo 2</t>
  </si>
  <si>
    <t>módulo 1</t>
  </si>
  <si>
    <t>bw fem</t>
  </si>
  <si>
    <t>bw masc</t>
  </si>
  <si>
    <t>CALÇADA</t>
  </si>
  <si>
    <t>entrada de serviços</t>
  </si>
  <si>
    <t>entrada principal</t>
  </si>
  <si>
    <t xml:space="preserve">Preço Unitario   </t>
  </si>
  <si>
    <t xml:space="preserve">Preço Total      </t>
  </si>
  <si>
    <t xml:space="preserve">92795 SINAPI MT </t>
  </si>
  <si>
    <t xml:space="preserve">CORTE E DOBRA DE AÇO CA-50, DIÂMETRO DE 12,5 MM, UTILIZADO EM ESTRUTURAS DIVERSAS, EXCETO LAJES. </t>
  </si>
  <si>
    <t>ACO CA-50, 12,5 MM, VERGALHAO</t>
  </si>
  <si>
    <t>SINAPI  79473</t>
  </si>
  <si>
    <t>Locação</t>
  </si>
  <si>
    <t xml:space="preserve">EXECUÇÃO DE PASSEIO (CALÇADA) OU PISO DE CONCRETO COM CONCRETO MOLDADO IN LOCO, FEITO EM OBRA, ACABAMENTO CONVENCIONAL, ESPESSURA 6CM, ARMADO. </t>
  </si>
  <si>
    <t>Código:   94992 SINAPI MT</t>
  </si>
  <si>
    <t>3777</t>
  </si>
  <si>
    <t>LONA PLASTICA PRETA, E= 150 MICRA</t>
  </si>
  <si>
    <t>7156</t>
  </si>
  <si>
    <t>TELA DE ACO SOLDADA NERVURADA, CA-60, Q-196, (3,11 KG/M2), DIAMETRO DO FIO = 5,0 MM, LARGURA =  2,45 M, ESPACAMENTO DA MALHA = 10 X 10 CM</t>
  </si>
  <si>
    <t xml:space="preserve">CONCRETO FCK = 20MPA, TRAÇO 1:2,7:3 (CIMENTO/ AREIA MÉDIA/ BRITA 1)  - PREPARO MECÂNICO COM BETONEIRA 400 L. </t>
  </si>
  <si>
    <t>94964 SINAPI MT 2018</t>
  </si>
  <si>
    <t>CONCRETO FCK = 20MPA, TRAÇO 1:2,7:3 (CIMENTO/ AREIA MÉDIA/ BRITA 1)  - PREPARO MECÂNICO COM BETONEIRA 400 L.</t>
  </si>
  <si>
    <t>IMPERMEABILIZADOR COM ENCARGOS COMPLEMENTARES</t>
  </si>
  <si>
    <t>IMPERMEABILIZADOR</t>
  </si>
  <si>
    <t>CURSO DE CAPACITAÇÃO PARA IMPERMEABILIZADOR (ENCARGOS COMPLEMENTARES) - HORISTA</t>
  </si>
  <si>
    <t>95338 SINAPI MT 05/2018</t>
  </si>
  <si>
    <t>SINAPI  94992</t>
  </si>
  <si>
    <t>und</t>
  </si>
  <si>
    <t>SINAPI  74234/001</t>
  </si>
  <si>
    <t>MICTORIO SIFONADO DE LOUCA BRANCA COM PERTENCES, COM REGISTRO DE PRESSAO 1/2" COM CANOPLA CROMADA ACABAMENTO SIMPLES E CONJUNTO PARA FIXACAO  - FORNECIMENTO E INSTALACAO</t>
  </si>
  <si>
    <t>SINAPI  86919</t>
  </si>
  <si>
    <t>TANQUE DE LOUÇA BRANCA COM COLUNA, 30L OU EQUIVALENTE, INCLUSO SIFÃO FLEXÍVEL EM PVC, VÁLVULA METÁLICA E TORNEIRA DE METAL CROMADO PADRÃO MÉDIO - FORNECIMENTO E INSTALAÇÃO.</t>
  </si>
  <si>
    <t>SINAPI  95547</t>
  </si>
  <si>
    <t>SABONETEIRA PLASTICA TIPO DISPENSER PARA SABONETE LIQUIDO COM RESERVATORIO 800 A 1500 ML, INCLUSO FIXAÇÃO.</t>
  </si>
  <si>
    <t>SINAPI  40729</t>
  </si>
  <si>
    <t>VALVULA DESCARGA 1.1/2" COM REGISTRO, ACABAMENTO EM METAL CROMADO - FORNECIMENTO E INSTALACAO</t>
  </si>
  <si>
    <t>SINAPI  89973</t>
  </si>
  <si>
    <t>18.016.0108-0  EMOP</t>
  </si>
  <si>
    <t>18.016.0106-0   EMOP</t>
  </si>
  <si>
    <t>18.016.0105-0   EMOP</t>
  </si>
  <si>
    <t>BARRA DE APOIO 70CM EM ACO INOXIDAVEL AISI 304, TUBO DE 1 1/4", INCLUSIVE FIXACAO COM PARAFUSOS INOXIDAVEIS E BUCHAS PLASTICAS, PARA PESSOAS COM NECESSIDADES ESPECIFICAS. FORNECIMENTO E COLOCACAO  (mictório)</t>
  </si>
  <si>
    <t>18.016.0140-0  EMOP</t>
  </si>
  <si>
    <t>Código:   3R 23 42 40 00 00 00 05 29   TCPO</t>
  </si>
  <si>
    <t xml:space="preserve">DUCHA MANUAL - FORNECIMENTO E INSTALAÇÃO. </t>
  </si>
  <si>
    <t>GRANITO PARA BANCADA, POLIDO, TIPO ANDORINHA/ QUARTZ/ CASTELO/ CORUMBA OU OUTROS EQUIVALENTES DA REGIAO,  E=2,5 CM</t>
  </si>
  <si>
    <t>88274  SINAPI MT  05/2018</t>
  </si>
  <si>
    <t>MARMORISTA/GRANITEIRO</t>
  </si>
  <si>
    <t>CURSO DE CAPACITAÇÃO PARA MARMORISTA/GRANITEIRO (ENCARGOS COMPLEMENTARES) - HORISTA</t>
  </si>
  <si>
    <t>95341 SINAPI MT 05/2018</t>
  </si>
  <si>
    <t>8.6.18</t>
  </si>
  <si>
    <t>8.6.19</t>
  </si>
  <si>
    <t>8.6.20</t>
  </si>
  <si>
    <t>8.6.21</t>
  </si>
  <si>
    <t>8.6.22</t>
  </si>
  <si>
    <t>8.6.23</t>
  </si>
  <si>
    <t>50x60</t>
  </si>
  <si>
    <t>coefic da comp</t>
  </si>
  <si>
    <t>propria</t>
  </si>
  <si>
    <t xml:space="preserve">LAVATÓRIO LOUÇA BRANCA SUSPENSO, 29,5 X 39CM OU EQUIVALENTE, PADRÃO POPULAR, INCLUSO SIFÃO FLEXÍVEL EM PVC, VÁLVULA E ENGATE FLEXÍVEL 30CM EM PLÁSTICO E TORNEIRA CROMADA DE MESA, PADRÃO POPULAR - FORNECIMENTO E INSTALAÇÃO. </t>
  </si>
  <si>
    <t xml:space="preserve">TORNEIRA CROMADA DE MESA, 1/2" OU 3/4", PARA LAVATÓRIO, PADRÃO MÉDIO - FORNECIMENTO E INSTALAÇÃO. </t>
  </si>
  <si>
    <t>TORNEIRA CROMADA DE MESA PARA LAVATORIO TEMPORIZADA PRESSAO BICA BAIXA</t>
  </si>
  <si>
    <t>TORNEIRA CROMADA DE MESA, 1/2" OU 3/4", PARA LAVATÓRIO. FORNECIMENTO E INSTALAÇÃO. (torneira com sensor de presença - PNE)</t>
  </si>
  <si>
    <t>TORNEIRA CROMADA DE MESA PARA LAVATORIO COM SENSOR DE PRESENCA</t>
  </si>
  <si>
    <t>88247</t>
  </si>
  <si>
    <t>88264</t>
  </si>
  <si>
    <t>VÁLVULA DE DESCARGA COM SENSOR ELETRÔNICO (banheiro PNE)</t>
  </si>
  <si>
    <t>KIT DE MISTURADOR BASE BRUTA DE LATÃO ¾" MONOCOMANDO PARA CHUVEIRO, INCLUSIVE CONEXÕES, INSTALADO EM RAMAL DE ÁGUA - FORNECIMENTO E INSTALAÇÃO. (banheiro PNE)</t>
  </si>
  <si>
    <t>BARRA DE APOIO 80CM EM ACO INOXIDAVEL AISI 304, TUBO DE 1.1/4", INCLUSIVE FIXACAO COM PARAFUSOS INOXIDAVEIS E BUCHAS PLASTICAS, PARA PESSOAS COM NECESSIDADES ESPECIFICAS. FORNECIMENTO E COLOCACAO   (chuveiro e vaso - banheiro PNE)</t>
  </si>
  <si>
    <t>Equipamentos para Cozinha</t>
  </si>
  <si>
    <t>Limpeza</t>
  </si>
  <si>
    <t>9.2.1</t>
  </si>
  <si>
    <t>BANCADA EM AÇO INOX ESCOVADO COM ESPELHO, ESTRADO E 2 CUBAS  1850X700X900MM</t>
  </si>
  <si>
    <t>BANCADA EM AÇO INOX ESCOVADO COM ESPELHO, ESTRADO RIPADO  2200X700X900MM</t>
  </si>
  <si>
    <t>BANCADA EM AÇO INOX ESCOVADO COM ESPELHO, ESTRADO E CUBA DIREITA 1850X700X900MM</t>
  </si>
  <si>
    <t>BANCADA EM AÇO INOX ESCOVADO COM ESPELHO E ESTRADO RIPADO 1850X700X900MM</t>
  </si>
  <si>
    <t>BANCADA EM AÇO INOX ESCOVADO COM ESPELHO, ESTRADO RIPADO E BURACO PARA LIXEIRA 2200X700X900MM</t>
  </si>
  <si>
    <t>BANCADA EM AÇO INOX ESCOVADO COM ESPELHO, ESTRADO E CUBA ESQUERDA 1850X700X900MM</t>
  </si>
  <si>
    <t>PIA DE ASSEPSIA EM AÇO INOX ESCOVADO 450X450X450MM</t>
  </si>
  <si>
    <t>COIFA DE CENTRO EM AÇO INOX ESCOVADO 4200X1400MM</t>
  </si>
  <si>
    <t>BALCÃO EM AÇO INOX ESCOVADO 1110X700X900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</si>
  <si>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</si>
  <si>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</si>
  <si>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</si>
  <si>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</si>
  <si>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</si>
  <si>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</si>
  <si>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</si>
  <si>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</si>
  <si>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</si>
  <si>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9.1.11</t>
  </si>
  <si>
    <t>9.1.12</t>
  </si>
  <si>
    <t>Código:   95470  SINAPI</t>
  </si>
  <si>
    <t>SINAPI  95470</t>
  </si>
  <si>
    <t>SINAPI  95472</t>
  </si>
  <si>
    <t>VASO SANITARIO SIFONADO CONVENCIONAL PARA PCD SEM FURO FRONTAL COM LOUÇA BRANCA SEM ASSENTO, INCLUSO CONJUNTO DE LIGAÇÃO PARA BACIA SANITÁRIA AJUSTÁVEL - FORNECIMENTO E INSTALAÇÃO.</t>
  </si>
  <si>
    <t>SINAPI  9535</t>
  </si>
  <si>
    <t>CHUVEIRO COM VÁLVULA TERMOSTÁTICA  (banheiro PNE)</t>
  </si>
  <si>
    <t>DUCHA MANUAL  (banheiro PNE)</t>
  </si>
  <si>
    <t>8.6.24</t>
  </si>
  <si>
    <t>8.6.25</t>
  </si>
  <si>
    <t>DECK DE MADEIRA</t>
  </si>
  <si>
    <t>DECK DE MADEIRA APARELHADA CONFORME PROJETO e=4,5cm</t>
  </si>
  <si>
    <t>GRADIL</t>
  </si>
  <si>
    <t>e=5cm</t>
  </si>
  <si>
    <t>TAMPA PROTETORA DE BORRACHA  13x13cm</t>
  </si>
  <si>
    <t>+</t>
  </si>
  <si>
    <t>pç</t>
  </si>
  <si>
    <t>TAMPA PROTETORA DE BORRACHA 13x13cm   e=5cm</t>
  </si>
  <si>
    <t>salas</t>
  </si>
  <si>
    <t>circ coz/ref</t>
  </si>
  <si>
    <t>acessos cozinha</t>
  </si>
  <si>
    <t>acessos refeitório</t>
  </si>
  <si>
    <t>mód 3</t>
  </si>
  <si>
    <t>mód 4</t>
  </si>
  <si>
    <t>VASO SANITÁRIO SIFONADO COM CAIXA ACOPLADA LOUÇA BRANCA, INCLUSO ENGATE FLEXÍVEL EM PLÁSTICO BRANCO, 1/2  X 40CM - FORNECIMENTO E INSTALAÇÃO.  (banheiro funcionários)</t>
  </si>
  <si>
    <t>CHUVEIRO ELETRICO COMUM CORPO PLASTICO TIPO DUCHA, FORNECIMENTO E INSTALACAO  (banheiro funcionários)</t>
  </si>
  <si>
    <t>refeitório</t>
  </si>
  <si>
    <t>SINAPI  95546</t>
  </si>
  <si>
    <t>KIT DE ACESSORIOS PARA BANHEIRO EM METAL CROMADO, 5 PECAS, INCLUSO FIXAÇÃO.  (banheiros funcionários)</t>
  </si>
  <si>
    <t>ESPELHO CRISTAL, ESPESSURA 4MM, COM PARAFUSOS DE FIXACAO, SEM MOLDURA (banheiros fem/masc/funcionários)</t>
  </si>
  <si>
    <t>PORTÕES</t>
  </si>
  <si>
    <t>Acesso Pedestres</t>
  </si>
  <si>
    <t>SINAPI     74238/002</t>
  </si>
  <si>
    <t>h=</t>
  </si>
  <si>
    <t>ARREMATE SUPERIOR EM AROEIRA 100 X 100MM  (gradil)</t>
  </si>
  <si>
    <t>Docas (entrada e saída)</t>
  </si>
  <si>
    <t>ABRIGO CONTAINER LIXO</t>
  </si>
  <si>
    <t>SINAPI  97086</t>
  </si>
  <si>
    <t>SINAPI  94107</t>
  </si>
  <si>
    <t xml:space="preserve">LASTRO DE BRITA, COM PREPARO DE FUNDO, LANÇAMENTO MANUAL, EM LOCAL COM NÍVEL BAIXO DE INTERFERÊNCIA. </t>
  </si>
  <si>
    <t>LANCAMENTO/APLICACAO MANUAL DE CONCRETO (laje e piso)</t>
  </si>
  <si>
    <t>Piso em concreto  e=15cm</t>
  </si>
  <si>
    <t>Cobertura em laje de concreto  e=8cm</t>
  </si>
  <si>
    <t>Concreto 15MPa para laje</t>
  </si>
  <si>
    <t>Concreto 15MPa para piso</t>
  </si>
  <si>
    <t>lastro de brita e=5cm</t>
  </si>
  <si>
    <t>bota-fora</t>
  </si>
  <si>
    <t>FORNECIMENTO/INSTALACAO LONA PLASTICA PRETA, PARA IMPERMEABILIZACAO, ESPESSURA 150 MICRAS.</t>
  </si>
  <si>
    <t>SINAPI  68053</t>
  </si>
  <si>
    <t>forma para laje</t>
  </si>
  <si>
    <t>ARMACAO EM TELA DE ACO SOLDADA NERVURADA Q-138  (laje e piso)</t>
  </si>
  <si>
    <t>SINAPI  73872/001</t>
  </si>
  <si>
    <t>IMPERMEABILIZACAO COM PINTURA A BASE DE RESINA EPOXI ALCATRAO, UMA DEMAO.  (laje)</t>
  </si>
  <si>
    <t>lona preta (entre brita e piso)</t>
  </si>
  <si>
    <t>impermeabilização laje</t>
  </si>
  <si>
    <t>escavação manual (contra-barranco)</t>
  </si>
  <si>
    <t>9.3</t>
  </si>
  <si>
    <t>9.3.1</t>
  </si>
  <si>
    <t>9.2.6</t>
  </si>
  <si>
    <t>9.2.2</t>
  </si>
  <si>
    <t>9.2.3</t>
  </si>
  <si>
    <t>9.2.4</t>
  </si>
  <si>
    <t>9.2.5</t>
  </si>
  <si>
    <t>9.2.7</t>
  </si>
  <si>
    <t>9.2.8</t>
  </si>
  <si>
    <t>9.2.9</t>
  </si>
  <si>
    <t>9.2.10</t>
  </si>
  <si>
    <t>9.2.11</t>
  </si>
  <si>
    <t>9.2.12</t>
  </si>
  <si>
    <t>FABRICAÇÃO, MONTAGEM E DESMONTAGEM DE FORMA, EM MADEIRA SERRADA, 4 UTILIZAÇÕES.  (laje)</t>
  </si>
  <si>
    <t xml:space="preserve">ESCAVAÇÃO MANUAL </t>
  </si>
  <si>
    <t>alvenaria</t>
  </si>
  <si>
    <t>considerado folga 50cm para cada lado</t>
  </si>
  <si>
    <t>aço Q138 para laje e piso</t>
  </si>
  <si>
    <t>chapisco</t>
  </si>
  <si>
    <t>SINAPI  87473</t>
  </si>
  <si>
    <t xml:space="preserve">ALVENARIA DE VEDAÇÃO DE BLOCOS CERÂMICOS FURADOS NA VERTICAL DE 14X19X39CM (ESPESSURA 14CM) DE PAREDES COM ÁREA LÍQUIDA MENOR QUE 6M² SEM VÃOS E ARGAMASSA DE ASSENTAMENTO COM PREPARO EM BETONEIRA. </t>
  </si>
  <si>
    <t>SINAPI  87878</t>
  </si>
  <si>
    <t xml:space="preserve">CHAPISCO APLICADO EM ALVENARIAS E ESTRUTURAS DE CONCRETO INTERNAS, COM COLHER DE PEDREIRO.  ARGAMASSA TRAÇO 1:3 COM PREPARO MANUAL. </t>
  </si>
  <si>
    <t>SINAPI  87527</t>
  </si>
  <si>
    <t>reboco interno</t>
  </si>
  <si>
    <t>reboco externo</t>
  </si>
  <si>
    <t>azulejo interno</t>
  </si>
  <si>
    <t>pintura externa</t>
  </si>
  <si>
    <t>piso ceramico</t>
  </si>
  <si>
    <t>SINAPI  87529</t>
  </si>
  <si>
    <t>EMBOÇO, PARA RECEBIMENTO DE CERÂMICA, EM ARGAMASSA TRAÇO 1:2:8, PREPARO MECÂNICO COM BETONEIRA 400L, APLICADO MANUALMENTE ESPESSURA DE 20MM</t>
  </si>
  <si>
    <t>MASSA ÚNICA, PARA RECEBIMENTO DE PINTURA, EM ARGAMASSA TRAÇO 1:2:8, PREPARO MECÂNICO COM BETONEIRA 400L, APLICADA MANUALMENTE, ESPESSURA DE 20MM</t>
  </si>
  <si>
    <t>SINAPI  88415</t>
  </si>
  <si>
    <t>9.2.13</t>
  </si>
  <si>
    <t>9.2.14</t>
  </si>
  <si>
    <t>9.2.15</t>
  </si>
  <si>
    <t>9.2.16</t>
  </si>
  <si>
    <t>9.2.17</t>
  </si>
  <si>
    <t xml:space="preserve">PORTAO EM TELA ARAME GALVANIZADO N.12 MALHA 2" E MOLDURA EM TUBOS DE ACO COM DUAS FOLHAS DE ABRIR, INCLUSO FERRAGENS  (1,70 x 2,14m) </t>
  </si>
  <si>
    <t xml:space="preserve">PORTAO EM TELA ARAME GALVANIZADO N.12 MALHA 2" E MOLDURA EM TUBOS DE ACO COM DUAS FOLHAS DE ABRIR, INCLUSO FERRAGENS  (1,70 x 2,22m) </t>
  </si>
  <si>
    <t xml:space="preserve">TEXTURA ACRÍLICA, APLICAÇÃO MANUAL EM PAREDE, UMA DEMÃO. </t>
  </si>
  <si>
    <t>SINAPI  95305</t>
  </si>
  <si>
    <t>PINTURA ESMALTE FOSCO, DUAS DEMAOS, SOBRE SUPERFICIE METALICA</t>
  </si>
  <si>
    <t>SINAPI     73924/003</t>
  </si>
  <si>
    <t>Portão  h=2,14</t>
  </si>
  <si>
    <t>Portão  h=2,22</t>
  </si>
  <si>
    <t>pintura dos portões</t>
  </si>
  <si>
    <t>9.2.18</t>
  </si>
  <si>
    <t>9.2.19</t>
  </si>
  <si>
    <t>9.2.20</t>
  </si>
  <si>
    <t>9.2.21</t>
  </si>
  <si>
    <t>APLICAÇÃO MANUAL DE FUNDO SELADOR ACRÍLICO EM PAREDES EXTERNAS</t>
  </si>
  <si>
    <t>SINAPI  89707</t>
  </si>
  <si>
    <t xml:space="preserve">CAIXA SIFONADA, PVC, DN 100 X 100 X 50 MM, JUNTA ELÁSTICA, FORNECIDA E INSTALADA EM RAMAL DE DESCARGA OU EM RAMAL DE ESGOTO SANITÁRIO. </t>
  </si>
  <si>
    <t>caixa sifonada 100x100x50</t>
  </si>
  <si>
    <t>SINAPI  86914</t>
  </si>
  <si>
    <t>TORNEIRA CROMADA 1/2" OU 3/4" PARA TANQUE, PADRÃO MÉDIO - FORNECIMENTO E INSTALAÇÃO.</t>
  </si>
  <si>
    <t xml:space="preserve">torneira </t>
  </si>
  <si>
    <t>9.2.22</t>
  </si>
  <si>
    <t>9.2.23</t>
  </si>
  <si>
    <t>9.2.24</t>
  </si>
  <si>
    <t>Abrigo de Gás</t>
  </si>
  <si>
    <t>ABRIGO DE GÁS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</si>
  <si>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</si>
  <si>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</si>
  <si>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</si>
  <si>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</si>
  <si>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</si>
  <si>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</si>
  <si>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</si>
  <si>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</si>
  <si>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</si>
  <si>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</si>
  <si>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</si>
  <si>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9.3.13</t>
  </si>
  <si>
    <t>9.3.14</t>
  </si>
  <si>
    <t>9.3.15</t>
  </si>
  <si>
    <t>9.3.16</t>
  </si>
  <si>
    <t>9.3.17</t>
  </si>
  <si>
    <t xml:space="preserve">pintura </t>
  </si>
  <si>
    <t xml:space="preserve">reboco </t>
  </si>
  <si>
    <t>APLICAÇÃO MANUAL DE FUNDO SELADOR ACRÍLICO EM PAREDES</t>
  </si>
  <si>
    <t>PORTAO PIVOTANTE COM CONTRAPESO (2,50 X 2,10m  - Pedestres)</t>
  </si>
  <si>
    <t>8.6.26</t>
  </si>
  <si>
    <t>8.6.27</t>
  </si>
  <si>
    <t>8.6.28</t>
  </si>
  <si>
    <t>8.6.29</t>
  </si>
  <si>
    <t>9.4</t>
  </si>
  <si>
    <t>ARMAÇÃO DE BLOCO, VIGA BALDRAME OU SAPATA UTILIZANDO AÇO CA-50 DE 8MM - MONTAGEM.   (blocos e baldrame)</t>
  </si>
  <si>
    <t>LASTRO DE CONCRETO MAGRO, APLICADO EM BLOCOS DE COROAMENTO OU SAPATAS.  (blocos e baldrame)</t>
  </si>
  <si>
    <t>LANCAMENTO/APLICACAO MANUAL DE CONCRETO (blocos e baldrame)</t>
  </si>
  <si>
    <t>cilindro de gás P45</t>
  </si>
  <si>
    <t>container de lixo</t>
  </si>
  <si>
    <t>FUNDO ANTICORROSIVO A BASE DE OXIDO DE FERRO (ZARCAO), DUAS DEMAOS</t>
  </si>
  <si>
    <t>SINAPI     74064/001</t>
  </si>
  <si>
    <t>larg</t>
  </si>
  <si>
    <t>alt</t>
  </si>
  <si>
    <t>comprimento</t>
  </si>
  <si>
    <t>lastro</t>
  </si>
  <si>
    <t>regularização de fundo</t>
  </si>
  <si>
    <t>lastro 5cm</t>
  </si>
  <si>
    <t>escavação</t>
  </si>
  <si>
    <t>solo coeso, considerado escavação contra-barranco</t>
  </si>
  <si>
    <t>armação</t>
  </si>
  <si>
    <t>80kg/m3</t>
  </si>
  <si>
    <t>viga baldrame 15x20</t>
  </si>
  <si>
    <t>concreto magro</t>
  </si>
  <si>
    <t>concreto 20MPa</t>
  </si>
  <si>
    <t>fundação direta</t>
  </si>
  <si>
    <t>quantidade</t>
  </si>
  <si>
    <t>blocos 45x45x60</t>
  </si>
  <si>
    <t>portão pedestres</t>
  </si>
  <si>
    <t>blocos 35x35x40</t>
  </si>
  <si>
    <t>pintura de portões e gradil</t>
  </si>
  <si>
    <t>9.5</t>
  </si>
  <si>
    <t>9.5.1</t>
  </si>
  <si>
    <t>considerado empolamento 30%</t>
  </si>
  <si>
    <t xml:space="preserve">TUBO DE AÇO GALVANIZADO COM COSTURA, CLASSE MÉDIA, CONEXÃO ROSQUEADA, DN 20 (3/4"), INSTALADO EM RAMAIS E SUB-RAMAIS DE GÁS - FORNECIMENTO E INSTALAÇÃO. </t>
  </si>
  <si>
    <t>SINAPI  92688</t>
  </si>
  <si>
    <t>1.1.3</t>
  </si>
  <si>
    <t>ENVELOPAMENTO DE PISO</t>
  </si>
  <si>
    <r>
      <t xml:space="preserve">Bambu </t>
    </r>
    <r>
      <rPr>
        <sz val="11"/>
        <color theme="1"/>
        <rFont val="Calibri"/>
        <family val="2"/>
      </rPr>
      <t>Ø3CM</t>
    </r>
  </si>
  <si>
    <t>salas, bws, adm e sala prof</t>
  </si>
  <si>
    <t>cozinha</t>
  </si>
  <si>
    <t>lance</t>
  </si>
  <si>
    <t>qtde</t>
  </si>
  <si>
    <t>lados</t>
  </si>
  <si>
    <t>bambu por lance</t>
  </si>
  <si>
    <t>bambu</t>
  </si>
  <si>
    <t>repetiçoes</t>
  </si>
  <si>
    <t>Telha sanduiche</t>
  </si>
  <si>
    <t>Cabo de aço 1/8"</t>
  </si>
  <si>
    <r>
      <t xml:space="preserve">Cabo de aço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1/8"</t>
    </r>
  </si>
  <si>
    <t>5.6</t>
  </si>
  <si>
    <t>Esticador para cabo de aço</t>
  </si>
  <si>
    <r>
      <t xml:space="preserve">Esticador para cabo de aço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1/8"</t>
    </r>
  </si>
  <si>
    <t>Grampo 22 x 20mm</t>
  </si>
  <si>
    <t>Flange de fixação</t>
  </si>
  <si>
    <t>Parafuso de fixação (barra roscável 1")</t>
  </si>
  <si>
    <t>FORNECIMENTO E COLOCAÇÃO DE CABO DE AÇO 1/8"</t>
  </si>
  <si>
    <t>CABO DE AÇO 1/8"</t>
  </si>
  <si>
    <t>Código:   COMP.02</t>
  </si>
  <si>
    <t>FORNECIMENTO E COLOCAÇÃO DE ESTICADORES PARA CABO DE AÇO</t>
  </si>
  <si>
    <t>COMP 02</t>
  </si>
  <si>
    <t>Código:   COMP.03</t>
  </si>
  <si>
    <t>COMP 03</t>
  </si>
  <si>
    <r>
      <t xml:space="preserve">PEÇA DE  BAMBU </t>
    </r>
    <r>
      <rPr>
        <sz val="8"/>
        <rFont val="Calibri"/>
        <family val="2"/>
      </rPr>
      <t>Ø3CM</t>
    </r>
  </si>
  <si>
    <r>
      <t xml:space="preserve">FORNECIMENTO E COLOCAÇÃO DE LINHAS DE BAMBU </t>
    </r>
    <r>
      <rPr>
        <b/>
        <sz val="8"/>
        <rFont val="Calibri"/>
        <family val="2"/>
      </rPr>
      <t>Ø3</t>
    </r>
    <r>
      <rPr>
        <b/>
        <sz val="8"/>
        <rFont val="Calibri"/>
        <family val="2"/>
        <scheme val="minor"/>
      </rPr>
      <t>CM</t>
    </r>
  </si>
  <si>
    <t>11029</t>
  </si>
  <si>
    <t>CJ</t>
  </si>
  <si>
    <t>93281</t>
  </si>
  <si>
    <t>93282</t>
  </si>
  <si>
    <t xml:space="preserve">GUINCHO ELÉTRICO DE COLUNA, CAPACIDADE 400 KG, COM MOTO FREIO, MOTOR TRIFÁSICO DE 1,25 CV - CHP DIURNO. </t>
  </si>
  <si>
    <t xml:space="preserve">GUINCHO ELÉTRICO DE COLUNA, CAPACIDADE 400 KG, COM MOTO FREIO, MOTOR TRIFÁSICO DE 1,25 CV - CHI DIURNO. </t>
  </si>
  <si>
    <t>SINAPI  94229</t>
  </si>
  <si>
    <t>Código:   94229  SINAPI</t>
  </si>
  <si>
    <t>40871</t>
  </si>
  <si>
    <t>310ML</t>
  </si>
  <si>
    <t>SINAPI  72739</t>
  </si>
  <si>
    <t>VASO SANITARIO INFANTIL SIFONADO, PARA VALVULA DE DESCARGA, EM LOUCA BRANCA, COM ACESSORIOS, INCLUSIVE ASSENTO PLASTICO, BOLSA DE BORRACHA PARA LIGACAO, TUBO PVC LIGACAO - FORNECIMENTO E INSTALACAO</t>
  </si>
  <si>
    <t>1380</t>
  </si>
  <si>
    <t>VEDACAO PVC, 100 MM, PARA SAIDA VASO SANITARIO</t>
  </si>
  <si>
    <t>6140</t>
  </si>
  <si>
    <t>BOLSA DE LIGACAO EM PVC FLEXIVEL PARA VASO SANITARIO 1.1/2 " (40 MM)</t>
  </si>
  <si>
    <t>11686</t>
  </si>
  <si>
    <t>CONJUNTO DE LIGACAO PARA BACIA SANITARIA EM PLASTICO BRANCO COM TUBO, CANOPLA E ANEL DE EXPANSAO (TUBO 1.1/2 '' X 20 CM)</t>
  </si>
  <si>
    <t>11761</t>
  </si>
  <si>
    <t>ASSENTO  VASO SANITARIO INFANTIL EM PLASTICO BRANCO</t>
  </si>
  <si>
    <t>11786</t>
  </si>
  <si>
    <t>VASO SANITARIO SIFONADO INFANTIL LOUCA BRANCA</t>
  </si>
  <si>
    <t>11955</t>
  </si>
  <si>
    <t>PARAFUSO DE LATAO COM ACABAMENTO CROMADO PARA FIXAR PECA SANITARIA, INCLUI PORCA CEGA, ARRUELA E BUCHA DE NYLON TAMANHO S-10</t>
  </si>
  <si>
    <t xml:space="preserve">VASO SANITARIO SIFONADO CONVENCIONAL PARA PCD SEM FURO FRONTAL COM LOUÇA BRANCA SEM ASSENTO, INCLUSO CONJUNTO DE LIGAÇÃO PARA BACIA SANITÁRIA AJUSTÁVEL - FORNECIMENTO E INSTALAÇÃO. </t>
  </si>
  <si>
    <t>SINAPI  86932</t>
  </si>
  <si>
    <t>Código:   72739  SINAPI</t>
  </si>
  <si>
    <t>Código:   95472  SINAPI</t>
  </si>
  <si>
    <t xml:space="preserve">VASO SANITARIO SIFONADO CONVENCIONAL PARA PCD SEM FURO FRONTAL COM  LOUÇA BRANCA SEM ASSENTO -  FORNECIMENTO E INSTALAÇÃO. </t>
  </si>
  <si>
    <t>Código:  95471 SINAPI MT</t>
  </si>
  <si>
    <t>BACIA SANITARIA (VASO) CONVENCIONAL PARA PCD SEM FURO FRONTAL, DE LOUCA BRANCA, SEM ASSENTO</t>
  </si>
  <si>
    <t>mód 1</t>
  </si>
  <si>
    <t>SINAPI  93142</t>
  </si>
  <si>
    <t xml:space="preserve">PONTO DE TOMADA RESIDENCIAL INCLUINDO TOMADA (2 MÓDULOS) 10A/250V, CAIXA ELÉTRICA, ELETRODUTO, CABO, RASGO, QUEBRA E CHUMBAMENTO. </t>
  </si>
  <si>
    <t xml:space="preserve">Código:   93142 SINAPI </t>
  </si>
  <si>
    <t xml:space="preserve">TOMADA MÉDIA DE EMBUTIR (2 MÓDULOS), 2P+T 10 A, INCLUINDO SUPORTE E PLACA - FORNECIMENTO E INSTALAÇÃO. </t>
  </si>
  <si>
    <t>Código:   92004 SINAPI MT</t>
  </si>
  <si>
    <t xml:space="preserve">TOMADA MÉDIA DE EMBUTIR (2 MÓDULOS), 2P+T 10 A, SEM SUPORTE E SEM PLACA - FORNECIMENTO E INSTALAÇÃO. </t>
  </si>
  <si>
    <t>Código:   92002 SINAPI MT</t>
  </si>
  <si>
    <t>INTERRUPTOR 2 TECLAS</t>
  </si>
  <si>
    <t>INTERRUPTOR 3 TECLAS</t>
  </si>
  <si>
    <t>SINAPI  93144</t>
  </si>
  <si>
    <t>PONTO DE UTILIZAÇÃO DE EQUIPAMENTOS ELÉTRICOS, RESIDENCIAL, INCLUINDO SUPORTE E PLACA, CAIXA ELÉTRICA, ELETRODUTO, CABO, RASGO, QUEBRA E CHUMBAMENTO.  (chuveiro, ar condicionado, coifa)</t>
  </si>
  <si>
    <t>TOMADA DE LÓGICA</t>
  </si>
  <si>
    <t>LUMINÁRIA TIPO SPOT, DE SOBREPOR, COM 1 LÂMPADA DE 15W - FORNECIMENTO E INSTALAÇÃO.  (embutir no piso)</t>
  </si>
  <si>
    <t>SINAPI 83463</t>
  </si>
  <si>
    <t>QUADRO DE DISTRIBUICAO DE ENERGIA EM CHAPA DE ACO GALVANIZADO, PARA 12 DISJUNTORES TERMOMAGNETICOS MONOPOLARES, COM BARRAMENTO TRIFASICO E NEUTRO - FORNECIMENTO E INSTALACAO</t>
  </si>
  <si>
    <t>SINAPI 84402</t>
  </si>
  <si>
    <t>QUADRO DE DISTRIBUICAO DE ENERGIA P/ 6 DISJUNTORES TERMOMAGNETICOS MONOPOLARES SEM BARRAMENTO, DE EMBUTIR, EM CHAPA METALICA - FORNECIMENTO E INSTALACAO</t>
  </si>
  <si>
    <t>SINAPI      74131/004</t>
  </si>
  <si>
    <t>QUADRO DE DISTRIBUICAO DE ENERGIA DE EMBUTIR, EM CHAPA METALICA, PARA 18 DISJUNTORES TERMOMAGNETICOS MONOPOLARES, COM BARRAMENTO TRIFASICO E NEUTRO, FORNECIMENTO E INSTALACAO</t>
  </si>
  <si>
    <t>SINAPI      74131/005</t>
  </si>
  <si>
    <t>QUADRO DE DISTRIBUICAO DE ENERGIA DE EMBUTIR, EM CHAPA METALICA, PARA 24 DISJUNTORES TERMOMAGNETICOS MONOPOLARES, COM BARRAMENTO TRIFASICO E NEUTRO, FORNECIMENTO E INSTALACAO</t>
  </si>
  <si>
    <t>DISJUNTOR 3X63A</t>
  </si>
  <si>
    <t>DISJUNTOR 3X80A</t>
  </si>
  <si>
    <t>DISJUNTOR 3X100A</t>
  </si>
  <si>
    <t>DISJUNTOR 3X125A</t>
  </si>
  <si>
    <t>DISJUNTOR 1X16A</t>
  </si>
  <si>
    <t>DISJUNTOR 1X32A</t>
  </si>
  <si>
    <t>DISJUNTOR 2X16A</t>
  </si>
  <si>
    <t>DISJUNTOR 3X30A</t>
  </si>
  <si>
    <t>DISJUNTOR 2X32A</t>
  </si>
  <si>
    <t>DISJUNTOR 2X40A</t>
  </si>
  <si>
    <t>QUADRO DE LÓGICA QL</t>
  </si>
  <si>
    <t>2.4</t>
  </si>
  <si>
    <t>Drenagem</t>
  </si>
  <si>
    <t>DRENAGEM</t>
  </si>
  <si>
    <t>SINAPI  94103</t>
  </si>
  <si>
    <t>lastro de pedrisco</t>
  </si>
  <si>
    <t>SINAPI  83665</t>
  </si>
  <si>
    <t>manta bidim</t>
  </si>
  <si>
    <t>SINAPI  83671</t>
  </si>
  <si>
    <t>tubo pvc 150mm</t>
  </si>
  <si>
    <t>tubo corrugado 150mm</t>
  </si>
  <si>
    <t>seixo rolado n4</t>
  </si>
  <si>
    <t>-</t>
  </si>
  <si>
    <t>REATERRO MANUAL APILOADO COM SOQUETE.  (sapatas)</t>
  </si>
  <si>
    <t>reaterro</t>
  </si>
  <si>
    <t>SINAPI      75029/001</t>
  </si>
  <si>
    <t>SINAPI     73902/001</t>
  </si>
  <si>
    <t>CAMADA DRENANTE COM SEIXO ROLADO NUM 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</si>
  <si>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</si>
  <si>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</si>
  <si>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</si>
  <si>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</si>
  <si>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</si>
  <si>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</si>
  <si>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</si>
  <si>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</si>
  <si>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KIT REGISTRO DE GAVETA 3/4"</t>
  </si>
  <si>
    <t>KIT REGISTRO DE GAVETA 32MM</t>
  </si>
  <si>
    <t>KIT REGISTRO DE PRESSÃO 25MM</t>
  </si>
  <si>
    <t>KIT REGISTRO DE GAVETA 85MM</t>
  </si>
  <si>
    <t>KIT REGISTRO DE GAVETA 110MM</t>
  </si>
  <si>
    <t>TUBO PVC SOLDAVEL 110MM</t>
  </si>
  <si>
    <t>TUBO PVC SOLDAVEL 85MM</t>
  </si>
  <si>
    <t>TUBO PVC SOLDAVEL 60MM</t>
  </si>
  <si>
    <t>TUBO PVC SOLDAVEL 40MM</t>
  </si>
  <si>
    <t>TUBO PVC SOLDAVEL 25MM</t>
  </si>
  <si>
    <t>TUBO PVC SOLDAVEL 32MM</t>
  </si>
  <si>
    <t>FOSSA BANANEIRA  2,30 X 15,00 X 3,25</t>
  </si>
  <si>
    <t>SUMIDOURO  DN 3,00M    PROF 3,00M</t>
  </si>
  <si>
    <t>FOSSA SÉPTICA DN 3,00M    PROF 2,70M</t>
  </si>
  <si>
    <t>TUBO PVC ESGOTO 150MM</t>
  </si>
  <si>
    <t>TUBO PVC ESGOTO 100MM</t>
  </si>
  <si>
    <t>TUBO PVC ESGOTO 75MM</t>
  </si>
  <si>
    <t>TUBO PVC ESGOTO 40MM</t>
  </si>
  <si>
    <t>TUBO PVC ESGOTO 50MM</t>
  </si>
  <si>
    <t>Caixa de inspeção de esgoto 30x30x30cm, conforme projeto.</t>
  </si>
  <si>
    <t>Caixa de inspeção de esgoto 150x150x41cm, conforme projeto.</t>
  </si>
  <si>
    <t>8.1.9</t>
  </si>
  <si>
    <t>8.1.11</t>
  </si>
  <si>
    <t>8.1.12</t>
  </si>
  <si>
    <t>8.1.13</t>
  </si>
  <si>
    <t>8.1.14</t>
  </si>
  <si>
    <t>8.1.16</t>
  </si>
  <si>
    <t>8.1.17</t>
  </si>
  <si>
    <t>8.1.18</t>
  </si>
  <si>
    <t>8.1.19</t>
  </si>
  <si>
    <t>8.1.20</t>
  </si>
  <si>
    <t>8.1.21</t>
  </si>
  <si>
    <t>8.1.22</t>
  </si>
  <si>
    <t>8.1.23</t>
  </si>
  <si>
    <t>8.1.24</t>
  </si>
  <si>
    <t>8.1.25</t>
  </si>
  <si>
    <t>8.1.26</t>
  </si>
  <si>
    <t>8.1.27</t>
  </si>
  <si>
    <t>8.1.28</t>
  </si>
  <si>
    <t>8.1.29</t>
  </si>
  <si>
    <t>8.1.30</t>
  </si>
  <si>
    <t>8.1.31</t>
  </si>
  <si>
    <t>7.1</t>
  </si>
  <si>
    <t>7.2</t>
  </si>
  <si>
    <t>7.3</t>
  </si>
  <si>
    <t>7.4</t>
  </si>
  <si>
    <t>7.5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</si>
  <si>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</si>
  <si>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</si>
  <si>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</si>
  <si>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</si>
  <si>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</si>
  <si>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</si>
  <si>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</si>
  <si>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</si>
  <si>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</si>
  <si>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</si>
  <si>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</si>
  <si>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</si>
  <si>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</si>
  <si>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</si>
  <si>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</si>
  <si>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</si>
  <si>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</si>
  <si>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</si>
  <si>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</si>
  <si>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</si>
  <si>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</si>
  <si>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</si>
  <si>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</si>
  <si>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</si>
  <si>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</si>
  <si>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Caixa de inspeção de esgoto 40x40x22cm, conforme projeto.</t>
  </si>
  <si>
    <t>Caixa de inspeção de esgoto 40x40x36cm, conforme projeto.</t>
  </si>
  <si>
    <t>Caixa de inspeção de esgoto 100x70x90cm, conforme projeto.</t>
  </si>
  <si>
    <t>Caixa de inspeção de esgoto 60x60x50cm, conforme projeto.</t>
  </si>
  <si>
    <t>Caixa de inspeção de esgoto 60x60x100cm, conforme projeto.</t>
  </si>
  <si>
    <t>Caixa de inspeção de esgoto 70x30x85cm, conforme projeto.</t>
  </si>
  <si>
    <t>Caixa de inspeção de esgoto 150x150x80cm, conforme projeto.</t>
  </si>
  <si>
    <t>Caixa de inspeção de esgoto 30x30x40cm, conforme projeto.</t>
  </si>
  <si>
    <t>Caixa de inspeção de esgoto 30x30x70cm, conforme projeto.</t>
  </si>
  <si>
    <t>PONTO PARA VÁLVULA DE DESCARGA</t>
  </si>
  <si>
    <t>79100KG</t>
  </si>
  <si>
    <t>IMPLANTAÇÃO</t>
  </si>
  <si>
    <t>SINAPI  75220</t>
  </si>
  <si>
    <t xml:space="preserve">ESCAVAÇÃO MANUAL DE VALA COM PROFUNDIDADE MENOR OU IGUAL A 1,30 M. </t>
  </si>
  <si>
    <t>4021</t>
  </si>
  <si>
    <t>MONTADOR (TUBO AÇO/EQUIPAMENTOS) COM ENCARGOS COMPLEMENTARES</t>
  </si>
  <si>
    <t>TUBO PVC  SERIE NORMAL, DN 150 MM, PARA ESGOTO  PREDIAL (NBR 5688)</t>
  </si>
  <si>
    <t>88277 SINAPI MT 05/2018</t>
  </si>
  <si>
    <t>INSTALADOR DE TUBULACOES (TUBOS/EQUIPAMENTOS)</t>
  </si>
  <si>
    <t>CURSO DE CAPACITAÇÃO PARA MONTADOR  DE TUBO AÇO/EQUIPAMENTOS (ENCARGOS COMPLEMENTARES) - HORISTA</t>
  </si>
  <si>
    <t>95343 SINAPI MT 05/2018</t>
  </si>
  <si>
    <t>9834</t>
  </si>
  <si>
    <t>CAMADA DRENANTE COM BRITA NUM 3</t>
  </si>
  <si>
    <t>4722</t>
  </si>
  <si>
    <t>PEDRA BRITADA N. 3 (38 A 50 MM) POSTO PEDREIRA/FORNECEDOR, SEM FRETE</t>
  </si>
  <si>
    <t>11.016.0003-A</t>
  </si>
  <si>
    <t>DEMOLIÇÃO PISO DE CONCRETO</t>
  </si>
  <si>
    <t>DEMOLIÇÃO PISO DE PEDRA</t>
  </si>
  <si>
    <t>TCPO   3R 03 42 00 00 00 00 06 15</t>
  </si>
  <si>
    <t>Código:   3R 03 42 00 00 00 00 06 15   TCPO</t>
  </si>
  <si>
    <t>Código:   C1073  SEINFRA</t>
  </si>
  <si>
    <t>DEMOLIÇÃO DE REVESTIMENTO COM PEDRAS NATURAIS</t>
  </si>
  <si>
    <t>RETIRADA E TRANSPORTE DE GRADIL METÁLICO</t>
  </si>
  <si>
    <t>Código:   404018  CDHU</t>
  </si>
  <si>
    <t>RETIRADA DE BRINQUEDOS</t>
  </si>
  <si>
    <t>Código:   176050  SIURB EDIF</t>
  </si>
  <si>
    <t>176050 SIURB EDIF</t>
  </si>
  <si>
    <r>
      <t xml:space="preserve">VENTILADOR DE TETO HLVS INDUSTRIAL COM PÁS DE ALUMÍNIO POLIDO  </t>
    </r>
    <r>
      <rPr>
        <sz val="11"/>
        <color theme="1"/>
        <rFont val="Calibri"/>
        <family val="2"/>
      </rPr>
      <t>Ø</t>
    </r>
    <r>
      <rPr>
        <sz val="6.95"/>
        <color theme="1"/>
        <rFont val="Arial"/>
        <family val="2"/>
      </rPr>
      <t>2,50M</t>
    </r>
  </si>
  <si>
    <t>tubulação galvanizada</t>
  </si>
  <si>
    <t>ALTURA DO CILINDRO</t>
  </si>
  <si>
    <t>linha reta CAD (PISO + ALTURA DO FOGÃO)</t>
  </si>
  <si>
    <t>AR CONDICIONADO</t>
  </si>
  <si>
    <r>
      <t xml:space="preserve">dreno </t>
    </r>
    <r>
      <rPr>
        <sz val="11"/>
        <color theme="1"/>
        <rFont val="Calibri"/>
        <family val="2"/>
      </rPr>
      <t>Ø32mm</t>
    </r>
  </si>
  <si>
    <t>piso</t>
  </si>
  <si>
    <t>elevação</t>
  </si>
  <si>
    <t>lastro de areia</t>
  </si>
  <si>
    <t>bota fora</t>
  </si>
  <si>
    <t>8.5.3</t>
  </si>
  <si>
    <t>8.5.4</t>
  </si>
  <si>
    <t>8.5.5</t>
  </si>
  <si>
    <t>8.5.6</t>
  </si>
  <si>
    <t>8.5.7</t>
  </si>
  <si>
    <t>TUBO PVC 32MM PARA DRENO (descida)</t>
  </si>
  <si>
    <t>ASSENTAMENTO DE TUBO 32mm (piso)</t>
  </si>
  <si>
    <t>LASTRO DE AREIA</t>
  </si>
  <si>
    <t xml:space="preserve">módulo 3 e 4 </t>
  </si>
  <si>
    <t>8.5.8</t>
  </si>
  <si>
    <t>Aluguel container para escritorio ,medindo 2,20m largura  c/wc,medindo 2,20m largura,6,20m comprimento e 2,50m altura,chapas aco c/nervuras trapezoidais,isolamento termo-acustico forro,chassis reforcado e piso compensado (Sala Fiscalização)</t>
  </si>
  <si>
    <t xml:space="preserve">Aluguel container para escritorio ,medindo 2,20m largura  c/wc,medindo 2,20m largura,6,20m comprimento e 2,50m altura,chapas aco c/nervuras trapezoidais,isolamento termo-acustico forro,chassis reforcado e piso compensado  (Administração)  </t>
  </si>
  <si>
    <t>Aluguel container para escritorio ,medindo 2,20m largura  c/wc,medindo 2,20m largura,6,20m comprimento e 2,50m altura,chapas aco c/nervuras trapezoidais,isolamento termo-acustico forro,chassis reforcado e piso compensado (2 para Ferramentaria)</t>
  </si>
  <si>
    <t>Aluguel container para escritorio ,medindo 2,20m largura  c/wc,medindo 2,20m largura,6,20m comprimento e 2,50m altura,chapas aco c/nervuras trapezoidais,isolamento termo-acustico forro,chassis reforcado e piso compensado (Refeitório)</t>
  </si>
  <si>
    <t>Aluguel container para escritorio ,medindo 2,20m largura  c/wc,medindo 2,20m largura,6,20m comprimento e 2,50m altura,chapas aco c/nervuras trapezoidais,isolamento termo-acustico forro,chassis reforcado e piso compensado (bw/vestiário)</t>
  </si>
  <si>
    <t>1.2.4</t>
  </si>
  <si>
    <t>1.2.5</t>
  </si>
  <si>
    <t>LIGAÇÃO PROVISÓRIA DE ÁGUA</t>
  </si>
  <si>
    <t>1.1.4</t>
  </si>
  <si>
    <t>SINAPI 41598</t>
  </si>
  <si>
    <t>ENTRADA PROVISORIA DE ENERGIA ELETRICA AEREA TRIFASICA 40A EM POSTE MADEIRA</t>
  </si>
  <si>
    <t>Código:   41598  SINAPI</t>
  </si>
  <si>
    <t>406</t>
  </si>
  <si>
    <t>FITA ACO INOX PARA CINTAR POSTE, L = 19 MM, E = 0,5 MM (ROLO DE 30M)</t>
  </si>
  <si>
    <t>420</t>
  </si>
  <si>
    <t>CINTA CIRCULAR EM ACO GALVANIZADO DE 150 MM DE DIAMETRO PARA FIXACAO DE CAIXA MEDICAO, INCLUI PARAFUSOS E PORCAS</t>
  </si>
  <si>
    <t>857</t>
  </si>
  <si>
    <t>CABO DE COBRE NU 16 MM2 MEIO-DURO</t>
  </si>
  <si>
    <t>937</t>
  </si>
  <si>
    <t>FIO DE COBRE, SOLIDO, CLASSE 1, ISOLACAO EM PVC/A, ANTICHAMA BWF-B, 450/750V, SECAO NOMINAL 10 MM2</t>
  </si>
  <si>
    <t>1062</t>
  </si>
  <si>
    <t>CAIXA INTERNA DE MEDICAO PARA 1 MEDIDOR TRIFASICO, COM VISOR, EM CHAPA DE ACO 18 USG (PADRAO DA CONCESSIONARIA LOCAL)</t>
  </si>
  <si>
    <t>1096</t>
  </si>
  <si>
    <t>ARMACAO VERTICAL COM HASTE E CONTRA-PINO, EM CHAPA DE ACO GALVANIZADO 3/16", COM 4 ESTRIBOS E 4 ISOLADORES</t>
  </si>
  <si>
    <t>1539</t>
  </si>
  <si>
    <t>CONECTOR METALICO TIPO PARAFUSO FENDIDO (SPLIT BOLT), PARA CABOS ATE 16 MM2</t>
  </si>
  <si>
    <t>1892</t>
  </si>
  <si>
    <t>2392</t>
  </si>
  <si>
    <t>DISJUNTOR TIPO NEMA, TRIPOLAR 10  ATE  50A, TENSAO MAXIMA DE 415 V</t>
  </si>
  <si>
    <t>2685</t>
  </si>
  <si>
    <t>2731</t>
  </si>
  <si>
    <t>MADEIRA ROLICA TRATADA, EUCALIPTO OU EQUIVALENTE DA REGIAO, H = 12 M, D = 20 A 24 CM (PARA POSTE)</t>
  </si>
  <si>
    <t>4346</t>
  </si>
  <si>
    <t>PARAFUSO DE FERRO POLIDO, SEXTAVADO, COM ROSCA PARCIAL, DIAMETRO 5/8", COMPRIMENTO 6", COM PORCA E ARRUELA DE PRESSAO MEDIA</t>
  </si>
  <si>
    <t>11267</t>
  </si>
  <si>
    <t>ARRUELA REDONDA DE LATAO, DIAMETRO EXTERNO = 34 MM, ESPESSURA = 2,5 MM, DIAMETRO DO FURO = 17 MM</t>
  </si>
  <si>
    <t>12034</t>
  </si>
  <si>
    <t>CURVA 180 GRAUS, DE PVC RIGIDO ROSCAVEL, DE 3/4", PARA ELETRODUTO</t>
  </si>
  <si>
    <t>39176</t>
  </si>
  <si>
    <t>BUCHA EM ALUMINIO, COM ROSCA, DE 1", PARA ELETRODUTO</t>
  </si>
  <si>
    <t>39210</t>
  </si>
  <si>
    <t>ARRUELA EM ALUMINIO, COM ROSCA, DE 1", PARA ELETRODUTO</t>
  </si>
  <si>
    <t>Topógrafo</t>
  </si>
  <si>
    <t>CONSTRUÇÃO DA ESCOLA</t>
  </si>
  <si>
    <t>CENTRO DE ATIVIDADES POCONÉ</t>
  </si>
  <si>
    <t>VALOR MÉDIO MENSAL DA DESPESA COM TRANSPORTE DO PESSOAL DA ADMINISTRAÇÃO DIRETA (Custo Direto + B.D.I)</t>
  </si>
  <si>
    <t>RETIRADA DE BRINQUEDOS COM REAPROVEITAMENTO</t>
  </si>
  <si>
    <t>DEMOLICAO DE ALVENARIA DE TIJOLOS FURADOS S/REAPROVEITAMENTO  (mureta do muro, caixa de drenagem e piscina)</t>
  </si>
  <si>
    <t xml:space="preserve">CUMEEIRA EM TELHA ONDULADA  </t>
  </si>
  <si>
    <t>Código:   75220  SINAPI</t>
  </si>
  <si>
    <t>CUMEEIRA EM PERFIL ONDULADO DE ALUMÍNIO</t>
  </si>
  <si>
    <t>7241</t>
  </si>
  <si>
    <t>CUMEEIRA ALUMINIO ONDULADA, COMPRIMENTO = *1,12* M, E = 0,8 MM</t>
  </si>
  <si>
    <t>multiuso</t>
  </si>
  <si>
    <t>salas, bws, adm,  sala prof, multiuso</t>
  </si>
  <si>
    <t>SINAPI  72337</t>
  </si>
  <si>
    <t>CAIXAS DE PASSAGEM NO PISO</t>
  </si>
  <si>
    <t>SINAPI  83367</t>
  </si>
  <si>
    <t>SINAPI 83369</t>
  </si>
  <si>
    <t>SINAPI 93657</t>
  </si>
  <si>
    <t>SINAPI 93654</t>
  </si>
  <si>
    <t>SINAPI 93661</t>
  </si>
  <si>
    <t>SINAPI 93664</t>
  </si>
  <si>
    <t>SINAPI 93665</t>
  </si>
  <si>
    <t>SINAPI 93671</t>
  </si>
  <si>
    <t>SINAPI      74130/007</t>
  </si>
  <si>
    <t>SINAPI      74130/005</t>
  </si>
  <si>
    <t>SINAPI  74052/005</t>
  </si>
  <si>
    <t>CAIXA DE MEDIÇÃO COM ATERRAMENTO</t>
  </si>
  <si>
    <t>SINAPI  89985</t>
  </si>
  <si>
    <t>SINAPI  89987</t>
  </si>
  <si>
    <t>SINAPI  94792</t>
  </si>
  <si>
    <t>SINAPI  94501</t>
  </si>
  <si>
    <t>SINAPI  89356</t>
  </si>
  <si>
    <t>SINAPI  89357</t>
  </si>
  <si>
    <t>SINAPI  89448</t>
  </si>
  <si>
    <t>SINAPI  89450</t>
  </si>
  <si>
    <t>SINAPI  89452</t>
  </si>
  <si>
    <t>SINAPI  94655</t>
  </si>
  <si>
    <t>6.1</t>
  </si>
  <si>
    <t>6.1.1</t>
  </si>
  <si>
    <t>Revestimento Cerâmico</t>
  </si>
  <si>
    <t>SINAPI  72186</t>
  </si>
  <si>
    <t>SINAPI  72187</t>
  </si>
  <si>
    <t>6.1.2</t>
  </si>
  <si>
    <t>PAREDE:  REVESTIMENTOS, ELEMENTOS DECORATIVOS, PINTURA</t>
  </si>
  <si>
    <t>84665  SINAPI</t>
  </si>
  <si>
    <t>PINTURA ACRILICA PARA SINALIZAÇÃO HORIZONTAL EM PISO CIMENTADO</t>
  </si>
  <si>
    <t>6.2</t>
  </si>
  <si>
    <t>6.2.1</t>
  </si>
  <si>
    <t>SINAPI 74065/001</t>
  </si>
  <si>
    <t>6.2.2</t>
  </si>
  <si>
    <t>SINAPI  74190/001</t>
  </si>
  <si>
    <t>IMPERMEABILIZACAO DE SUPERFICIE COM MASTIQUE BETUMINOSO A FRIO, POR AREA.</t>
  </si>
  <si>
    <t>Código:   74190/001  SINAPI</t>
  </si>
  <si>
    <t xml:space="preserve">Código:   73686  SINAPI </t>
  </si>
  <si>
    <t>ARAME GALVANIZADO 16 BWG, 1,65MM (0,0166 KG/M)</t>
  </si>
  <si>
    <t>4433</t>
  </si>
  <si>
    <t>7247</t>
  </si>
  <si>
    <t>7252</t>
  </si>
  <si>
    <t>88253</t>
  </si>
  <si>
    <t>AUXILIAR DE TOPÓGRAFO COM ENCARGOS COMPLEMENTARES</t>
  </si>
  <si>
    <t>88288</t>
  </si>
  <si>
    <t>NIVELADOR COM ENCARGOS COMPLEMENTARES</t>
  </si>
  <si>
    <t>88253 SINAPI MT  05/2018</t>
  </si>
  <si>
    <t xml:space="preserve">AUXILIAR DE TOPÓGRAFO </t>
  </si>
  <si>
    <t>CURSO DE CAPACITAÇÃO PARA AUXILIAR DE TOPÓGRAFO (ENCARGOS COMPLEMENTARES) - HORISTA</t>
  </si>
  <si>
    <t>95322 SINAPI MT 05/2018</t>
  </si>
  <si>
    <t>AUXILIAR DE TOPÓGRAFO</t>
  </si>
  <si>
    <t xml:space="preserve">NIVELADOR </t>
  </si>
  <si>
    <t>88288 SINAPI MT  05/2018</t>
  </si>
  <si>
    <t>CURSO DE CAPACITAÇÃO PARA NIVELADOR (ENCARGOS COMPLEMENTARES) - HORISTA</t>
  </si>
  <si>
    <t>95352 SINAPI MT 05/2018</t>
  </si>
  <si>
    <t>NIVELADOR</t>
  </si>
  <si>
    <r>
      <t xml:space="preserve">BAMBU  </t>
    </r>
    <r>
      <rPr>
        <sz val="11"/>
        <color theme="1"/>
        <rFont val="Calibri"/>
        <family val="2"/>
      </rPr>
      <t>Ø</t>
    </r>
    <r>
      <rPr>
        <sz val="8.4499999999999993"/>
        <color theme="1"/>
        <rFont val="Arial"/>
        <family val="2"/>
      </rPr>
      <t>30MM  (cobertura de proteção)</t>
    </r>
  </si>
  <si>
    <t>SINAPI   73857/004</t>
  </si>
  <si>
    <t>TRANSFORMADOR DISTRIBUICAO  225KVA TRIFASICO 60HZ CLASSE 15KV IMERSO EM ÓLEO MINERAL FORNECIMENTO E INSTALACAO</t>
  </si>
  <si>
    <t>SINAPI  73783/006</t>
  </si>
  <si>
    <t>POSTE CONCRETO SEÇÃO CIRCULAR COMPRIMENTO=7M CARGA NOMINAL TOPO 200KG INCLUSIVE ESCAVACAO EXCLUSIVE TRANSPORTE - FORNECIMENTO E COLOCAÇÃO</t>
  </si>
  <si>
    <t>89709  SINAPI</t>
  </si>
  <si>
    <t>SINAPI  98081</t>
  </si>
  <si>
    <t>SINAPI  98057</t>
  </si>
  <si>
    <t>SINAPI  98077</t>
  </si>
  <si>
    <t>SINAPI  89849</t>
  </si>
  <si>
    <t>SINAPI  89711</t>
  </si>
  <si>
    <t>SINAPI  89714</t>
  </si>
  <si>
    <t>SINAPI  89713</t>
  </si>
  <si>
    <t>SINAPI  89712</t>
  </si>
  <si>
    <t>SINAPI  97902</t>
  </si>
  <si>
    <t>SINAPI  97903</t>
  </si>
  <si>
    <t>SINAPI  89708</t>
  </si>
  <si>
    <t>SINAPI  94102</t>
  </si>
  <si>
    <t>SINAPI  86942</t>
  </si>
  <si>
    <t>88270</t>
  </si>
  <si>
    <t>88270  SINAPI MT  05/2018</t>
  </si>
  <si>
    <t>Código:   97086 SINAPI MT</t>
  </si>
  <si>
    <t xml:space="preserve">FABRICAÇÃO, MONTAGEM E DESMONTAGEM DE FORMA PARA RADIER, EM MADEIRA SERRADA, 4 UTILIZAÇÕES. </t>
  </si>
  <si>
    <t>4491</t>
  </si>
  <si>
    <t>5068</t>
  </si>
  <si>
    <t>6193</t>
  </si>
  <si>
    <t>PECA DE MADEIRA NATIVA / REGIONAL 7,5 X 7,5CM (3X3) NAO APARELHADA (P/FORMA)</t>
  </si>
  <si>
    <t>PREGO DE ACO POLIDO COM CABECA 17 X 21 (2 X 11)</t>
  </si>
  <si>
    <t>TABUA MADEIRA 2A QUALIDADE 2,5 X 20,0CM (1 X 8") NAO APARELHADA</t>
  </si>
  <si>
    <t>7154</t>
  </si>
  <si>
    <t>TELA DE ACO SOLDADA NERVURADA CA-60, Q-138, (2,20 KG/M2), DIAMETRO DO FIO = 4,2 MM, LARGURA =  2,45 X 120 M DE COMPRIMENTO, ESPACAMENTO DA MALHA = 10 X 10 CM</t>
  </si>
  <si>
    <t>SINAPI  73994/001</t>
  </si>
  <si>
    <t>Código:   73872/001  SINAPI</t>
  </si>
  <si>
    <t>IMPERMEABILIZACAO COM PINTURA A BASE DE RESINA EPOXI ALCATRAO, UMA DEMAO.</t>
  </si>
  <si>
    <t>154</t>
  </si>
  <si>
    <t>TINTA/REVESTIMENTO  A BASE DE RESINA EPOXI COM ALCATRAO, BICOMPONENTE</t>
  </si>
  <si>
    <t>5318</t>
  </si>
  <si>
    <t>SOLVENTE DILUENTE A BASE DE AGUARRAS</t>
  </si>
  <si>
    <t>Código:   87473 SINAPI MT</t>
  </si>
  <si>
    <t>34547</t>
  </si>
  <si>
    <t>TELA DE ACO SOLDADA GALVANIZADA/ZINCADA PARA ALVENARIA, FIO  D = *1,20 A 1,70* MM, MALHA 15 X 15 MM, (C X L) *50 X 12* CM</t>
  </si>
  <si>
    <t>37395</t>
  </si>
  <si>
    <t>PINO DE ACO COM FURO, HASTE = 27 MM (ACAO DIRETA)</t>
  </si>
  <si>
    <t>37593</t>
  </si>
  <si>
    <t>BLOCO CERAMICO DE VEDACAO COM FUROS NA VERTICAL, 14 X 19 X 39 CM - 4,5 MPA (NBR 15270)</t>
  </si>
  <si>
    <t>CENTO</t>
  </si>
  <si>
    <t>87292</t>
  </si>
  <si>
    <t xml:space="preserve">ARGAMASSA TRAÇO 1:2:8 (CIMENTO, CAL E AREIA MÉDIA) PARA EMBOÇO/MASSA ÚNICA/ASSENTAMENTO DE ALVENARIA DE VEDAÇÃO, PREPARO MECÂNICO COM BETONEIRA 400 L. </t>
  </si>
  <si>
    <t>Código:   87292 SINAPI MT</t>
  </si>
  <si>
    <t>1106</t>
  </si>
  <si>
    <t>CAL HIDRATADA CH-I PARA ARGAMASSAS</t>
  </si>
  <si>
    <t>OPERADOR DE BETONEIRA COM ENCARGOS COMPLEMENTARES</t>
  </si>
  <si>
    <t>88831</t>
  </si>
  <si>
    <t>Código:   87878 SINAPI MT</t>
  </si>
  <si>
    <t>87377</t>
  </si>
  <si>
    <t xml:space="preserve">ARGAMASSA TRAÇO 1:3 (CIMENTO E AREIA GROSSA) PARA CHAPISCO CONVENCIONAL, PREPARO MANUAL. </t>
  </si>
  <si>
    <t>Código:   87377 SINAPI MT</t>
  </si>
  <si>
    <t>Código:   87529 SINAPI MT</t>
  </si>
  <si>
    <t xml:space="preserve">MASSA ÚNICA, PARA RECEBIMENTO DE PINTURA, EM ARGAMASSA TRAÇO 1:2:8, PREPARO MECÂNICO COM BETONEIRA 400L, APLICADA MANUALMENTE EM FACES INTERNAS DE PAREDES, ESPESSURA DE 20MM, COM EXECUÇÃO DE TALISCAS. </t>
  </si>
  <si>
    <t>Código:   87527 SINAPI MT</t>
  </si>
  <si>
    <t xml:space="preserve">EMBOÇO, PARA RECEBIMENTO DE CERÂMICA, EM ARGAMASSA TRAÇO 1:2:8, PREPARO MECÂNICO COM BETONEIRA 400L, APLICADO MANUALMENTE EM FACES INTERNAS DE PAREDES, PARA AMBIENTE COM ÁREA MENOR QUE 5M2, ESPESSURA DE 20MM, COM EXECUÇÃO DE TALISCAS. </t>
  </si>
  <si>
    <t>Código:   88415 SINAPI MT</t>
  </si>
  <si>
    <t xml:space="preserve">APLICAÇÃO MANUAL DE FUNDO SELADOR ACRÍLICO EM PAREDES EXTERNAS DE CASAS. </t>
  </si>
  <si>
    <t>SELADOR ACRILICO PAREDES INTERNAS/EXTERNAS</t>
  </si>
  <si>
    <t>Código:   95305 SINAPI MT</t>
  </si>
  <si>
    <t>Código:   74064/001 SINAPI MT</t>
  </si>
  <si>
    <t>7307</t>
  </si>
  <si>
    <t>FUNDO ANTICORROSIVO PARA METAIS FERROSOS (ZARCAO)</t>
  </si>
  <si>
    <t>Código:   73924/003 SINAPI MT</t>
  </si>
  <si>
    <t>3768</t>
  </si>
  <si>
    <t>LIXA EM FOLHA PARA FERRO, NUMERO 150</t>
  </si>
  <si>
    <t>7288</t>
  </si>
  <si>
    <t>TINTA ESMALTE SINTETICO PREMIUM FOSCO</t>
  </si>
  <si>
    <t>AZULEJISTA COM ENCARGOS COMPLEMENTARES</t>
  </si>
  <si>
    <t>Código:   74238/002 SINAPI MT</t>
  </si>
  <si>
    <t>PORTAO EM TELA ARAME GALVANIZADO N.12 MALHA 2" E MOLDURA EM TUBOS DE ACO COM DUAS FOLHAS DE ABRIR, INCLUSO FERRAGENS</t>
  </si>
  <si>
    <t>7167</t>
  </si>
  <si>
    <t>TELA DE ARAME GALV QUADRANGULAR / LOSANGULAR,  FIO 2,11 MM (14 BWG), MALHA  5 X 5 CM, H = 2 M</t>
  </si>
  <si>
    <t>7697</t>
  </si>
  <si>
    <t>TUBO ACO GALVANIZADO COM COSTURA, CLASSE MEDIA, DN 1.1/2", E = *3,25* MM, PESO *3,61* KG/M (NBR 5580)</t>
  </si>
  <si>
    <t>10997</t>
  </si>
  <si>
    <t>ELETRODO REVESTIDO AWS - E7018, DIAMETRO IGUAL A 4,00 MM</t>
  </si>
  <si>
    <t>21010</t>
  </si>
  <si>
    <t>TUBO ACO GALVANIZADO COM COSTURA, CLASSE LEVE, DN 25 MM ( 1"),  E = 2,65 MM,  *2,11* KG/M (NBR 5580)</t>
  </si>
  <si>
    <t>Código:   86914  SINAPI</t>
  </si>
  <si>
    <t xml:space="preserve">TORNEIRA CROMADA 1/2" OU 3/4" PARA TANQUE, PADRÃO MÉDIO - FORNECIMENTO E INSTALAÇÃO. </t>
  </si>
  <si>
    <t>13417</t>
  </si>
  <si>
    <t>TORNEIRA CROMADA SEM BICO PARA TANQUE 1/2 " OU 3/4 " (REF 1143)</t>
  </si>
  <si>
    <t>Código:   89707  SINAPI</t>
  </si>
  <si>
    <t>CAIXA SIFONADA, PVC, DN 100 X 100 X 50 MM, JUNTA ELÁSTICA, FORNECIDA E INSTALADA EM RAMAL DE DESCARGA OU EM RAMAL DE ESGOTO SANITÁRIO.</t>
  </si>
  <si>
    <t>5103</t>
  </si>
  <si>
    <t>CAIXA SIFONADA PVC, 100 X 100 X 50 MM, COM GRELHA REDONDA BRANCA</t>
  </si>
  <si>
    <t>7700</t>
  </si>
  <si>
    <t>TUBO ACO GALVANIZADO COM COSTURA, CLASSE MEDIA, DN 3/4", E = *2,65* MM, PESO *1,58* KG/M (NBR 5580)</t>
  </si>
  <si>
    <t>Código:   92688  SINAPI</t>
  </si>
  <si>
    <t>SINAPI     74244/001</t>
  </si>
  <si>
    <t>ALAMBRADO PARA QUADRA POLIESPORTIVA, ESTRUTURADO POR TUBOS DE ACO GALVANIZADO, COM COSTURA, DIN 2440, DIAMETRO 2", COM TELA DE ARAME GALVANIZADO, FIO 14 BWG E MALHA QUADRADA 5X5CM</t>
  </si>
  <si>
    <t>Código:   74244/001 SINAPI MT</t>
  </si>
  <si>
    <t>7696</t>
  </si>
  <si>
    <t>TUBO ACO GALVANIZADO COM COSTURA, CLASSE MEDIA, DN 2", E = *3,65* MM, PESO *5,10* KG/M (NBR 5580)</t>
  </si>
  <si>
    <t>333</t>
  </si>
  <si>
    <t>ARAME GALVANIZADO 14 BWG, D = 2,11 MM (0,026 KG/M)</t>
  </si>
  <si>
    <t>335</t>
  </si>
  <si>
    <t>ARAME GALVANIZADO 10 BWG, 3,40 MM (0,0713 KG/M)</t>
  </si>
  <si>
    <t>Código:   9537 SINAPI MT</t>
  </si>
  <si>
    <t>ACIDO MURIATICO, DILUICAO 10% A 12% PARA USO EM LIMPEZA</t>
  </si>
  <si>
    <t>SINAPI 9537</t>
  </si>
  <si>
    <t>Código:   84665 SINAPI MT</t>
  </si>
  <si>
    <t>7343</t>
  </si>
  <si>
    <t>TINTA A BASE DE RESINA ACRILICA, PARA SINALIZACAO HORIZONTAL VIARIA (NBR 11862)</t>
  </si>
  <si>
    <t>Código:   72254 SINAPI</t>
  </si>
  <si>
    <t>CABO DE COBRE NU 50MM2 - FORNECIMENTO E INSTALACAO</t>
  </si>
  <si>
    <t>LS: 118,57%</t>
  </si>
  <si>
    <t>ok</t>
  </si>
  <si>
    <t>PARAFUSO DE LATAO COM ROSCA SOBERBA, CABECA CHATA E FENDA SIMPLES, DIAMETRO 4,8 MM, COMPRIMENTO 65 MM</t>
  </si>
  <si>
    <t>CDHU  409499</t>
  </si>
  <si>
    <t>OK</t>
  </si>
  <si>
    <t>88278 SINAPI MT 05/2018</t>
  </si>
  <si>
    <t>25957</t>
  </si>
  <si>
    <t>MONTADOR DE ESTRUTURAS METALICAS</t>
  </si>
  <si>
    <t>CURSO DE CAPACITAÇÃO PARA MONTADOR DE ESTRUTURA METÁLICA (ENCARGOS COMPLEMENTARES) - HORISTA</t>
  </si>
  <si>
    <t>95344 SINAPI MT 05/2018</t>
  </si>
  <si>
    <t>AQUECEDOR SOLAR CAPACIDADE DO RESERVATORIO 1000 L, INCLUI 10 PLACAS COLETORAS DE 1,42 M2</t>
  </si>
  <si>
    <t>Código:   1501401450   EMOP RJ</t>
  </si>
  <si>
    <t>RESERVATORIO TERMICO DE BAIXA PRESSAO, PARA SISTEMA DE AQUECIMENTO SOLAR, COM 1000L, EXCLUSIVE INSTALACOES E PLACAS COLETORAS</t>
  </si>
  <si>
    <t>INSTALACAO DE SISTEMA DE AQUECIMENTO SOLAR, PARA 1000L, E 5 COLETORES VERTICAIS OU HORIZONTAIS, EXCLUSIVE RESERVATORIOS E PLACAS COLETORAS</t>
  </si>
  <si>
    <t>AR-CONDICIONADO FRIO SPLIT PISO-TETO 48000 BTU/H</t>
  </si>
  <si>
    <t>SINAPI  39842</t>
  </si>
  <si>
    <t>AR-CONDICIONADO FRIO SPLIT PISO-TETO 36000 BTU/H</t>
  </si>
  <si>
    <t>SINAPI  39841</t>
  </si>
  <si>
    <t>SINAPI  91967</t>
  </si>
  <si>
    <t>SINAPI  91959</t>
  </si>
  <si>
    <t>SIURB  101466</t>
  </si>
  <si>
    <t>DISPENSER PAPEL TOALHA, DE PAREDE, MANUAL, PARA SANITÁRIOS - ABS - ALTO IMPACTO - AUTO CORTE</t>
  </si>
  <si>
    <t>Código:   101466  SIURB</t>
  </si>
  <si>
    <t>TOALHEIRO PLASTICO TIPO DISPENSER PARA PAPEL TOALHA INTERFOLHADO</t>
  </si>
  <si>
    <t>SINAPI  95544</t>
  </si>
  <si>
    <t xml:space="preserve">PAPELEIRA DE PAREDE EM METAL CROMADO SEM TAMPA, INCLUSO FIXAÇÃO. </t>
  </si>
  <si>
    <t>BARRA DE APOIO EM ACO INOXIDAVEL AISI 304,TUBO DE 1.1/4",INC LUSIVE FIXACAO COM PARAFUSOS INOXIDAVEIS E BUCHAS PLASTICAS, COM 80CM,PARA PESSOAS COM NECESSIDADES ESPECIFICAS.FORNECIME NTO E COLOCACAO</t>
  </si>
  <si>
    <t>BARRA DE APOIO RETA, EM ACO INOX POLIDO, COMPRIMENTO 80CM, DIAMETRO MINIMO 3 CM</t>
  </si>
  <si>
    <t>Código:   1801601060  EMOP</t>
  </si>
  <si>
    <t>Código:   1801601080  EMOP</t>
  </si>
  <si>
    <t>BARRA DE APOIO EM ACO INOXIDAVEL AISI 304,TUBO DE 1 1/4",INC LUSIVE FIXACAO COM PARAFUSOS INOXIDAVEIS E BUCHAS PLASTICAS, COM 70CM,PARA PESSOAS COM NECESSIDADES ESPECIFICAS.FORNECIME NTO E COLOCACAO</t>
  </si>
  <si>
    <t>BARRA DE APOIO RETA, EM ACO INOX POLIDO, COMPRIMENTO 70CM, DIAMETRO MINIMO 3 CM</t>
  </si>
  <si>
    <t>Código:   1801601050  EMOP</t>
  </si>
  <si>
    <t>BARRA DE APOIO EM ACO INOXIDAVEL AISI 304,TUBO DE 1.1/4",INC LUSIVE FIXACAO COM PARAFUSOS INOXIDAVEIS E BUCHAS PLASTICAS, COM 50CM,PARA PESSOAS COM NECESSIDADES ESPECIFICAS.FORNECIME NTO E COLOCACAO</t>
  </si>
  <si>
    <t>BARRA DE APOIO RETA, EM ACO INOX POLIDO, COMPRIMENTO 60CM, DIAMETRO MINIMO 3 CM</t>
  </si>
  <si>
    <t>Código:   1801601400  EMOP</t>
  </si>
  <si>
    <t>BANCO ARTICULADO,COM CANTOS ARREDONDADOS E SUPERFICIE ANTIDE RRAPANTE IMPERMEAVEL,DIMENSOES MINIMAS 0,45X0,70M,EM ACO INO XIDAVEL AISI 304,TUBO DE 1 1/4",PARA PESSOAS COM NECESSIDADE S ESPECIFICAS.FORNCIMENTO E COLOCACAO</t>
  </si>
  <si>
    <t>BANCO ARTICULADO PARA BANHO, EM ACO INOX POLIDO, 70* CM X 45* CM</t>
  </si>
  <si>
    <t xml:space="preserve">BARRA DE APOIO 50CM EM ACO INOXIDAVEL AISI 304, TUBO DE 1.1/4", INCLUSIVE FIXACAO COM PARAFUSOS INOXIDAVEIS E BUCHAS PLASTICAS, PARA PESSOAS COM NECESSIDADES ESPECIFICAS. FORNECIMENTO E COLOCACAO  (lavatório - banheiro PNE)    </t>
  </si>
  <si>
    <t>TIJOLO CERAMICO MACICO *5 X 10 X 20* CM</t>
  </si>
  <si>
    <t>Código:   86943  SINAPI</t>
  </si>
  <si>
    <t xml:space="preserve">Código:  </t>
  </si>
  <si>
    <t>3R 23 42 17 00 00 00 05 42    TCPO</t>
  </si>
  <si>
    <t>4351</t>
  </si>
  <si>
    <t>PARAFUSO NIQUELADO 3 1/2" COM ACABAMENTO CROMADO PARA FIXAR PECA SANITARIA, INCLUI PORCA CEGA, ARRUELA E BUCHA DE NYLON TAMANHO S-8</t>
  </si>
  <si>
    <t>TANQUE DE AÇO INOXIDÁVEL</t>
  </si>
  <si>
    <t>SIFAO EM METAL CROMADO PARA TANQUE, 1.1/4 X 1.1/2 "</t>
  </si>
  <si>
    <t>TANQUE ACO INOXIDAVEL (ACO 304) COM ESFREGADOR E VALVULA, DE *50 X 40 X 22* CM</t>
  </si>
  <si>
    <t>TCPO  3R 23 42 17 00 00 00 05 42</t>
  </si>
  <si>
    <t>EMOP   15.014.0145-0</t>
  </si>
  <si>
    <t>JUNCAO SIMPLES, PVC SERIE R, DN 100 X 75 MM, PARA ESGOTO PREDIAL</t>
  </si>
  <si>
    <t>JOELHO, PVC SERIE R, 90 GRAUS, DN 100 MM, PARA ESGOTO PREDIAL</t>
  </si>
  <si>
    <t>TUBO PVC, SERIE R, DN 100 MM, PARA ESGOTO OU AGUAS PLUVIAIS PREDIAL (NBR 5688)</t>
  </si>
  <si>
    <t>TE, PVC, SERIE R, 100 X 100 MM, PARA ESGOTO PREDIAL</t>
  </si>
  <si>
    <t>TE SANITARIO, PVC, DN 50 X 50 MM, SERIE NORMAL, PARA ESGOTO PREDIAL</t>
  </si>
  <si>
    <t>TUBO PVC, SERIE R, DN 50 MM, PARA ESGOTO OU AGUAS PLUVIAIS PREDIAL (NBR 5688)</t>
  </si>
  <si>
    <t>JOELHO, PVC SERIE R, 90 GRAUS, DN 50 MM, PARA ESGOTO PREDIAL</t>
  </si>
  <si>
    <t>JUNCAO SIMPLES, PVC, DN 100 X 50 MM, SERIE NORMAL PARA ESGOTO PREDIAL</t>
  </si>
  <si>
    <t xml:space="preserve">Caixa de gordura especial em alvenaria de tijolos maciços (7x10x20cm), em paredes de uma vez (0,20m), medindo 0,80x0,80x0,90m, inclusive revestimento interno em argamassa de cimento e areia no traço, construído conforme projeto   </t>
  </si>
  <si>
    <t>BDI: 24,50%</t>
  </si>
  <si>
    <t>ABRIGO PARA HIDRANTE, 75X45X17CM, COM REGISTRO GLOBO ANGULAR 45º 2.1/2", ADAPTADOR STORZ 2.1/2", MANGUEIRA DE INCÊNDIO 15M, REDUÇÃO 2.1/2X1.1/2" E ESGUICHO EM LATÃO 1.1/2" - FORNECIMENTO E INSTALAÇÃO</t>
  </si>
  <si>
    <t>SINAPI  72283</t>
  </si>
  <si>
    <t>CAIXA DE INCÊNDIO 60X75X17CM - FORNECIMENTO E INSTALAÇÃO</t>
  </si>
  <si>
    <t>EXTINTOR DE PQS 4KG - FORNECIMENTO E INSTALACAO</t>
  </si>
  <si>
    <t>72553  SINAPI</t>
  </si>
  <si>
    <t>EXTINTOR INCENDIO AGUA-PRESSURIZADA 10L INCL SUPORTE PAREDE CARGA     COMPLETA FORNECIMENTO E COLOCACAO</t>
  </si>
  <si>
    <t>73775/002  SINAPI</t>
  </si>
  <si>
    <t>PLACA ESMALTADA PARA IDENTIFICAÇÃO NR DE RUA, DIMENSÕES 45X25CM</t>
  </si>
  <si>
    <t>TAMPAO FOFO ARTICULADO</t>
  </si>
  <si>
    <t>Kit Central Alarme De Incêndio 24 Setores Completa E Bateria</t>
  </si>
  <si>
    <t>8.8.7</t>
  </si>
  <si>
    <t>8.8.8</t>
  </si>
  <si>
    <t>8.8.9</t>
  </si>
  <si>
    <t>8.8.10</t>
  </si>
  <si>
    <t>8.8.11</t>
  </si>
  <si>
    <t>8.8.12</t>
  </si>
  <si>
    <t xml:space="preserve">Sinalizador Acustico Visual </t>
  </si>
  <si>
    <t xml:space="preserve">Acionador Manual </t>
  </si>
  <si>
    <t>EMOP  02.015.0001-0</t>
  </si>
  <si>
    <t>7.6</t>
  </si>
  <si>
    <t>7.7</t>
  </si>
  <si>
    <t>7.8</t>
  </si>
  <si>
    <t>=Orçamento!C119</t>
  </si>
  <si>
    <t xml:space="preserve">    Unidade SESC POCONÉ</t>
  </si>
  <si>
    <t>CONSTRUÇÃO DE ESCOLA DE ENSINO FUNDAMENTAL  II</t>
  </si>
  <si>
    <t xml:space="preserve">TOTAL DA PLANILHA (BDI = 24,50 %): </t>
  </si>
  <si>
    <t>Várzea Grande, julho de 2018</t>
  </si>
  <si>
    <t>BRISE DE MADEIRA DE LEI APARELHADA</t>
  </si>
  <si>
    <t>Código:   408971  CDHU</t>
  </si>
  <si>
    <t>AJUDANTE GERAL COM ENCARGOS COMPLEMENTARES</t>
  </si>
  <si>
    <t>BRISE DE MADEIRA</t>
  </si>
  <si>
    <t>MADEIRA SERRADA NAO APARELHADA DE MACARANDUBA, ANGELIM OU EQUIVALENTE DA REGIAO</t>
  </si>
  <si>
    <t>238x40</t>
  </si>
  <si>
    <t>86877</t>
  </si>
  <si>
    <t xml:space="preserve">VÁLVULA EM METAL CROMADO 1.1/2" X 1.1/2" PARA TANQUE OU LAVATÓRIO, COM OU SEM LADRÃO - FORNECIMENTO E INSTALAÇÃO. </t>
  </si>
  <si>
    <t>86883</t>
  </si>
  <si>
    <t xml:space="preserve">SIFÃO DO TIPO FLEXÍVEL EM PVC 1 X 1.1/2 - FORNECIMENTO E INSTALAÇÃO. </t>
  </si>
  <si>
    <t>Código:  86877 SINAPI MT</t>
  </si>
  <si>
    <t>VÁLVULA EM METAL CROMADO 1.1/2" X 1.1/2" PARA TANQUE OU LAVATÓRIO, COM OU SEM LADRÃO - FORNECIMENTO E INSTALAÇÃO.</t>
  </si>
  <si>
    <t>6157</t>
  </si>
  <si>
    <t>VALVULA EM METAL CROMADO PARA PIA AMERICANA 3.1/2 X 1.1/2 "</t>
  </si>
  <si>
    <t>Código:  86883 SINAPI MT</t>
  </si>
  <si>
    <t>6148</t>
  </si>
  <si>
    <t>SIFAO PLASTICO FLEXIVEL SAIDA VERTICAL PARA COLUNA LAVATORIO, 1 X 1.1/2 "</t>
  </si>
  <si>
    <t>BALCAO DE MADEIRA REVESTIDO COM LAMINADO MELAMINICO E=25CM</t>
  </si>
  <si>
    <t>BALCAO DE MADEIRA REVESTIDO COM LAMINADO MELAMINICO E=25CM    (2,38 x 0,40cm)</t>
  </si>
  <si>
    <t>COMP 04</t>
  </si>
  <si>
    <t>405615  CDHU</t>
  </si>
  <si>
    <t>BUCHA DE NYLON, DIAMETRO DO FURO 8 MM, COMPRIMENTO 40 MM, COM PARAFUSO DE ROSCA SOBERBA, CABECA CHATA, FENDA SIMPLES, 4,8 X 50 MM</t>
  </si>
  <si>
    <t xml:space="preserve"> INSTALACAO DE SISTEMA DE AQUECIMENTO SOLAR, PARA 200L  1 COLETOR VERTICAL OU HORIZONTAL, EXCLUSIVE RESERVATORIOS </t>
  </si>
  <si>
    <t>RESERVATORIO TERMICO DE BAIXA PRESSAO,PARA SISTEMA DE AQUECIMENTO DE ÁGUA SOLAR ,COM 200L.</t>
  </si>
  <si>
    <t>APARELHO MISTURADOR DE MESA PARA LAVATÓRIO, PADRÃO MÉDIO - FORNECIMENTO E INSTALAÇÃO.</t>
  </si>
  <si>
    <t xml:space="preserve"> Ponto de esgoto primário com tubo PVC e conexões Ø 100 mm</t>
  </si>
  <si>
    <t>CHAPA DE MDF BRANCO LISO 2 FACES, E = 25 MM, DE *2,75 X 1,85* M</t>
  </si>
  <si>
    <t>Código:   405615  CDHU</t>
  </si>
  <si>
    <t>CUBA DE LOUÇA BRANCA DE SEMI-ENCAIXE  36 X 32 CM</t>
  </si>
  <si>
    <t xml:space="preserve">CUBA DE SEMI ENCAIXE EM LOUÇA BRANCA, 40 X 40CM OU EQUIVALENTE, INCLUSO VÁLVULA EM METAL CROMADO E SIFÃO FLEXÍVEL EM PVC - FORNECIMENTO E INSTALAÇÃO. </t>
  </si>
  <si>
    <t xml:space="preserve">CUBA DE SEMI ENCAIXE EM LOUÇA BRANCA, 40 X 40CM OU EQUIVALENTE - FORNECIMENTO E INSTALAÇÃO. </t>
  </si>
  <si>
    <t>CUBA DE SEMI ENCAIXE EM LOUÇA BRANCA, 40 X 40CM OU EQUIVALENTE - FORNECIMENTO E INSTALAÇÃO.</t>
  </si>
  <si>
    <t xml:space="preserve">LAVATORIO/CUBA DE SEMI ENCAIXE LOUCA BRANCA                   42 X 42CM                      </t>
  </si>
  <si>
    <t>86901SINAPI</t>
  </si>
  <si>
    <t xml:space="preserve">BANCADA DE GRANITO CINZA POLIDO PARA LAVATÓRIO 2,50 X 0,60 M COM ESCOAMENTO OCULTO - FORNECIMENTO E INSTALAÇÃO. </t>
  </si>
  <si>
    <t>250x60</t>
  </si>
  <si>
    <t>BANCADA DE GRANITO CINZA CORUMBÁ POLIDO PARA LAVATÓRIO 2,50 X 0,60 M COM ESCOAMENTO OCULTO - FORNECIMENTO E INSTALAÇÃO. (banheiros)</t>
  </si>
  <si>
    <t>LAVATÓRIO LOUÇA BRANCA SUSPENSO,  29,5 X 39CM OU EQUIVALENTE, PADRÃO POPULAR, INCLUSO SIFÃO FLEXÍVEL EM PVC, VÁLVULA E ENGATE FLEXÍVEL 30CM EM PLÁSTICO E TORNEIRA CROMADA DE MESA, PADRÃO POPULAR - FORNECIMENTO E INSTALAÇÃO.  (banheiro PNE)</t>
  </si>
  <si>
    <t>SINAPI  86941</t>
  </si>
  <si>
    <t>LAVATÓRIO LOUÇA BRANCA COM COLUNA, 45 X 55CM OU EQUIVALENTE, PADRÃO MÉDIO, INCLUSO SIFÃO TIPO GARRAFA, VÁLVULA E ENGATE FLEXÍVEL DE 40CM EM METAL CROMADO, COM TORNEIRA CROMADA DE MESA, PADRÃO MÉDIO - FORNECIMENTO E INSTALAÇÃO. (banheiro funcionários)</t>
  </si>
  <si>
    <t>padovani.com.br</t>
  </si>
  <si>
    <t>40729 SINAPI</t>
  </si>
  <si>
    <t>13</t>
  </si>
  <si>
    <t>ESTOPA</t>
  </si>
  <si>
    <t>VALVULA DE DESCARGA COM SENSOR</t>
  </si>
  <si>
    <t>PROPRIA</t>
  </si>
  <si>
    <t>AJUDANTE DE PEDREIRO COM ENCARGOS COMPLEMENTARES</t>
  </si>
  <si>
    <t>Código:   88242 SINAPI MT</t>
  </si>
  <si>
    <t>AJUDANTE DE PEDREIRO</t>
  </si>
  <si>
    <t>CURSO DE CAPACITAÇÃO PARA AJUDANTE DE PEDREIRO (ENCARGOS COMPLEMENTARES) - HORISTA</t>
  </si>
  <si>
    <t>95312 SINAPI MT 05/2018</t>
  </si>
  <si>
    <t>6127</t>
  </si>
  <si>
    <t xml:space="preserve">TORNEIRA CROMADA DE MESA, TEMPORIZADA, 1/2" OU 3/4", PARA LAVATÓRIO. FORNECIMENTO E INSTALAÇÃO. </t>
  </si>
  <si>
    <t>DECA  TODIMO</t>
  </si>
  <si>
    <t>998PÇ</t>
  </si>
  <si>
    <t>CAVILHA DE MADEIRA 20UNID</t>
  </si>
  <si>
    <t>COTAÇÃO MARCENAL 3616.8888</t>
  </si>
  <si>
    <t>Código:   89709  SINAPI</t>
  </si>
  <si>
    <t xml:space="preserve">RALO SIFONADO, PVC, DN 100 X 40 MM, JUNTA SOLDÁVEL, FORNECIDO E INSTALADO EM RAMAL DE DESCARGA OU EM RAMAL DE ESGOTO SANITÁRIO. </t>
  </si>
  <si>
    <t>Código:   COMP.04</t>
  </si>
  <si>
    <t>EMOP  18.021.0105-0</t>
  </si>
  <si>
    <t>CAIXA SIFONADA 150x150x75MM</t>
  </si>
  <si>
    <t>RALO 100X40MM</t>
  </si>
  <si>
    <t>3148</t>
  </si>
  <si>
    <t>FITA VEDA ROSCA EM ROLOS DE 18 MM X 50 M (L X C)</t>
  </si>
  <si>
    <t>CHUVEIRO COM VÁLVULA TERMOSTÁTICA</t>
  </si>
  <si>
    <t>PREÇO INTERNET</t>
  </si>
  <si>
    <t>DUCHA METALICA DE PAREDE, ARTICULAVEL, COM DESVIADOR E DUCHA MANUAL</t>
  </si>
  <si>
    <t>SINAPI  72288</t>
  </si>
  <si>
    <t xml:space="preserve">TCPO   3R 09 15 00 00 00 01 25 94    </t>
  </si>
  <si>
    <t>TCPO  3R 29 32 34 00 00 00 02 01</t>
  </si>
  <si>
    <t>SEINFRA  C0389</t>
  </si>
  <si>
    <t xml:space="preserve">Bloco autônomo </t>
  </si>
  <si>
    <t>SEINFRAC2275</t>
  </si>
  <si>
    <t>TCPO  3R 29 32 34 00 00 00 02 02</t>
  </si>
  <si>
    <t>TCPO  3R 23 42 24 00 00 00 05 05</t>
  </si>
  <si>
    <t>SIURB EDIF           10-14-86</t>
  </si>
  <si>
    <t>EMOP  18.016.0010-0</t>
  </si>
  <si>
    <t>Fermat</t>
  </si>
  <si>
    <t>3634.4165</t>
  </si>
  <si>
    <t>R$/m</t>
  </si>
  <si>
    <t>Com Ferr Silva</t>
  </si>
  <si>
    <t>3322.5311</t>
  </si>
  <si>
    <t>3634.3050</t>
  </si>
  <si>
    <t>Perfilados</t>
  </si>
  <si>
    <t>ESTICADOR PARA CABO DE AÇO 3/16"</t>
  </si>
  <si>
    <t>CABO DE AÇO</t>
  </si>
  <si>
    <t>ESTICADOR 3/16'</t>
  </si>
  <si>
    <t>É O MENOR DISPONÍVEL</t>
  </si>
  <si>
    <t>Aluguel de Caminhão Munk</t>
  </si>
  <si>
    <t>SINAPI 40994</t>
  </si>
  <si>
    <t>Operador de Munk</t>
  </si>
  <si>
    <t>incluso combustível e salário, excluso refeição e alojamento</t>
  </si>
  <si>
    <t xml:space="preserve">Código:   96995 SINAPI </t>
  </si>
  <si>
    <t xml:space="preserve">Código:   94103 SINAPI </t>
  </si>
  <si>
    <t xml:space="preserve">Código:   72897 SINAPI </t>
  </si>
  <si>
    <t xml:space="preserve">Código:   96523 SINAPI </t>
  </si>
  <si>
    <t xml:space="preserve">Código:   93358 SINAPI </t>
  </si>
  <si>
    <t>DEMOLIÇÃO DE PISO CIMENTADO SOBRE LASTRO DE CONCRETO</t>
  </si>
  <si>
    <t>Código:   73847/001  SINAPI</t>
  </si>
  <si>
    <t>ALUGUEL CONTAINER/ESCRIT INCL INST ELET LARG=2,20 COMP=6,20M ALT=2,50M CHAPA ACO C/NERV TRAPEZ FORRO C/ISOL TERM/ACUSTICO CHASSIS REFORC PISO COMPENS NAVAL EXC TRANSP/CARGA/DESCARGA</t>
  </si>
  <si>
    <t xml:space="preserve">Código:   3R 02 57 27 00 00 00 01 06  TCPO </t>
  </si>
  <si>
    <t xml:space="preserve">Código:   96619 SINAPI </t>
  </si>
  <si>
    <t>Código:   94107 SINAPI</t>
  </si>
  <si>
    <t xml:space="preserve">Código:   68053 SINAPI </t>
  </si>
  <si>
    <t>CORTE E DOBRA DE AÇO CA-50, DIÂMETRO DE 8,0 MM, UTILIZADO EM ESTRUTURAS DIVERSAS, EXCETO LAJES</t>
  </si>
  <si>
    <t xml:space="preserve">Código:   96545 SINAPI </t>
  </si>
  <si>
    <t xml:space="preserve">Código:   73994/001 SINAPI </t>
  </si>
  <si>
    <t>ARMACAO EM TELA DE ACO SOLDADA NERVURADA Q-138,    ACO CA-60, 4,2MM,  MALHA 10X10CM</t>
  </si>
  <si>
    <t xml:space="preserve">Código:   73902/001  SINAPI </t>
  </si>
  <si>
    <t>Código:   75029/001  SINAPI</t>
  </si>
  <si>
    <t xml:space="preserve">Código:   83671 SINAPI </t>
  </si>
  <si>
    <t xml:space="preserve">Código:   96546 SINAPI </t>
  </si>
  <si>
    <t>CORTE E DOBRA DE AÇO CA-50, DIÂMETRO DE 10,0 MM, UTILIZADO EM ESTRUTURAS DIVERSAS, EXCETO LAJES</t>
  </si>
  <si>
    <t xml:space="preserve">Código:   83665 SINAPI </t>
  </si>
  <si>
    <t>Código:   73970/001 SINAPI</t>
  </si>
  <si>
    <t xml:space="preserve">93281 SINAPI </t>
  </si>
  <si>
    <t xml:space="preserve">93277 SINAPI </t>
  </si>
  <si>
    <t xml:space="preserve">93278 SINAPI </t>
  </si>
  <si>
    <t xml:space="preserve">93279 SINAPI </t>
  </si>
  <si>
    <t xml:space="preserve">93280 SINAPI </t>
  </si>
  <si>
    <t>SINAPI  86878</t>
  </si>
  <si>
    <t xml:space="preserve">VÁLVULA EM METAL CROMADO TIPO AMERICANA 3.1/2" X 1.1/2" PARA PIA - FORNECIMENTO E INSTALAÇÃO. </t>
  </si>
  <si>
    <t>SINAPI  86910</t>
  </si>
  <si>
    <t>SINAPI  86881</t>
  </si>
  <si>
    <t xml:space="preserve">SIFÃO DO TIPO GARRAFA EM METAL CROMADO 1 X 1.1/2" - FORNECIMENTO E INSTALAÇÃO. </t>
  </si>
  <si>
    <t xml:space="preserve">TORNEIRA CROMADA TUBO MÓVEL, DE PAREDE, 1/2" OU 3/4", PARA PIA DE COZINHA, PADRÃO MÉDIO - FORNECIMENTO E INSTALAÇÃO. </t>
  </si>
  <si>
    <t>EMOP   15.005.0280-0</t>
  </si>
  <si>
    <t>DUTO COIFA  (0,40 x 0,75 x 6,75)M</t>
  </si>
  <si>
    <t>DUTO DE EXAUSTÃO   (0,60 x 0,875 x 6,75)M</t>
  </si>
  <si>
    <t>EMOP  18.034.0100-0</t>
  </si>
  <si>
    <t>SISTEMA DE EXAUSTÃO DE FOGÕES</t>
  </si>
  <si>
    <t>ATÉ AQUI</t>
  </si>
  <si>
    <t>SINAPI      74157/004</t>
  </si>
  <si>
    <t>SINAPI  97900</t>
  </si>
  <si>
    <t>SINAPI  97901</t>
  </si>
  <si>
    <t>SINAPI  97904</t>
  </si>
  <si>
    <t>COMP 05</t>
  </si>
  <si>
    <t>Código:   COMP 05</t>
  </si>
  <si>
    <t>COMP 06</t>
  </si>
  <si>
    <t>Código:   COMP 06</t>
  </si>
  <si>
    <t>COMP 06.01</t>
  </si>
  <si>
    <t>Código:  COMP 06.01</t>
  </si>
  <si>
    <t>COMP 07</t>
  </si>
  <si>
    <t>Código:   COMP 07</t>
  </si>
  <si>
    <t>COMP 08</t>
  </si>
  <si>
    <t>Código:   COMP 08</t>
  </si>
  <si>
    <t>PCMAT / PCMSO / PPRA</t>
  </si>
  <si>
    <r>
      <t xml:space="preserve">Reservatório Metálico </t>
    </r>
    <r>
      <rPr>
        <sz val="11"/>
        <color theme="1"/>
        <rFont val="Calibri"/>
        <family val="2"/>
      </rPr>
      <t>Ø</t>
    </r>
    <r>
      <rPr>
        <sz val="11"/>
        <color theme="1"/>
        <rFont val="Arial"/>
        <family val="2"/>
      </rPr>
      <t>1,50M  87.600L</t>
    </r>
  </si>
  <si>
    <t>jhoyleno@gmail.com</t>
  </si>
  <si>
    <r>
      <t xml:space="preserve"> 12 varas </t>
    </r>
    <r>
      <rPr>
        <sz val="11"/>
        <color theme="1"/>
        <rFont val="Calibri"/>
        <family val="2"/>
      </rPr>
      <t>Ø3cm 3,30m R$40</t>
    </r>
  </si>
  <si>
    <t>varas</t>
  </si>
  <si>
    <t>dúzias</t>
  </si>
  <si>
    <t>frete</t>
  </si>
  <si>
    <t>por m2</t>
  </si>
  <si>
    <t>EQUIPE ADMINISTRATIVA</t>
  </si>
  <si>
    <t>1.3.5</t>
  </si>
  <si>
    <t>SALÁRIOS</t>
  </si>
  <si>
    <t>Motorista Operador de Munk</t>
  </si>
  <si>
    <t>Motrista de Onibus/micro-onibus</t>
  </si>
  <si>
    <t>SINAPI 40992</t>
  </si>
  <si>
    <t>SINAPI  40914</t>
  </si>
  <si>
    <t>SINAPI  41065</t>
  </si>
  <si>
    <t>SINAPI  41086</t>
  </si>
  <si>
    <t>SINAPI  41089</t>
  </si>
  <si>
    <t>bw</t>
  </si>
  <si>
    <t>rodapé</t>
  </si>
  <si>
    <t>impermeabilização</t>
  </si>
  <si>
    <t>parede 30cm</t>
  </si>
  <si>
    <t>Carpinteiro</t>
  </si>
  <si>
    <t>Eletricista</t>
  </si>
  <si>
    <t>Painéis</t>
  </si>
  <si>
    <t>FECHAMENTOS: PAINÉIS, ESQUADRIAS E VIDROS</t>
  </si>
  <si>
    <t>PAINEL WALL 1,20 X 2,50 M  E=40MM</t>
  </si>
  <si>
    <t>PAINEL WALL PARA PISO</t>
  </si>
  <si>
    <t>COMP 09</t>
  </si>
  <si>
    <t>Código:   COMP 09</t>
  </si>
  <si>
    <t>PAINEL WALL PARA PISO   2500 x 1200 X 40</t>
  </si>
  <si>
    <t>8.1.15</t>
  </si>
  <si>
    <t>8.1.32</t>
  </si>
  <si>
    <t>8.4.2</t>
  </si>
  <si>
    <t>8.4.7</t>
  </si>
  <si>
    <t>8.6.30</t>
  </si>
  <si>
    <t>8.6.31</t>
  </si>
  <si>
    <t>8.6.32</t>
  </si>
  <si>
    <t>8.6.33</t>
  </si>
  <si>
    <t>8.7.1</t>
  </si>
  <si>
    <t>PAINEL WALL PARA PAREDE</t>
  </si>
  <si>
    <t>BDI 24,50%</t>
  </si>
  <si>
    <t>MÃO-DE-OBRA MENSAL</t>
  </si>
  <si>
    <t>MENSALISTA 75,25%</t>
  </si>
  <si>
    <t>Ajudante de Operação em Geral</t>
  </si>
  <si>
    <t>SINAPI  40810</t>
  </si>
  <si>
    <t>VIDRO LAMINADO 6MM</t>
  </si>
  <si>
    <t>Código:   COMP 12</t>
  </si>
  <si>
    <t>COMP 12</t>
  </si>
  <si>
    <t>10498</t>
  </si>
  <si>
    <t>MASSA PARA VIDRO</t>
  </si>
  <si>
    <t>VIDRACEIRO COM ENCARGOS COMPLEMENTARES</t>
  </si>
  <si>
    <t>VIDRO COMUM LAMINADO, LISO, INCOLOR, DUPLO, ESPESSURA TOTAL 6 MM (CADA CAMADA E= 3 MM) - COLOCADO</t>
  </si>
  <si>
    <t>88325  SINAPI MT  05/2018</t>
  </si>
  <si>
    <t xml:space="preserve">VIDRACEIRO </t>
  </si>
  <si>
    <t>CURSO DE CAPACITAÇÃO PARA VIDRACEIRO (ENCARGOS COMPLEMENTARES) - HORISTA</t>
  </si>
  <si>
    <t>95387 SINAPI MT 05/2018</t>
  </si>
  <si>
    <t>VIDRACEIRO</t>
  </si>
  <si>
    <t>VIDRO LAMINADO  8MM  (cobertura circulação cozinha/refeitório)</t>
  </si>
  <si>
    <t>COMP 13</t>
  </si>
  <si>
    <t>Código:   COMP 13</t>
  </si>
  <si>
    <t>VIDRO LAMINADO 8MM</t>
  </si>
  <si>
    <t>VIDRO COMUM LAMINADO LISO INCOLOR DUPLO, ESPESSURA TOTAL 8 MM (CADA CAMADA DE 4 MM) - COLOCADO</t>
  </si>
  <si>
    <t>VIDRO COMUM 8MM</t>
  </si>
  <si>
    <t>COMP 14</t>
  </si>
  <si>
    <t>Código:   COMP 14</t>
  </si>
  <si>
    <t>VIDRO LISO INCOLOR 8MM  -  SEM COLOCACAO</t>
  </si>
  <si>
    <t>4.3.3</t>
  </si>
  <si>
    <t>9.4.1</t>
  </si>
  <si>
    <t>9.4.2</t>
  </si>
  <si>
    <t>9.4.9</t>
  </si>
  <si>
    <t>Abrigo Container de Lixo</t>
  </si>
  <si>
    <t>9.4.3</t>
  </si>
  <si>
    <t>9.4.4</t>
  </si>
  <si>
    <t>9.4.5</t>
  </si>
  <si>
    <t>9.4.6</t>
  </si>
  <si>
    <t>9.4.7</t>
  </si>
  <si>
    <t>9.4.8</t>
  </si>
  <si>
    <t>9.4.10</t>
  </si>
  <si>
    <t>9.4.11</t>
  </si>
  <si>
    <t>PERGOLADO DE BAMBU</t>
  </si>
  <si>
    <t>5.7</t>
  </si>
  <si>
    <t>5.8</t>
  </si>
  <si>
    <t>FORNECIMENTO E COLOCAÇÃO DE TELHA PVC RÍGIDA TRANSLÚCIDA ONDULADA</t>
  </si>
  <si>
    <t>VERDÃO 3314.1000 MOREIRA</t>
  </si>
  <si>
    <t>366X110</t>
  </si>
  <si>
    <t>PÇ</t>
  </si>
  <si>
    <t>PARAFUSO ZINCADO ROSCA SOBERBA, CABECA SEXTAVADA, 5/16 " X 50 MM, PARA FIXACAO DE TELHA EM MADEIRA</t>
  </si>
  <si>
    <t>CONJUNTO ARRUELAS DE VEDACAO 5/16" PARA TELHA FIBROCIMENTO (UMA ARRUELA METALICA E UMA ARRUELA PVC - CONICAS)</t>
  </si>
  <si>
    <t>060230 SIURB</t>
  </si>
  <si>
    <t>COMP 10</t>
  </si>
  <si>
    <t>Código:  COMP 10</t>
  </si>
  <si>
    <t>TELHA DE PVC RÍGIDO TRANSLÚCIDA PERFIL ONDULADO 366 X 110MM</t>
  </si>
  <si>
    <t>TELHA TRANSLÚCIDA ONDULADA (cobertura das passarelas)</t>
  </si>
  <si>
    <t>Código:  COMP 11</t>
  </si>
  <si>
    <t>COMP 11</t>
  </si>
  <si>
    <r>
      <t xml:space="preserve">BAMBU </t>
    </r>
    <r>
      <rPr>
        <sz val="8"/>
        <rFont val="Calibri"/>
        <family val="2"/>
      </rPr>
      <t>Ø3CM</t>
    </r>
  </si>
  <si>
    <t>CDHU</t>
  </si>
  <si>
    <t>por m</t>
  </si>
  <si>
    <t>entrada refeitório</t>
  </si>
  <si>
    <t>COMP. 15</t>
  </si>
  <si>
    <t>Código:   COMP. 15</t>
  </si>
  <si>
    <t>RAMPA (área equivalente ao Vol)</t>
  </si>
  <si>
    <t>9.3.18</t>
  </si>
  <si>
    <t>ALIMENTAÇÃO</t>
  </si>
  <si>
    <r>
      <t xml:space="preserve">Fornecimento e instalação de malha de aterramento em cabo de cobre nú ø 50 mm² </t>
    </r>
    <r>
      <rPr>
        <sz val="11"/>
        <color rgb="FFFF0000"/>
        <rFont val="Arial"/>
        <family val="2"/>
      </rPr>
      <t xml:space="preserve"> </t>
    </r>
  </si>
  <si>
    <t>SINAPI  40818</t>
  </si>
  <si>
    <t>SINAPI  40918</t>
  </si>
  <si>
    <t>LEIS SOCIAIS 118,57%</t>
  </si>
  <si>
    <t>MÃO-DE-OBRA  POR MÊS</t>
  </si>
  <si>
    <t>TOTAL MÃO-DE-OBRA  L.S. 75,25%</t>
  </si>
  <si>
    <t>TOTAL MÃO-DE-OBRA  sem leis sociais</t>
  </si>
  <si>
    <t xml:space="preserve">Motorista 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</si>
  <si>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</si>
  <si>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</si>
  <si>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</si>
  <si>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</si>
  <si>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</si>
  <si>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</si>
  <si>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</si>
  <si>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</si>
  <si>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1.1.1.9</t>
  </si>
  <si>
    <t>1.1.1.10</t>
  </si>
  <si>
    <t>1.2.1.1</t>
  </si>
  <si>
    <t>1.2.1.2</t>
  </si>
  <si>
    <t>1.2.1.3</t>
  </si>
  <si>
    <t>1.3.6</t>
  </si>
  <si>
    <t>1.3.7</t>
  </si>
  <si>
    <t>1.3.8</t>
  </si>
  <si>
    <t>1.3.9</t>
  </si>
  <si>
    <t>PERFIL MONTANTE, FORMATO C, EM ACO ZINCADO, PARA ESTRUTURA PAREDE DRYWALL, E = 0,5 MM, 70 X 3000 MM (L X C)</t>
  </si>
  <si>
    <t>BUCHA DE NYLON SEM ABA S6, COM PARAFUSO DE 4,20 X 40 MM EM ACO ZINCADO COM ROSCA SOBERBA, CABECA CHATA E FENDA PHILLIPS</t>
  </si>
  <si>
    <t>gradil, portões docas</t>
  </si>
  <si>
    <t>quadro resumo</t>
  </si>
  <si>
    <t>lastro concreto magro</t>
  </si>
  <si>
    <t>Gradil e Portões de Acesso</t>
  </si>
  <si>
    <t>PORTAO EM TELA ARAME GALVANIZADO N.12 MALHA 2" E MOLDURA EM TUBOS DE ACO COM DUAS FOLHAS DE ABRIR, INCLUSO FERRAGENS  (5,00 x 2,10m - Docas) 2unid</t>
  </si>
  <si>
    <t>concreto 25MPa</t>
  </si>
  <si>
    <t>ESCAVAÇÃO MANUAL (blocos e baldrames)</t>
  </si>
  <si>
    <t xml:space="preserve">CORTE E ATERRO COMPENSADO </t>
  </si>
  <si>
    <t>COMP 01</t>
  </si>
  <si>
    <t>Código:   COMP 01</t>
  </si>
  <si>
    <t>LUMINÁRIA DE EMERGÊNCIA - FORNECIMENTO E INSTALAÇÃO</t>
  </si>
  <si>
    <t>SINAPI  73916/002</t>
  </si>
  <si>
    <t>SINAPI  97599</t>
  </si>
  <si>
    <t>SINAPI  83627</t>
  </si>
  <si>
    <t>4.2.5</t>
  </si>
  <si>
    <t>4.2.6</t>
  </si>
  <si>
    <t>SEINFRA C1073</t>
  </si>
  <si>
    <t xml:space="preserve">CDHU 404018 </t>
  </si>
  <si>
    <t xml:space="preserve">SUB-TOTAL ITEM 9.4 </t>
  </si>
  <si>
    <t>SUB-TOTAL ITEM 9.3</t>
  </si>
  <si>
    <t>SUB-TOTAL ITEM 9.2</t>
  </si>
  <si>
    <t>SUB-TOTAL ITEM 9.1</t>
  </si>
  <si>
    <t>SUB-TOTAL ITEM 8.8</t>
  </si>
  <si>
    <t>SUB-TOTAL ITEM 8.7</t>
  </si>
  <si>
    <t>SUB-TOTAL ITEM 8.6</t>
  </si>
  <si>
    <t>SUB-TOTAL ITEM 8.5</t>
  </si>
  <si>
    <t>SUB-TOTAL ITEM 8.4</t>
  </si>
  <si>
    <t>SUB-TOTAL ITEM 8.3</t>
  </si>
  <si>
    <t>SUB-TOTAL ITEM 8.2</t>
  </si>
  <si>
    <t>SUB-TOTAL ITEM 8.1</t>
  </si>
  <si>
    <t>SUB-TOTAL ITEM 4.3</t>
  </si>
  <si>
    <t>SUB-TOTAL ITEM 6.1</t>
  </si>
  <si>
    <t>SUB-TOTAL ITEM 4.2</t>
  </si>
  <si>
    <t>SUB-TOTAL ITEM 4.1</t>
  </si>
  <si>
    <t>SUB-TOTAL ITEM 2.4</t>
  </si>
  <si>
    <t>SUB-TOTAL ITEM 2.3</t>
  </si>
  <si>
    <t>SUB-TOTAL ITEM 2.1</t>
  </si>
  <si>
    <t>SUB-TOTAL ITEM 2.2</t>
  </si>
  <si>
    <t>SUB-TOTAL ITEM 1.4</t>
  </si>
  <si>
    <t>SUB-TOTAL ITEM 1.3</t>
  </si>
  <si>
    <t>SUB-TOTAL ITEM 1.2</t>
  </si>
  <si>
    <t>SUB-TOTAL ITEM 1.1</t>
  </si>
  <si>
    <t>salas de aula, sala prof, adm</t>
  </si>
  <si>
    <t xml:space="preserve">bw </t>
  </si>
  <si>
    <t>PISO VINÍLICO 30X30</t>
  </si>
  <si>
    <t>PISO EM EPÓXI</t>
  </si>
  <si>
    <t>SUB-TOTAL ITEM 6.2</t>
  </si>
  <si>
    <t>SINAPI  84656</t>
  </si>
  <si>
    <t>TRATAMENTO EM  CONCRETO COM ESTUQUE E LIXAMENTO</t>
  </si>
  <si>
    <t>PINTURA EPOXI INCLUSO EMASSAMENTO E FUNDO PREPARADOR</t>
  </si>
  <si>
    <t>SINAPI  84647</t>
  </si>
  <si>
    <t>PISO VINILICO SEMIFLEXIVEL PADRAO LISO, ESPESSURA 3,2MM, FIXADO COM COLA (salas de aula, sala professores, administração)</t>
  </si>
  <si>
    <t>SINAPI  92362</t>
  </si>
  <si>
    <t>TUBO DE AÇO PRETO SEM COSTURA, CONEXÃO SOLDADA, DN 65 (2 1/2"), INSTALADO EM REDE DE ALIMENTAÇÃO PARA HIDRANTE - FORNECIMENTO E INSTALAÇÃO.</t>
  </si>
  <si>
    <t>Código:   COMP 16</t>
  </si>
  <si>
    <t>ELETRODUTO EM AÇO GALVANIZADO DN 50 (1") - FORNECIMENTO E ASSENTAMENTO</t>
  </si>
  <si>
    <t>8.8.13</t>
  </si>
  <si>
    <t>8.8.14</t>
  </si>
  <si>
    <t>8.8.15</t>
  </si>
  <si>
    <t>8.8.16</t>
  </si>
  <si>
    <t>95754</t>
  </si>
  <si>
    <t xml:space="preserve">LUVA DE EMENDA PARA ELETRODUTO, AÇO GALVANIZADO, DN 25 MM (1''), APARENTE, INSTALADA EM TETO - FORNECIMENTO E INSTALAÇÃO. </t>
  </si>
  <si>
    <t>Código:   95754  SINAPI</t>
  </si>
  <si>
    <t>2638</t>
  </si>
  <si>
    <t>LUVA PARA ELETRODUTO, EM ACO GALVANIZADO ELETROLITICO, DIAMETRO DE 25 MM (1")</t>
  </si>
  <si>
    <t>COMP 16</t>
  </si>
  <si>
    <t>ELETRODUTO EM ACO GALVANIZADO ELETROLITICO, LEVE, DIAMETRO 1", PAREDE DE 0,90 MM,  INCLUSO CONEXÕES</t>
  </si>
  <si>
    <t>SUB-TOTAL ITEM 9.5</t>
  </si>
  <si>
    <t>Código:   3R 10 31 00 00 00 00 03 05   TCPO</t>
  </si>
  <si>
    <t>AZULEJO ASSENTADO COM COLA ESPECIAL A BASE DE PVA, JUNTAS A PRUMO</t>
  </si>
  <si>
    <t>COLA BRANCA BASE PVA</t>
  </si>
  <si>
    <t xml:space="preserve"> 3R 10 31 00 00 00 00 03 05   TCPO</t>
  </si>
  <si>
    <t>REVESTIMENTO EM CERAMICA ESMALTADA EXTRA, PEI MAIOR OU IGUAL 4, FORMATO MAIOR A 2025 CM2</t>
  </si>
  <si>
    <t>SINAPI  87249</t>
  </si>
  <si>
    <t>REVESTIMENTO CERÂMICO PARA PISO COM PLACAS TIPO ESMALTADA EXTRA DE DIMENSÕES 45X45 CM APLICADA EM AMBIENTES DE ÁREA MENOR QUE 5 M2</t>
  </si>
  <si>
    <t>SINAPI  87273</t>
  </si>
  <si>
    <t>REVESTIMENTO CERÂMICO PARA PAREDES INTERNAS COM PLACAS TIPO ESMALTADA EXTRA DE DIMENSÕES 33X45 CM APLICADAS EM AMBIENTES DE ÁREA MAIOR QUE 5 M² NA ALTURA INTEIRA DAS PAREDES.</t>
  </si>
  <si>
    <t>PINTURA ESMALTE SINTETICO 2 DEMAOS EM ESTRUTURA METALICA COM 1 DEMAO DE PRIMER</t>
  </si>
  <si>
    <t>Código:   406783  CDHU</t>
  </si>
  <si>
    <t>PRIMER UNIVERSAL, FUNDO ANTICORROSIVO TIPO ZARCAO</t>
  </si>
  <si>
    <t>CDHU  406783</t>
  </si>
  <si>
    <t>C2103  SEINFRA</t>
  </si>
  <si>
    <t>REJUNTAMENTO P/CERÂMICA C/ L-FLEX E EPOXI (PAREDE/PISO)</t>
  </si>
  <si>
    <t>Código:   C2103  SEINFRA</t>
  </si>
  <si>
    <t xml:space="preserve">REJUNTAMENTO EPOXI P/CERÂMICA </t>
  </si>
  <si>
    <t>TELHAMENTO COM TELHA METÁLICA TERMOACÚSTICA E = 50 MM, INCLUSO IÇAMENTO.</t>
  </si>
  <si>
    <t>94216sinapi</t>
  </si>
  <si>
    <t>Código:  COMP 17</t>
  </si>
  <si>
    <t>COMP 17</t>
  </si>
  <si>
    <t>PINTURA ESMALTE FOSCO PARA MADEIRA, DUAS DEMAOS, SOBRE FUNDO NIVELADOR BRANCO (painel e portas wall)</t>
  </si>
  <si>
    <t>comp ok</t>
  </si>
  <si>
    <t>8.8.17</t>
  </si>
  <si>
    <t>SINAPI  83633</t>
  </si>
  <si>
    <t>HIDRANTE SUBTERRANEO FERRO FUNDIDO C/ CURVA LONGA E CAIXA DN=75MM</t>
  </si>
  <si>
    <t>TRANSPORTES E CAMINHÃO MUNK</t>
  </si>
  <si>
    <t>378.81</t>
  </si>
  <si>
    <t>BANCO ARTICULADO,COM CANTOS ARREDONDADOS E SUPERFICIE ANTIDE RRAPANTE IMPERMEAVEL,DIMENSOES MINIMAS 0,45X0,70M,EM ACO INOXIDAVEL AISI 304,TUBO DE 1 1/4",PARA PESSOAS COM NECESSIDADE S ESPECIFICAS.FORNCIMENTO E COLOCACAO  (chuveiro -banheiro PNE)</t>
  </si>
  <si>
    <t xml:space="preserve">PONTO PARA CAIXAS DE SOM   </t>
  </si>
  <si>
    <t>TELHAMENTO COM TELHA METÁLICA TERMOACÚSTICA TIPO SANDUICHE, COM PREENCHIMENTO EM LÃ DE PET, CALANDRADA, INCLUSO IÇAMENTO</t>
  </si>
  <si>
    <t>Outros</t>
  </si>
  <si>
    <t>ALOJAMENTO</t>
  </si>
  <si>
    <t>VB</t>
  </si>
  <si>
    <t>1.2.2</t>
  </si>
  <si>
    <t>Base Sinapi 05/2018</t>
  </si>
  <si>
    <t>LEIS SOCIAIS 118,57%      BDI 24,5%</t>
  </si>
  <si>
    <t>ESCAVAÇÃO MANUAL PARA BLOCO DE COROAMENTO OU SAPATA</t>
  </si>
  <si>
    <t xml:space="preserve">ESCAVAÇÃO MANUAL PARA BLOCO DE COROAMENTO OU SAPATA,   COM PREVISÃO DE FORMA </t>
  </si>
  <si>
    <t>CARGA MANUAL DE ENTULHO EM CAMINHAO BASCULANTE 6M3 - BOTA-FORA, empolamento 30%</t>
  </si>
  <si>
    <t xml:space="preserve"> PLACA DE OBRA MODELO SESC EM CHAPA DE AÇO GALVANIZADO, FORNECIMENTO E COLOCAÇÃO</t>
  </si>
  <si>
    <t>PEÇA DE MADEIRA NAO APARELHADA *7,5 X 7,5* CM (3 X 3 ") MACARANDUBA, ANGELIM OU EQUIVALENTE DA REGIAO</t>
  </si>
  <si>
    <t>PEÇA DE MADEIRA NATIVA/REGIONAL 2,5 X 7 CM (SARRAFO-P/FORMA)</t>
  </si>
  <si>
    <t>PLACA DE OBRA (PARA CONSTRUCAO CIVIL) EM CHAPA GALVANIZADA  *N.22*,    DE  *2,0 X 1,125* M</t>
  </si>
  <si>
    <t>PREGO DE AÇO POLIDO COM CABEÇA 18 X 30 (2 3/4 X 10)</t>
  </si>
  <si>
    <t xml:space="preserve">ESCAVAÇÃO MANUAL DE VALA COM PROFUNDIDADE MENOR    OU IGUAL A 1,30 M. </t>
  </si>
  <si>
    <t>PEÇA DE MADEIRA 3A QUALIDADE 2,5 X 10CM NAO APARELHADA  (SARRAFO 1" X 4")</t>
  </si>
  <si>
    <t>PEÇA DE MADEIRA NAO APARELHADA *7,5 X 7,5* CM (3 X 3 ") MAÇARANDUBA, ANGELIM OU EQUIVALENTE DA REGIAO  (PONTALETE)</t>
  </si>
  <si>
    <t>TELHA DE AÇO ZINCADO TRAPEZOIDAL, A = *40* MM, E = 0,5 MM, SEM PINTURA</t>
  </si>
  <si>
    <t>TCPO    3R 02 57 27 00 00 00 01 06</t>
  </si>
  <si>
    <t>ENTRADA PROVISORIA DE ENERGIA ELETRICA AÉREA TRIFASICA 40A EM POSTE DE MADEIRA</t>
  </si>
  <si>
    <t>TAPUME DE PROTEÇÃO COM TELHA TRAPEZOIDAL EM AÇO GALVANIZADO #0,43MM EM ESTRUTUTA DE MADEIRA</t>
  </si>
  <si>
    <t>ARMAÇAO EM TELA DE AÇO SOLDADA NERVURADA Q-138  (laje e piso)</t>
  </si>
  <si>
    <t>LANÇAMENTO/APLICAÇÃO MANUAL DE CONCRETO (laje e piso)</t>
  </si>
  <si>
    <t>FORNECIMENTO/INSTALAÇÃO LONA PLÁSTICA PRETA, PARA IMPERMEABILIZAÇÃO, ESPESSURA 150 MICRAS.</t>
  </si>
  <si>
    <t>CARGA MANUAL DE ENTULHO EM CAMINHÃO BASCULANTE 6M3 (bota fora)</t>
  </si>
  <si>
    <t>IMPERMEABILIZAÇÃO COM PINTURA A BASE DE RESINA EPOXI ALCATRÃO, UMA DEMÃO.  (laje)</t>
  </si>
  <si>
    <t>CONCRETO FCK = 25MPa, TRAÇO 1:2,3:2,7 (CIMENTO/ AREIA MÉDIA/ BRITA 1)  - PREPARO MECÂNICO COM BETONEIRA 400 L. (sapatas)</t>
  </si>
  <si>
    <t>LANÇAMENTO/APLICAÇÃO MANUAL DE CONCRETO (sapatas)</t>
  </si>
  <si>
    <t>CONCRETO FCK = 25MPa, TRAÇO 1:2,3:2,7 (CIMENTO/ AREIA MÉDIA/ BRITA 1)  - PREPARO MECÂNICO COM BETONEIRA 400 L</t>
  </si>
  <si>
    <t>LANÇAMENTO/APLICAÇÃO MANUAL DE CONCRETO EM FUNDAÇÕES</t>
  </si>
  <si>
    <t>LASTRO DE VALA COM PREPARO DE FUNDO, LARGURA MENOR QUE 1,5 M, COM CAMADA           DE BRITA, LANÇAMENTO MANUAL, EM LOCAL COM NÍVEL BAIXO DE INTERFERÊNCIA</t>
  </si>
  <si>
    <t>FORNECIMENTO E INSTALAÇÃO DE MANTA BIDIM RT - 14</t>
  </si>
  <si>
    <t>GEOTEXTIL NÃO TECIDO AGULHADO DE FILAMENTOS CONTINUOS 100% POLIESTER, RESITENCIA A TRAÇÃO = 14 KN/M</t>
  </si>
  <si>
    <t>TUBO PVC DN 100 MM PARA DRENAGEM - FORNECIMENTO E INSTALAÇÃO</t>
  </si>
  <si>
    <t>TUBO PVC CORRUGADO RIGIDO PERFURADO DN 150 PARA DRENAGEM - FORNECIMENTO E INSTALAÇÃO</t>
  </si>
  <si>
    <t>TUBO PVC, RIGIDO, CORRUGADO, PERFURADO, DN 150 MM, PARA DRENAGEM, SISTEMA IRRIGAÇÃO</t>
  </si>
  <si>
    <t>ESTRUTURA METÁLICA EM AÇO ESTRUTURAL PERFIL  I  12 X 5 1/4"</t>
  </si>
  <si>
    <t>PERFIL "I" DE AÇO LAMINADO, "W" 410 X 67</t>
  </si>
  <si>
    <t>SOLDA TOPO DESCENDENTE CHANFRADA ESPESSURA=1/4" CHAPA/PERFIL/TUBO AÇO COM CONVERSOR DIESEL.</t>
  </si>
  <si>
    <t>ESTRUTURA METALICA EM AÇO ESTRUTURAL PERFIL I 12 X 5 1/4</t>
  </si>
  <si>
    <t>PREGO DE AÇO POLIDO COM CABEÇA 15 X 15 (1 1/4 X 13)</t>
  </si>
  <si>
    <t>MASSA DE REJUNTE EM PÓ PARA DRYWALL, A BASE DE GESSO, SECAGEM RÁPIDA, PARA TRATAMENTO DE JUNTAS DE CHAPA DE GESSO (COM ADIÇÃO DE ÁGUA)</t>
  </si>
  <si>
    <t>PARAFUSO CABEÇA TROMBETA E PONTA AGULHA (GN55), COMPRIMENTO 55 MM, EM AÇO FOSFATIZADO, PARA FIXAR CHAPA DE GESSO EM PERFIL DRYWALL METÁLICO MÁXIMO 0,7 MM</t>
  </si>
  <si>
    <t>PERFIL GUIA, FORMATO U, EM AÇO ZINCADO, PARA ESTRUTURA PAREDE DRYWALL, E = 0,5 MM, 70 X 3000 MM (L X C)</t>
  </si>
  <si>
    <t>PAREDES EM PAINEL WALL</t>
  </si>
  <si>
    <t>ALUMINIO ANODIZADO</t>
  </si>
  <si>
    <t>JANELA DE ALUMINIO ANODIZADO AO NATURAL, TIPO PIVOTANTE, COM PAINEL PIVOTANTE VERTICAL, EM PERFIS SERIE 28. FORNECIMENTO E COLOCAÇÃO</t>
  </si>
  <si>
    <t>Código:   14.03.0061-0 EMOP</t>
  </si>
  <si>
    <t>EMOP    14.03.0061-0</t>
  </si>
  <si>
    <t>TABUA MADEIRA 2A QUALIDADE 2,5 X 30CM (1 X 12") NAO APARELHADA</t>
  </si>
  <si>
    <t>PREGO DE AÇO POLIDO COM CABEÇA 15 X 18 (1 1/2 X 13)</t>
  </si>
  <si>
    <t>LOCAÇÃO DA OBRA, COM USO DE EQUIPAMENTOS TOPOGRAFICOS</t>
  </si>
  <si>
    <t>LOCAÇÃO DE NIVEL ÓPTICO, COM PRECISÃO DE 0,7 MM, AUMENTO DE 32X</t>
  </si>
  <si>
    <t>LOCAÇÃO DE TEODOLITO ELETRONICO, PRECISÃO ANGULAR DE 5 A 7 SEGUNDOS, INCLUINDO TRIPE</t>
  </si>
  <si>
    <t>TCPO 3R 23 42 40 00 00 00 05 29</t>
  </si>
  <si>
    <t>SINAPI 90841</t>
  </si>
  <si>
    <t>SINAPI 90844</t>
  </si>
  <si>
    <t>KIT DE PORTA DE MADEIRA PARA PINTURA, SEMI-OCA (LEVE OU MÉDIA), PADRÃO MÉDIO, 80X210CM, ESPESSURA DE 3,5CM, ITENS INCLUSOS: DOBRADIÇAS, MONTAGEM E INSTALAÇÃO DO BATENTE, FECHADURA COM EXECUÇÃO DO FURO - FORNECIMENTO E INSTALAÇÃO</t>
  </si>
  <si>
    <t>KIT DE PORTA DE MADEIRA PARA PINTURA, SEMI-OCA (LEVE OU MÉDIA), PADRÃO MÉDIO, 80X200CM, ESPESSURA DE 3,5CM, ITENS INCLUSOS: DOBRADIÇAS, MONTAGEM E INSTALAÇÃO DO BATENTE, FECHADURA COM EXECUÇÃO DO FURO - FORNECIMENTO E INSTALAÇÃO</t>
  </si>
  <si>
    <t>KIT DE PORTA DE MADEIRA PARA PINTURA, SEMI-OCA (LEVE OU MÉDIA), PADRÃO MÉDIO, 60X200CM, ESPESSURA DE 3,5CM, ITENS INCLUSOS: DOBRADIÇAS, MONTAGEM E INSTALAÇÃO DO BATENTE, FECHADURA COM EXECUÇÃO DO FURO - FORNECIMENTO E INSTALAÇÃO</t>
  </si>
  <si>
    <t>KIT DE PORTA DE MADEIRA PARA PINTURA, SEMI-OCA (LEVE OU MÉDIA), PADRÃO MÉDIO, 110X210CM, ESPESSURA DE 3,5CM, ITENS INCLUSOS: DOBRADIÇAS, MONTAGEM E INSTALAÇÃO DO BATENTE, FECHADURA COM EXECUÇÃO DO FURO - FORNECIMENTO E INSTALAÇÃO</t>
  </si>
  <si>
    <t>CARGA MANUAL DE ENTULHO EM CAMINHÃO BASCULANTE 6M3 - BOTA-FORA, empolamento 30%</t>
  </si>
  <si>
    <t xml:space="preserve">LASTRO DE VALA COM PREPARO DE FUNDO, LARGURA MENOR QUE 1,50M, COM CAMADA DE BRITA, LANÇAMENTO MANUAL, EM LOCAL COM NÍVEL BAIXO DE INTERFERÊNCIA. </t>
  </si>
  <si>
    <t>TUBO PVC DN 150MM PARA DRENAGEM - FORNECIMENTO E INSTALAÇÃO</t>
  </si>
  <si>
    <t>TELHA ISOLANTE COM NÚCLEO EM POLIESTIRENO (EPS), E = 50 MM, REVESTIDA EM TELHA TRAPEZOIDAL DE AÇO ZINCADO *0,5* MM COM PRÉ-PINTURA NAS DUAS FACES (NÃO INCLUI ACESSÓRIOS DE FIXAÇÃO)</t>
  </si>
  <si>
    <t>HASTE RETA PARA GANCHO DE FERRO GALVANIZADO, COM ROSCA 1/4 " X 30 CM PARA FIXAÇÃO DE TELHA METÁLICA, INCLUI PORCA E ARRUELAS DE VEDAÇÃO</t>
  </si>
  <si>
    <t>PREGO DE AÇO POLIDO COM CABEÇA 18 X 27 (2 1/2 X 10)</t>
  </si>
  <si>
    <t>CALHA EM CHAPA DE AÇO GALVANIZADO NÚMERO 24, DESENVOLVIMENTO DE 100 CM, INCLUSO TRANSPORTE VERTICAL</t>
  </si>
  <si>
    <t>CALHA QUADRADA DE CHAPA DE AÇO GALVANIZADA NUM 24, CORTE 100 CM (COLETADO CAIXA)</t>
  </si>
  <si>
    <t>SERVENTE COM ENCARGOS SOCIAIS</t>
  </si>
  <si>
    <t>Beira Rio</t>
  </si>
  <si>
    <t>Verdão</t>
  </si>
  <si>
    <t xml:space="preserve">ASSENTO PARA VASO SANITARIO </t>
  </si>
  <si>
    <t>LUCIA</t>
  </si>
  <si>
    <t>LOURDES</t>
  </si>
  <si>
    <t>ASSENTO ESPECIAL PARA VASO SANITARIO PARA PESSOAS COM NECESSIDADES ESPECIFICAS. FORNECIMENTO E COLOCAÇÃO</t>
  </si>
  <si>
    <t>ASSENTO ESPECIAL PARA VASO SANITARIO PARA PESSOAS COM NECESSIDADES ESPECIFICAS</t>
  </si>
  <si>
    <t>ASSENTO SANITARIO PLASTICO, TIPO POPULAR. FORNECIMENTO E COLOCAÇÃO</t>
  </si>
  <si>
    <t>COMP 18</t>
  </si>
  <si>
    <t>COMP 19</t>
  </si>
  <si>
    <t>8.6.34</t>
  </si>
  <si>
    <t>8.6.35</t>
  </si>
  <si>
    <t>EMOP     18.210.0030-0</t>
  </si>
  <si>
    <t>EMOP     15.002.0080-0</t>
  </si>
  <si>
    <t>Código:   COMP 18</t>
  </si>
  <si>
    <t>Código:   COMP 19</t>
  </si>
  <si>
    <t>NÁO ESTÁ SENDO REFERENCIADA</t>
  </si>
  <si>
    <t>408971  CDHU</t>
  </si>
  <si>
    <t>Código:   COMP 20</t>
  </si>
  <si>
    <t>SARRAFO DE MADEIRA NÃO PARELHADA 2,5 X 10CM, MAÇARANDUBA, ANGELIM OU EQUIVALENTE DA REGIÃO</t>
  </si>
  <si>
    <t>Quantidade</t>
  </si>
  <si>
    <t>Total Acumulado (R$)</t>
  </si>
  <si>
    <t>Total Simples (R$)</t>
  </si>
  <si>
    <t>REVESTIMENTOS, ELEMENTOS DECORATIVOS E PINTURA</t>
  </si>
  <si>
    <t>PAREDES E PAINÉIS</t>
  </si>
  <si>
    <t>SUPERESTRUTURA</t>
  </si>
  <si>
    <t>120 DIAS</t>
  </si>
  <si>
    <t>90 DIAS</t>
  </si>
  <si>
    <t>60 DIAS</t>
  </si>
  <si>
    <t>30 DIAS</t>
  </si>
  <si>
    <t>TOTAL (R$)</t>
  </si>
  <si>
    <t>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</si>
</sst>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[$€]#,##0.00_);[Red]\([$€]#,##0.00\)"/>
    <numFmt numFmtId="166" formatCode="_([$€]\ * #,##0.00_);_([$€]\ * \(#,##0.00\);_([$€]\ * &quot;-&quot;??_);_(@_)"/>
    <numFmt numFmtId="167" formatCode="_(&quot;R$&quot;* #,##0.00_);_(&quot;R$&quot;* \(#,##0.00\);_(&quot;R$&quot;* &quot;-&quot;??_);_(@_)"/>
    <numFmt numFmtId="168" formatCode="_(&quot;R$ &quot;* #,##0.00_);_(&quot;R$ &quot;* \(#,##0.00\);_(&quot;R$ &quot;* &quot;-&quot;??_);_(@_)"/>
    <numFmt numFmtId="169" formatCode="&quot;R$&quot;#,##0_);[Red]\(&quot;R$&quot;#,##0\)"/>
    <numFmt numFmtId="170" formatCode="&quot;R$&quot;#,##0_);\(&quot;R$&quot;#,##0\)"/>
    <numFmt numFmtId="171" formatCode="00"/>
    <numFmt numFmtId="172" formatCode="#,##0.000"/>
    <numFmt numFmtId="173" formatCode="#,##0.0000"/>
    <numFmt numFmtId="174" formatCode="&quot;R$&quot;#,##0.00_);\(&quot;R$&quot;#,##0.00\)"/>
    <numFmt numFmtId="175" formatCode="mmmm\ d\,\ yyyy"/>
    <numFmt numFmtId="176" formatCode="\$#,##0\ ;\(\$#,##0\)"/>
    <numFmt numFmtId="177" formatCode="_(&quot;Cr$&quot;* #,##0_);_(&quot;Cr$&quot;* \(#,##0\);_(&quot;Cr$&quot;* &quot;-&quot;_);_(@_)"/>
    <numFmt numFmtId="178" formatCode="_(&quot;Cr$&quot;* #,##0.00_);_(&quot;Cr$&quot;* \(#,##0.00\);_(&quot;Cr$&quot;* &quot;-&quot;??_);_(@_)"/>
    <numFmt numFmtId="179" formatCode="#,##0.000_);\(#,##0.000\)"/>
    <numFmt numFmtId="180" formatCode="#."/>
    <numFmt numFmtId="181" formatCode="_(&quot;$&quot;* #,##0.00_);_(&quot;$&quot;* \(#,##0.00\);_(&quot;$&quot;* &quot;-&quot;??_);_(@_)"/>
    <numFmt numFmtId="182" formatCode="0.000%"/>
    <numFmt numFmtId="183" formatCode="0.000"/>
    <numFmt numFmtId="184" formatCode="#,##0.00000"/>
    <numFmt numFmtId="185" formatCode="#,##0.00;[Red]#,##0.00"/>
    <numFmt numFmtId="186" formatCode="#,##0.000000"/>
    <numFmt numFmtId="187" formatCode="#,##0.0000000"/>
    <numFmt numFmtId="188" formatCode="0.0000"/>
    <numFmt numFmtId="189" formatCode="#,##0.0000;[Red]#,##0.0000"/>
    <numFmt numFmtId="190" formatCode="#,##0.000;[Red]#,##0.000"/>
    <numFmt numFmtId="191" formatCode="0.000000"/>
    <numFmt numFmtId="192" formatCode="0.0000000"/>
    <numFmt numFmtId="193" formatCode="0.00000"/>
    <numFmt numFmtId="194" formatCode="#,##0;[Red]#,##0"/>
    <numFmt numFmtId="195" formatCode="&quot;R$&quot;\ #,##0.00;[Red]&quot;R$&quot;\ #,##0.00"/>
    <numFmt numFmtId="196" formatCode="#,##0.00_ ;\-#,##0.00\ "/>
  </numFmts>
  <fonts count="9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Tekton"/>
    </font>
    <font>
      <sz val="10"/>
      <name val="Arial"/>
      <family val="2"/>
    </font>
    <font>
      <sz val="8"/>
      <name val="Arial"/>
      <family val="2"/>
    </font>
    <font>
      <sz val="10"/>
      <name val="Helv"/>
      <charset val="204"/>
    </font>
    <font>
      <sz val="10"/>
      <name val="Courier"/>
      <family val="3"/>
    </font>
    <font>
      <sz val="9"/>
      <name val="Arial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Arial"/>
      <family val="2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7.5"/>
      <color indexed="12"/>
      <name val="Courier"/>
      <family val="3"/>
    </font>
    <font>
      <sz val="10"/>
      <name val="Times New Roman"/>
      <family val="1"/>
    </font>
    <font>
      <sz val="10"/>
      <name val="MS Sans Serif"/>
      <family val="2"/>
    </font>
    <font>
      <sz val="1"/>
      <color indexed="16"/>
      <name val="Courier"/>
      <family val="3"/>
    </font>
    <font>
      <sz val="1"/>
      <color indexed="18"/>
      <name val="Courier"/>
      <family val="3"/>
    </font>
    <font>
      <b/>
      <sz val="7"/>
      <color indexed="10"/>
      <name val="Arial"/>
      <family val="2"/>
    </font>
    <font>
      <b/>
      <sz val="1"/>
      <color indexed="16"/>
      <name val="Courier"/>
      <family val="3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32"/>
      <color indexed="5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  <font>
      <b/>
      <sz val="14"/>
      <color theme="1"/>
      <name val="Arial"/>
      <family val="2"/>
    </font>
    <font>
      <b/>
      <sz val="10"/>
      <color rgb="FFFFFFFF"/>
      <name val="Calibri"/>
      <family val="2"/>
    </font>
    <font>
      <sz val="10"/>
      <name val="Calibri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0"/>
      <name val="Calibri"/>
      <family val="2"/>
    </font>
    <font>
      <sz val="7"/>
      <name val="Calibri"/>
      <family val="2"/>
      <scheme val="minor"/>
    </font>
    <font>
      <sz val="11"/>
      <color theme="1"/>
      <name val="Calibri"/>
      <family val="2"/>
    </font>
    <font>
      <sz val="8.4499999999999993"/>
      <color theme="1"/>
      <name val="Arial"/>
      <family val="2"/>
    </font>
    <font>
      <sz val="9"/>
      <color indexed="81"/>
      <name val="Segoe UI"/>
      <family val="2"/>
    </font>
    <font>
      <b/>
      <sz val="11"/>
      <color theme="1"/>
      <name val="Calibri"/>
      <family val="2"/>
    </font>
    <font>
      <sz val="6.95"/>
      <color theme="1"/>
      <name val="Arial"/>
      <family val="2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Swis721 Cn BT"/>
      <family val="2"/>
    </font>
    <font>
      <b/>
      <sz val="11"/>
      <color theme="1"/>
      <name val="Swis721 Cn BT"/>
      <family val="2"/>
    </font>
    <font>
      <b/>
      <sz val="11"/>
      <color theme="0"/>
      <name val="Swis721 Cn BT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CC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medium">
        <color indexed="64"/>
      </right>
      <top style="hair">
        <color indexed="64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mediumDashDotDot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8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32" borderId="0" applyNumberFormat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4" fontId="24" fillId="0" borderId="0"/>
    <xf numFmtId="164" fontId="24" fillId="0" borderId="0"/>
    <xf numFmtId="0" fontId="25" fillId="0" borderId="0"/>
    <xf numFmtId="165" fontId="26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26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7" fillId="0" borderId="0"/>
    <xf numFmtId="49" fontId="23" fillId="34" borderId="20" applyNumberFormat="0" applyFont="0" applyFill="0" applyBorder="0" applyAlignment="0">
      <alignment horizontal="center" vertical="center" wrapText="1"/>
    </xf>
    <xf numFmtId="0" fontId="28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3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3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4" fontId="23" fillId="0" borderId="0" applyFont="0" applyFill="0" applyBorder="0" applyAlignment="0" applyProtection="0"/>
    <xf numFmtId="169" fontId="23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170" fontId="23" fillId="0" borderId="0" applyFill="0" applyBorder="0" applyAlignment="0" applyProtection="0"/>
    <xf numFmtId="164" fontId="23" fillId="0" borderId="0" applyFont="0" applyFill="0" applyBorder="0" applyAlignment="0" applyProtection="0"/>
    <xf numFmtId="169" fontId="23" fillId="0" borderId="0" applyFill="0" applyBorder="0" applyAlignment="0" applyProtection="0"/>
    <xf numFmtId="164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3" fillId="0" borderId="0" applyFill="0" applyBorder="0" applyAlignment="0" applyProtection="0"/>
    <xf numFmtId="164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3" fillId="0" borderId="0" applyFill="0" applyBorder="0" applyAlignment="0" applyProtection="0"/>
    <xf numFmtId="164" fontId="27" fillId="0" borderId="0" applyFont="0" applyFill="0" applyBorder="0" applyAlignment="0" applyProtection="0"/>
    <xf numFmtId="169" fontId="23" fillId="0" borderId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9" fontId="23" fillId="0" borderId="0" applyFill="0" applyBorder="0" applyAlignment="0" applyProtection="0"/>
    <xf numFmtId="164" fontId="27" fillId="0" borderId="0" applyFont="0" applyFill="0" applyBorder="0" applyAlignment="0" applyProtection="0"/>
    <xf numFmtId="169" fontId="23" fillId="0" borderId="0" applyFill="0" applyBorder="0" applyAlignment="0" applyProtection="0"/>
    <xf numFmtId="169" fontId="23" fillId="0" borderId="0" applyFill="0" applyBorder="0" applyAlignment="0" applyProtection="0"/>
    <xf numFmtId="0" fontId="29" fillId="0" borderId="0"/>
    <xf numFmtId="0" fontId="30" fillId="0" borderId="21" applyNumberFormat="0" applyFill="0" applyAlignment="0" applyProtection="0"/>
    <xf numFmtId="0" fontId="31" fillId="35" borderId="0"/>
    <xf numFmtId="0" fontId="31" fillId="35" borderId="0">
      <alignment horizontal="left" indent="1"/>
    </xf>
    <xf numFmtId="0" fontId="31" fillId="0" borderId="0">
      <alignment horizontal="left" indent="1"/>
    </xf>
    <xf numFmtId="0" fontId="32" fillId="34" borderId="14" applyNumberFormat="0" applyBorder="0" applyAlignment="0">
      <alignment horizontal="left" vertical="center" indent="1"/>
    </xf>
    <xf numFmtId="0" fontId="33" fillId="33" borderId="11">
      <alignment horizontal="center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0" borderId="0"/>
    <xf numFmtId="170" fontId="28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23" fillId="0" borderId="0"/>
    <xf numFmtId="164" fontId="3" fillId="0" borderId="0" applyFont="0" applyFill="0" applyBorder="0" applyAlignment="0" applyProtection="0"/>
    <xf numFmtId="0" fontId="44" fillId="38" borderId="41" applyNumberFormat="0" applyFont="0" applyBorder="0" applyAlignment="0">
      <alignment horizontal="left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3" fontId="23" fillId="0" borderId="0" applyFill="0" applyBorder="0" applyAlignment="0" applyProtection="0"/>
    <xf numFmtId="174" fontId="23" fillId="0" borderId="0" applyFill="0" applyBorder="0" applyAlignment="0" applyProtection="0"/>
    <xf numFmtId="170" fontId="23" fillId="0" borderId="0" applyFill="0" applyBorder="0" applyAlignment="0" applyProtection="0"/>
    <xf numFmtId="0" fontId="47" fillId="0" borderId="0" applyFont="0" applyFill="0" applyBorder="0" applyAlignment="0" applyProtection="0"/>
    <xf numFmtId="175" fontId="23" fillId="0" borderId="0" applyFill="0" applyBorder="0" applyAlignment="0" applyProtection="0"/>
    <xf numFmtId="2" fontId="23" fillId="0" borderId="0" applyFill="0" applyBorder="0" applyAlignment="0" applyProtection="0"/>
    <xf numFmtId="2" fontId="4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176" fontId="47" fillId="0" borderId="0" applyFont="0" applyFill="0" applyBorder="0" applyAlignment="0" applyProtection="0"/>
    <xf numFmtId="177" fontId="51" fillId="0" borderId="0" applyFont="0" applyFill="0" applyBorder="0" applyAlignment="0" applyProtection="0"/>
    <xf numFmtId="178" fontId="51" fillId="0" borderId="0" applyFont="0" applyFill="0" applyBorder="0" applyAlignment="0" applyProtection="0"/>
    <xf numFmtId="0" fontId="52" fillId="0" borderId="0"/>
    <xf numFmtId="0" fontId="27" fillId="0" borderId="0"/>
    <xf numFmtId="0" fontId="52" fillId="0" borderId="0"/>
    <xf numFmtId="179" fontId="26" fillId="0" borderId="0"/>
    <xf numFmtId="0" fontId="23" fillId="0" borderId="0" applyNumberFormat="0" applyFont="0" applyFill="0" applyBorder="0" applyAlignment="0" applyProtection="0">
      <alignment vertical="top"/>
    </xf>
    <xf numFmtId="10" fontId="23" fillId="0" borderId="0" applyFill="0" applyBorder="0" applyAlignment="0" applyProtection="0"/>
    <xf numFmtId="180" fontId="53" fillId="0" borderId="0">
      <protection locked="0"/>
    </xf>
    <xf numFmtId="180" fontId="53" fillId="0" borderId="0">
      <protection locked="0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0" applyFont="0" applyFill="0" applyBorder="0" applyAlignment="0" applyProtection="0"/>
    <xf numFmtId="38" fontId="52" fillId="0" borderId="0" applyFont="0" applyFill="0" applyBorder="0" applyAlignment="0" applyProtection="0"/>
    <xf numFmtId="180" fontId="54" fillId="0" borderId="0">
      <protection locked="0"/>
    </xf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0" fontId="52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55" fillId="0" borderId="27" applyNumberFormat="0" applyBorder="0" applyAlignment="0">
      <alignment horizontal="center" vertical="center"/>
    </xf>
    <xf numFmtId="180" fontId="56" fillId="0" borderId="0">
      <protection locked="0"/>
    </xf>
    <xf numFmtId="3" fontId="47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66" fillId="0" borderId="0"/>
    <xf numFmtId="0" fontId="68" fillId="0" borderId="0"/>
    <xf numFmtId="0" fontId="69" fillId="0" borderId="0"/>
    <xf numFmtId="0" fontId="89" fillId="0" borderId="0" applyNumberFormat="0" applyFill="0" applyBorder="0" applyAlignment="0" applyProtection="0"/>
  </cellStyleXfs>
  <cellXfs count="1543">
    <xf numFmtId="0" fontId="0" fillId="0" borderId="0" xfId="0"/>
    <xf numFmtId="4" fontId="1" fillId="0" borderId="0" xfId="0" applyNumberFormat="1" applyFont="1" applyAlignment="1">
      <alignment vertical="center"/>
    </xf>
    <xf numFmtId="4" fontId="36" fillId="0" borderId="41" xfId="0" applyNumberFormat="1" applyFont="1" applyFill="1" applyBorder="1" applyAlignment="1">
      <alignment horizontal="left" vertical="center" indent="30"/>
    </xf>
    <xf numFmtId="4" fontId="2" fillId="0" borderId="18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vertical="center"/>
    </xf>
    <xf numFmtId="4" fontId="34" fillId="0" borderId="41" xfId="0" applyNumberFormat="1" applyFont="1" applyFill="1" applyBorder="1" applyAlignment="1">
      <alignment horizontal="centerContinuous" vertical="center"/>
    </xf>
    <xf numFmtId="4" fontId="1" fillId="0" borderId="18" xfId="0" applyNumberFormat="1" applyFont="1" applyFill="1" applyBorder="1" applyAlignment="1">
      <alignment horizontal="centerContinuous" vertical="center"/>
    </xf>
    <xf numFmtId="4" fontId="1" fillId="0" borderId="0" xfId="0" applyNumberFormat="1" applyFont="1" applyFill="1" applyAlignment="1">
      <alignment vertical="center"/>
    </xf>
    <xf numFmtId="4" fontId="1" fillId="0" borderId="42" xfId="0" applyNumberFormat="1" applyFont="1" applyFill="1" applyBorder="1" applyAlignment="1">
      <alignment horizontal="centerContinuous" vertical="center"/>
    </xf>
    <xf numFmtId="0" fontId="38" fillId="0" borderId="0" xfId="151" applyFont="1" applyFill="1" applyAlignment="1">
      <alignment horizontal="center" vertical="center"/>
    </xf>
    <xf numFmtId="173" fontId="38" fillId="0" borderId="0" xfId="151" applyNumberFormat="1" applyFont="1" applyFill="1" applyAlignment="1">
      <alignment horizontal="center" vertical="center"/>
    </xf>
    <xf numFmtId="172" fontId="38" fillId="0" borderId="0" xfId="151" applyNumberFormat="1" applyFont="1" applyFill="1" applyAlignment="1">
      <alignment horizontal="center" vertical="center"/>
    </xf>
    <xf numFmtId="49" fontId="37" fillId="0" borderId="50" xfId="151" applyNumberFormat="1" applyFont="1" applyFill="1" applyBorder="1" applyAlignment="1">
      <alignment horizontal="center" vertical="center"/>
    </xf>
    <xf numFmtId="164" fontId="38" fillId="0" borderId="41" xfId="152" applyFont="1" applyFill="1" applyBorder="1" applyAlignment="1">
      <alignment vertical="center"/>
    </xf>
    <xf numFmtId="164" fontId="38" fillId="0" borderId="11" xfId="152" applyFont="1" applyFill="1" applyBorder="1" applyAlignment="1">
      <alignment vertical="center"/>
    </xf>
    <xf numFmtId="0" fontId="38" fillId="0" borderId="0" xfId="151" applyFont="1" applyFill="1" applyBorder="1" applyAlignment="1">
      <alignment horizontal="center" vertical="center"/>
    </xf>
    <xf numFmtId="49" fontId="38" fillId="0" borderId="0" xfId="151" applyNumberFormat="1" applyFont="1" applyFill="1" applyBorder="1" applyAlignment="1">
      <alignment vertical="center"/>
    </xf>
    <xf numFmtId="0" fontId="37" fillId="0" borderId="0" xfId="151" applyFont="1" applyFill="1" applyAlignment="1">
      <alignment horizontal="center" vertical="center"/>
    </xf>
    <xf numFmtId="173" fontId="37" fillId="0" borderId="0" xfId="151" applyNumberFormat="1" applyFont="1" applyFill="1" applyAlignment="1">
      <alignment vertical="center"/>
    </xf>
    <xf numFmtId="172" fontId="37" fillId="0" borderId="0" xfId="151" applyNumberFormat="1" applyFont="1" applyFill="1" applyAlignment="1">
      <alignment vertical="center"/>
    </xf>
    <xf numFmtId="0" fontId="37" fillId="0" borderId="0" xfId="151" applyFont="1" applyFill="1" applyAlignment="1">
      <alignment vertical="center"/>
    </xf>
    <xf numFmtId="164" fontId="38" fillId="0" borderId="46" xfId="152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vertical="center" wrapText="1"/>
    </xf>
    <xf numFmtId="4" fontId="34" fillId="0" borderId="18" xfId="0" applyNumberFormat="1" applyFont="1" applyFill="1" applyBorder="1" applyAlignment="1">
      <alignment vertical="center" wrapText="1"/>
    </xf>
    <xf numFmtId="49" fontId="57" fillId="0" borderId="0" xfId="170" applyNumberFormat="1" applyFont="1" applyFill="1" applyBorder="1" applyAlignment="1">
      <alignment horizontal="left" vertical="center"/>
    </xf>
    <xf numFmtId="0" fontId="20" fillId="0" borderId="0" xfId="170" applyFont="1" applyFill="1" applyBorder="1" applyAlignment="1">
      <alignment vertical="center"/>
    </xf>
    <xf numFmtId="0" fontId="58" fillId="0" borderId="0" xfId="170" applyFont="1" applyFill="1" applyBorder="1" applyAlignment="1">
      <alignment horizontal="left" vertical="center"/>
    </xf>
    <xf numFmtId="14" fontId="20" fillId="0" borderId="0" xfId="170" applyNumberFormat="1" applyFont="1" applyFill="1" applyBorder="1" applyAlignment="1">
      <alignment horizontal="center" vertical="center"/>
    </xf>
    <xf numFmtId="0" fontId="59" fillId="0" borderId="0" xfId="151" applyFont="1" applyFill="1" applyBorder="1" applyAlignment="1">
      <alignment vertical="center"/>
    </xf>
    <xf numFmtId="0" fontId="37" fillId="0" borderId="0" xfId="151" applyFont="1" applyFill="1" applyBorder="1" applyAlignment="1">
      <alignment horizontal="center" vertical="center"/>
    </xf>
    <xf numFmtId="173" fontId="37" fillId="0" borderId="0" xfId="151" applyNumberFormat="1" applyFont="1" applyFill="1" applyBorder="1" applyAlignment="1">
      <alignment vertical="center"/>
    </xf>
    <xf numFmtId="172" fontId="37" fillId="0" borderId="0" xfId="151" applyNumberFormat="1" applyFont="1" applyFill="1" applyBorder="1" applyAlignment="1">
      <alignment vertical="center"/>
    </xf>
    <xf numFmtId="0" fontId="37" fillId="0" borderId="0" xfId="151" applyFont="1" applyFill="1" applyBorder="1" applyAlignment="1">
      <alignment vertical="center"/>
    </xf>
    <xf numFmtId="0" fontId="60" fillId="0" borderId="18" xfId="151" applyFont="1" applyFill="1" applyBorder="1" applyAlignment="1">
      <alignment vertical="center"/>
    </xf>
    <xf numFmtId="168" fontId="61" fillId="0" borderId="42" xfId="193" applyNumberFormat="1" applyFont="1" applyFill="1" applyBorder="1" applyAlignment="1">
      <alignment vertical="center"/>
    </xf>
    <xf numFmtId="164" fontId="38" fillId="0" borderId="17" xfId="152" applyFont="1" applyFill="1" applyBorder="1" applyAlignment="1">
      <alignment vertical="center"/>
    </xf>
    <xf numFmtId="0" fontId="60" fillId="0" borderId="17" xfId="151" applyFont="1" applyFill="1" applyBorder="1" applyAlignment="1">
      <alignment vertical="center"/>
    </xf>
    <xf numFmtId="168" fontId="61" fillId="0" borderId="55" xfId="193" applyNumberFormat="1" applyFont="1" applyFill="1" applyBorder="1" applyAlignment="1">
      <alignment vertical="center"/>
    </xf>
    <xf numFmtId="49" fontId="43" fillId="0" borderId="44" xfId="151" applyNumberFormat="1" applyFont="1" applyFill="1" applyBorder="1" applyAlignment="1">
      <alignment horizontal="center" vertical="center"/>
    </xf>
    <xf numFmtId="0" fontId="43" fillId="0" borderId="44" xfId="151" applyFont="1" applyFill="1" applyBorder="1" applyAlignment="1">
      <alignment horizontal="center" vertical="center"/>
    </xf>
    <xf numFmtId="0" fontId="43" fillId="0" borderId="16" xfId="151" applyFont="1" applyFill="1" applyBorder="1" applyAlignment="1">
      <alignment horizontal="centerContinuous" vertical="center"/>
    </xf>
    <xf numFmtId="0" fontId="43" fillId="0" borderId="55" xfId="151" applyFont="1" applyFill="1" applyBorder="1" applyAlignment="1">
      <alignment horizontal="centerContinuous" vertical="center"/>
    </xf>
    <xf numFmtId="172" fontId="43" fillId="0" borderId="17" xfId="151" applyNumberFormat="1" applyFont="1" applyFill="1" applyBorder="1" applyAlignment="1">
      <alignment horizontal="centerContinuous" vertical="center"/>
    </xf>
    <xf numFmtId="172" fontId="43" fillId="0" borderId="55" xfId="151" applyNumberFormat="1" applyFont="1" applyFill="1" applyBorder="1" applyAlignment="1">
      <alignment horizontal="centerContinuous" vertical="center"/>
    </xf>
    <xf numFmtId="0" fontId="43" fillId="0" borderId="41" xfId="151" applyFont="1" applyFill="1" applyBorder="1" applyAlignment="1">
      <alignment horizontal="centerContinuous" vertical="center"/>
    </xf>
    <xf numFmtId="0" fontId="43" fillId="0" borderId="42" xfId="151" applyFont="1" applyFill="1" applyBorder="1" applyAlignment="1">
      <alignment horizontal="centerContinuous" vertical="center"/>
    </xf>
    <xf numFmtId="172" fontId="43" fillId="0" borderId="41" xfId="151" applyNumberFormat="1" applyFont="1" applyFill="1" applyBorder="1" applyAlignment="1">
      <alignment horizontal="centerContinuous" vertical="center"/>
    </xf>
    <xf numFmtId="172" fontId="43" fillId="0" borderId="42" xfId="151" applyNumberFormat="1" applyFont="1" applyFill="1" applyBorder="1" applyAlignment="1">
      <alignment horizontal="centerContinuous" vertical="center"/>
    </xf>
    <xf numFmtId="49" fontId="43" fillId="0" borderId="46" xfId="151" applyNumberFormat="1" applyFont="1" applyFill="1" applyBorder="1" applyAlignment="1">
      <alignment horizontal="center" vertical="center"/>
    </xf>
    <xf numFmtId="0" fontId="43" fillId="0" borderId="46" xfId="151" applyFont="1" applyFill="1" applyBorder="1" applyAlignment="1">
      <alignment horizontal="center" vertical="center"/>
    </xf>
    <xf numFmtId="3" fontId="37" fillId="0" borderId="50" xfId="151" applyNumberFormat="1" applyFont="1" applyFill="1" applyBorder="1" applyAlignment="1">
      <alignment horizontal="center" vertical="center"/>
    </xf>
    <xf numFmtId="0" fontId="37" fillId="0" borderId="50" xfId="151" applyFont="1" applyFill="1" applyBorder="1" applyAlignment="1">
      <alignment horizontal="center" vertical="center"/>
    </xf>
    <xf numFmtId="164" fontId="37" fillId="0" borderId="50" xfId="152" applyFont="1" applyFill="1" applyBorder="1" applyAlignment="1">
      <alignment vertical="center"/>
    </xf>
    <xf numFmtId="1" fontId="37" fillId="0" borderId="50" xfId="151" applyNumberFormat="1" applyFont="1" applyFill="1" applyBorder="1" applyAlignment="1">
      <alignment horizontal="center" vertical="center"/>
    </xf>
    <xf numFmtId="37" fontId="37" fillId="0" borderId="50" xfId="151" applyNumberFormat="1" applyFont="1" applyFill="1" applyBorder="1" applyAlignment="1">
      <alignment horizontal="center" vertical="center"/>
    </xf>
    <xf numFmtId="4" fontId="37" fillId="0" borderId="50" xfId="151" applyNumberFormat="1" applyFont="1" applyFill="1" applyBorder="1" applyAlignment="1">
      <alignment horizontal="center" vertical="center"/>
    </xf>
    <xf numFmtId="39" fontId="37" fillId="0" borderId="50" xfId="151" applyNumberFormat="1" applyFont="1" applyFill="1" applyBorder="1" applyAlignment="1">
      <alignment horizontal="center" vertical="center"/>
    </xf>
    <xf numFmtId="3" fontId="37" fillId="0" borderId="57" xfId="151" applyNumberFormat="1" applyFont="1" applyFill="1" applyBorder="1" applyAlignment="1">
      <alignment horizontal="center" vertical="center"/>
    </xf>
    <xf numFmtId="4" fontId="37" fillId="0" borderId="57" xfId="151" applyNumberFormat="1" applyFont="1" applyFill="1" applyBorder="1" applyAlignment="1">
      <alignment horizontal="center" vertical="center"/>
    </xf>
    <xf numFmtId="49" fontId="37" fillId="0" borderId="51" xfId="151" applyNumberFormat="1" applyFont="1" applyFill="1" applyBorder="1" applyAlignment="1">
      <alignment horizontal="center" vertical="center"/>
    </xf>
    <xf numFmtId="0" fontId="37" fillId="0" borderId="51" xfId="151" applyFont="1" applyFill="1" applyBorder="1" applyAlignment="1">
      <alignment horizontal="center" vertical="center"/>
    </xf>
    <xf numFmtId="3" fontId="37" fillId="0" borderId="51" xfId="151" applyNumberFormat="1" applyFont="1" applyFill="1" applyBorder="1" applyAlignment="1">
      <alignment horizontal="center" vertical="center"/>
    </xf>
    <xf numFmtId="4" fontId="37" fillId="0" borderId="51" xfId="151" applyNumberFormat="1" applyFont="1" applyFill="1" applyBorder="1" applyAlignment="1">
      <alignment horizontal="center" vertical="center"/>
    </xf>
    <xf numFmtId="49" fontId="38" fillId="0" borderId="41" xfId="151" applyNumberFormat="1" applyFont="1" applyFill="1" applyBorder="1" applyAlignment="1">
      <alignment horizontal="left" vertical="center" indent="1"/>
    </xf>
    <xf numFmtId="49" fontId="38" fillId="0" borderId="18" xfId="151" applyNumberFormat="1" applyFont="1" applyFill="1" applyBorder="1" applyAlignment="1">
      <alignment horizontal="right" vertical="center"/>
    </xf>
    <xf numFmtId="49" fontId="38" fillId="0" borderId="42" xfId="151" applyNumberFormat="1" applyFont="1" applyFill="1" applyBorder="1" applyAlignment="1">
      <alignment horizontal="right" vertical="center"/>
    </xf>
    <xf numFmtId="0" fontId="61" fillId="0" borderId="11" xfId="151" applyFont="1" applyFill="1" applyBorder="1" applyAlignment="1">
      <alignment horizontal="center" vertical="center"/>
    </xf>
    <xf numFmtId="3" fontId="61" fillId="0" borderId="11" xfId="151" applyNumberFormat="1" applyFont="1" applyFill="1" applyBorder="1" applyAlignment="1">
      <alignment horizontal="center" vertical="center"/>
    </xf>
    <xf numFmtId="4" fontId="61" fillId="0" borderId="11" xfId="151" applyNumberFormat="1" applyFont="1" applyFill="1" applyBorder="1" applyAlignment="1">
      <alignment horizontal="center" vertical="center"/>
    </xf>
    <xf numFmtId="39" fontId="61" fillId="0" borderId="11" xfId="151" applyNumberFormat="1" applyFont="1" applyFill="1" applyBorder="1" applyAlignment="1">
      <alignment horizontal="center" vertical="center"/>
    </xf>
    <xf numFmtId="0" fontId="38" fillId="0" borderId="11" xfId="151" applyFont="1" applyFill="1" applyBorder="1" applyAlignment="1">
      <alignment horizontal="center" vertical="center"/>
    </xf>
    <xf numFmtId="4" fontId="38" fillId="0" borderId="11" xfId="151" applyNumberFormat="1" applyFont="1" applyFill="1" applyBorder="1" applyAlignment="1">
      <alignment horizontal="center" vertical="center"/>
    </xf>
    <xf numFmtId="49" fontId="38" fillId="0" borderId="16" xfId="151" applyNumberFormat="1" applyFont="1" applyFill="1" applyBorder="1" applyAlignment="1">
      <alignment horizontal="left" vertical="center" indent="1"/>
    </xf>
    <xf numFmtId="49" fontId="38" fillId="0" borderId="17" xfId="151" applyNumberFormat="1" applyFont="1" applyFill="1" applyBorder="1" applyAlignment="1">
      <alignment vertical="center"/>
    </xf>
    <xf numFmtId="0" fontId="38" fillId="0" borderId="18" xfId="151" applyFont="1" applyFill="1" applyBorder="1" applyAlignment="1">
      <alignment horizontal="center" vertical="center"/>
    </xf>
    <xf numFmtId="168" fontId="38" fillId="0" borderId="0" xfId="151" applyNumberFormat="1" applyFont="1" applyFill="1" applyAlignment="1">
      <alignment vertical="center"/>
    </xf>
    <xf numFmtId="49" fontId="37" fillId="0" borderId="41" xfId="151" applyNumberFormat="1" applyFont="1" applyFill="1" applyBorder="1" applyAlignment="1">
      <alignment horizontal="left" vertical="center" indent="1"/>
    </xf>
    <xf numFmtId="49" fontId="37" fillId="0" borderId="18" xfId="151" applyNumberFormat="1" applyFont="1" applyFill="1" applyBorder="1" applyAlignment="1">
      <alignment vertical="center"/>
    </xf>
    <xf numFmtId="49" fontId="38" fillId="0" borderId="18" xfId="151" applyNumberFormat="1" applyFont="1" applyFill="1" applyBorder="1" applyAlignment="1">
      <alignment vertical="center"/>
    </xf>
    <xf numFmtId="0" fontId="38" fillId="0" borderId="41" xfId="151" applyFont="1" applyFill="1" applyBorder="1" applyAlignment="1">
      <alignment horizontal="left" vertical="center" indent="1"/>
    </xf>
    <xf numFmtId="0" fontId="38" fillId="0" borderId="18" xfId="151" applyFont="1" applyFill="1" applyBorder="1" applyAlignment="1">
      <alignment horizontal="right" vertical="center"/>
    </xf>
    <xf numFmtId="1" fontId="61" fillId="0" borderId="18" xfId="151" applyNumberFormat="1" applyFont="1" applyFill="1" applyBorder="1" applyAlignment="1">
      <alignment horizontal="center" vertical="center"/>
    </xf>
    <xf numFmtId="164" fontId="38" fillId="0" borderId="41" xfId="152" applyFont="1" applyFill="1" applyBorder="1" applyAlignment="1">
      <alignment horizontal="left" vertical="center"/>
    </xf>
    <xf numFmtId="49" fontId="38" fillId="0" borderId="11" xfId="151" applyNumberFormat="1" applyFont="1" applyFill="1" applyBorder="1" applyAlignment="1">
      <alignment vertical="center"/>
    </xf>
    <xf numFmtId="49" fontId="38" fillId="0" borderId="17" xfId="151" applyNumberFormat="1" applyFont="1" applyFill="1" applyBorder="1" applyAlignment="1">
      <alignment horizontal="right" vertical="center"/>
    </xf>
    <xf numFmtId="49" fontId="38" fillId="0" borderId="55" xfId="151" applyNumberFormat="1" applyFont="1" applyFill="1" applyBorder="1" applyAlignment="1">
      <alignment horizontal="right" vertical="center"/>
    </xf>
    <xf numFmtId="3" fontId="38" fillId="0" borderId="11" xfId="151" applyNumberFormat="1" applyFont="1" applyFill="1" applyBorder="1" applyAlignment="1">
      <alignment horizontal="center" vertical="center"/>
    </xf>
    <xf numFmtId="49" fontId="37" fillId="0" borderId="0" xfId="151" applyNumberFormat="1" applyFont="1" applyFill="1" applyAlignment="1">
      <alignment vertical="center"/>
    </xf>
    <xf numFmtId="4" fontId="37" fillId="0" borderId="0" xfId="151" applyNumberFormat="1" applyFont="1" applyFill="1" applyAlignment="1">
      <alignment vertical="center"/>
    </xf>
    <xf numFmtId="4" fontId="35" fillId="0" borderId="47" xfId="0" applyNumberFormat="1" applyFont="1" applyBorder="1" applyAlignment="1">
      <alignment horizontal="centerContinuous" vertical="center"/>
    </xf>
    <xf numFmtId="4" fontId="2" fillId="0" borderId="53" xfId="0" applyNumberFormat="1" applyFont="1" applyBorder="1" applyAlignment="1">
      <alignment horizontal="centerContinuous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0" fillId="36" borderId="46" xfId="0" applyFont="1" applyFill="1" applyBorder="1" applyAlignment="1">
      <alignment horizontal="center" vertical="center"/>
    </xf>
    <xf numFmtId="43" fontId="20" fillId="36" borderId="60" xfId="43" applyFont="1" applyFill="1" applyBorder="1" applyAlignment="1">
      <alignment horizontal="center" vertical="center" wrapText="1"/>
    </xf>
    <xf numFmtId="4" fontId="20" fillId="36" borderId="13" xfId="0" applyNumberFormat="1" applyFont="1" applyFill="1" applyBorder="1" applyAlignment="1">
      <alignment horizontal="center" vertical="center"/>
    </xf>
    <xf numFmtId="182" fontId="20" fillId="36" borderId="61" xfId="147" applyNumberFormat="1" applyFont="1" applyFill="1" applyBorder="1" applyAlignment="1">
      <alignment horizontal="center" vertical="center"/>
    </xf>
    <xf numFmtId="4" fontId="2" fillId="0" borderId="62" xfId="0" applyNumberFormat="1" applyFont="1" applyBorder="1" applyAlignment="1">
      <alignment horizontal="center" vertical="center"/>
    </xf>
    <xf numFmtId="43" fontId="2" fillId="0" borderId="13" xfId="43" applyFont="1" applyBorder="1" applyAlignment="1">
      <alignment vertical="center"/>
    </xf>
    <xf numFmtId="4" fontId="2" fillId="37" borderId="13" xfId="0" applyNumberFormat="1" applyFont="1" applyFill="1" applyBorder="1" applyAlignment="1">
      <alignment horizontal="center" vertical="center"/>
    </xf>
    <xf numFmtId="182" fontId="2" fillId="0" borderId="61" xfId="147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3" fontId="2" fillId="0" borderId="10" xfId="43" applyFont="1" applyBorder="1" applyAlignment="1">
      <alignment vertical="center"/>
    </xf>
    <xf numFmtId="4" fontId="2" fillId="37" borderId="10" xfId="0" applyNumberFormat="1" applyFont="1" applyFill="1" applyBorder="1" applyAlignment="1">
      <alignment horizontal="center" vertical="center"/>
    </xf>
    <xf numFmtId="182" fontId="2" fillId="0" borderId="63" xfId="147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182" fontId="2" fillId="0" borderId="63" xfId="0" applyNumberFormat="1" applyFont="1" applyBorder="1" applyAlignment="1">
      <alignment horizontal="center" vertical="center"/>
    </xf>
    <xf numFmtId="4" fontId="2" fillId="0" borderId="64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vertical="center"/>
    </xf>
    <xf numFmtId="182" fontId="2" fillId="0" borderId="65" xfId="0" applyNumberFormat="1" applyFont="1" applyBorder="1" applyAlignment="1">
      <alignment horizontal="center" vertical="center"/>
    </xf>
    <xf numFmtId="4" fontId="2" fillId="36" borderId="11" xfId="0" applyNumberFormat="1" applyFont="1" applyFill="1" applyBorder="1" applyAlignment="1">
      <alignment vertical="center"/>
    </xf>
    <xf numFmtId="43" fontId="1" fillId="0" borderId="45" xfId="43" applyFont="1" applyBorder="1" applyAlignment="1">
      <alignment horizontal="left" vertical="top"/>
    </xf>
    <xf numFmtId="4" fontId="1" fillId="0" borderId="15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4" fontId="63" fillId="0" borderId="45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3" fillId="0" borderId="59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vertical="center" wrapText="1"/>
    </xf>
    <xf numFmtId="4" fontId="58" fillId="0" borderId="0" xfId="0" applyNumberFormat="1" applyFont="1" applyAlignment="1">
      <alignment vertical="center"/>
    </xf>
    <xf numFmtId="4" fontId="58" fillId="0" borderId="45" xfId="0" applyNumberFormat="1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4" fontId="58" fillId="0" borderId="59" xfId="0" applyNumberFormat="1" applyFont="1" applyBorder="1" applyAlignment="1">
      <alignment horizontal="center" vertical="center"/>
    </xf>
    <xf numFmtId="4" fontId="58" fillId="0" borderId="0" xfId="0" applyNumberFormat="1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41" fillId="0" borderId="0" xfId="65" applyFont="1" applyAlignment="1">
      <alignment vertical="center"/>
    </xf>
    <xf numFmtId="0" fontId="41" fillId="0" borderId="0" xfId="65" applyFont="1" applyBorder="1" applyAlignment="1">
      <alignment vertical="center"/>
    </xf>
    <xf numFmtId="0" fontId="40" fillId="0" borderId="0" xfId="65" applyFont="1" applyBorder="1" applyAlignment="1">
      <alignment horizontal="center" vertical="center"/>
    </xf>
    <xf numFmtId="4" fontId="41" fillId="0" borderId="0" xfId="65" applyNumberFormat="1" applyFont="1" applyAlignment="1">
      <alignment horizontal="center" vertical="center"/>
    </xf>
    <xf numFmtId="0" fontId="65" fillId="0" borderId="0" xfId="194" applyNumberFormat="1" applyFont="1" applyAlignment="1">
      <alignment horizontal="left"/>
    </xf>
    <xf numFmtId="0" fontId="41" fillId="0" borderId="0" xfId="65" applyFont="1" applyAlignment="1">
      <alignment horizontal="left" vertical="center"/>
    </xf>
    <xf numFmtId="49" fontId="2" fillId="0" borderId="10" xfId="43" applyNumberFormat="1" applyFont="1" applyBorder="1" applyAlignment="1">
      <alignment vertical="center"/>
    </xf>
    <xf numFmtId="0" fontId="65" fillId="0" borderId="0" xfId="194" applyNumberFormat="1" applyFont="1"/>
    <xf numFmtId="0" fontId="21" fillId="0" borderId="0" xfId="0" applyNumberFormat="1" applyFont="1"/>
    <xf numFmtId="0" fontId="21" fillId="0" borderId="0" xfId="0" applyNumberFormat="1" applyFont="1" applyAlignment="1">
      <alignment horizontal="left"/>
    </xf>
    <xf numFmtId="0" fontId="65" fillId="0" borderId="0" xfId="194" applyNumberFormat="1" applyFont="1"/>
    <xf numFmtId="0" fontId="21" fillId="0" borderId="0" xfId="0" applyNumberFormat="1" applyFont="1"/>
    <xf numFmtId="0" fontId="65" fillId="0" borderId="0" xfId="196" applyNumberFormat="1" applyFont="1"/>
    <xf numFmtId="0" fontId="37" fillId="0" borderId="50" xfId="151" applyFont="1" applyFill="1" applyBorder="1" applyAlignment="1">
      <alignment horizontal="center" vertical="center" wrapText="1"/>
    </xf>
    <xf numFmtId="164" fontId="37" fillId="0" borderId="50" xfId="152" applyFont="1" applyFill="1" applyBorder="1" applyAlignment="1">
      <alignment vertical="center" wrapText="1"/>
    </xf>
    <xf numFmtId="0" fontId="65" fillId="0" borderId="0" xfId="196" applyNumberFormat="1" applyFont="1" applyAlignment="1">
      <alignment horizontal="left"/>
    </xf>
    <xf numFmtId="0" fontId="41" fillId="0" borderId="0" xfId="65" applyFont="1" applyBorder="1" applyAlignment="1">
      <alignment horizontal="left" vertical="center"/>
    </xf>
    <xf numFmtId="4" fontId="41" fillId="0" borderId="0" xfId="65" applyNumberFormat="1" applyFont="1" applyBorder="1" applyAlignment="1">
      <alignment horizontal="center" vertical="center"/>
    </xf>
    <xf numFmtId="0" fontId="40" fillId="0" borderId="0" xfId="65" applyFont="1" applyAlignment="1">
      <alignment vertical="center"/>
    </xf>
    <xf numFmtId="0" fontId="40" fillId="0" borderId="0" xfId="65" applyFont="1" applyAlignment="1">
      <alignment horizontal="left" vertical="center"/>
    </xf>
    <xf numFmtId="4" fontId="40" fillId="0" borderId="0" xfId="65" applyNumberFormat="1" applyFont="1" applyAlignment="1">
      <alignment horizontal="center" vertical="center"/>
    </xf>
    <xf numFmtId="0" fontId="65" fillId="0" borderId="0" xfId="194" applyNumberFormat="1" applyFont="1"/>
    <xf numFmtId="0" fontId="21" fillId="0" borderId="0" xfId="0" applyNumberFormat="1" applyFont="1"/>
    <xf numFmtId="0" fontId="65" fillId="0" borderId="0" xfId="196" applyNumberFormat="1" applyFont="1"/>
    <xf numFmtId="4" fontId="34" fillId="0" borderId="41" xfId="0" applyNumberFormat="1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1" fillId="0" borderId="0" xfId="0" applyNumberFormat="1" applyFont="1"/>
    <xf numFmtId="4" fontId="71" fillId="0" borderId="0" xfId="0" applyNumberFormat="1" applyFont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0" xfId="0" applyFont="1" applyAlignment="1">
      <alignment vertical="top"/>
    </xf>
    <xf numFmtId="0" fontId="71" fillId="0" borderId="29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 wrapText="1"/>
    </xf>
    <xf numFmtId="171" fontId="33" fillId="0" borderId="10" xfId="0" applyNumberFormat="1" applyFont="1" applyFill="1" applyBorder="1" applyAlignment="1">
      <alignment vertical="center" wrapText="1"/>
    </xf>
    <xf numFmtId="0" fontId="71" fillId="0" borderId="13" xfId="0" applyFont="1" applyBorder="1" applyAlignment="1">
      <alignment horizontal="center" vertical="center"/>
    </xf>
    <xf numFmtId="4" fontId="71" fillId="0" borderId="10" xfId="43" applyNumberFormat="1" applyFont="1" applyBorder="1" applyAlignment="1">
      <alignment horizontal="right" vertical="center"/>
    </xf>
    <xf numFmtId="43" fontId="71" fillId="0" borderId="10" xfId="43" applyFont="1" applyBorder="1" applyAlignment="1">
      <alignment horizontal="right" vertical="center"/>
    </xf>
    <xf numFmtId="43" fontId="71" fillId="0" borderId="30" xfId="43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1" fillId="0" borderId="19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67" xfId="0" applyFont="1" applyBorder="1" applyAlignment="1">
      <alignment horizontal="center" vertical="center"/>
    </xf>
    <xf numFmtId="171" fontId="33" fillId="0" borderId="12" xfId="0" applyNumberFormat="1" applyFont="1" applyFill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31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 wrapText="1"/>
    </xf>
    <xf numFmtId="4" fontId="71" fillId="0" borderId="13" xfId="43" applyNumberFormat="1" applyFont="1" applyBorder="1" applyAlignment="1">
      <alignment horizontal="right" vertical="center"/>
    </xf>
    <xf numFmtId="43" fontId="71" fillId="0" borderId="13" xfId="43" applyFont="1" applyBorder="1" applyAlignment="1">
      <alignment horizontal="right" vertical="center"/>
    </xf>
    <xf numFmtId="43" fontId="71" fillId="0" borderId="32" xfId="43" applyFont="1" applyBorder="1" applyAlignment="1">
      <alignment horizontal="right" vertical="center"/>
    </xf>
    <xf numFmtId="43" fontId="71" fillId="0" borderId="10" xfId="43" applyFont="1" applyBorder="1" applyAlignment="1">
      <alignment vertical="center" wrapText="1"/>
    </xf>
    <xf numFmtId="43" fontId="71" fillId="0" borderId="0" xfId="0" applyNumberFormat="1" applyFont="1" applyAlignment="1">
      <alignment vertical="center"/>
    </xf>
    <xf numFmtId="43" fontId="70" fillId="0" borderId="0" xfId="0" applyNumberFormat="1" applyFont="1" applyFill="1" applyBorder="1" applyAlignment="1">
      <alignment vertical="center"/>
    </xf>
    <xf numFmtId="43" fontId="70" fillId="0" borderId="0" xfId="0" applyNumberFormat="1" applyFont="1" applyAlignment="1">
      <alignment vertical="center"/>
    </xf>
    <xf numFmtId="43" fontId="71" fillId="0" borderId="0" xfId="43" applyFont="1" applyAlignment="1">
      <alignment vertical="center"/>
    </xf>
    <xf numFmtId="0" fontId="71" fillId="0" borderId="66" xfId="0" applyFont="1" applyBorder="1" applyAlignment="1">
      <alignment horizontal="center" vertical="center" wrapText="1"/>
    </xf>
    <xf numFmtId="43" fontId="71" fillId="0" borderId="39" xfId="43" applyFont="1" applyBorder="1" applyAlignment="1">
      <alignment vertical="center" wrapText="1"/>
    </xf>
    <xf numFmtId="0" fontId="71" fillId="0" borderId="39" xfId="0" applyFont="1" applyBorder="1" applyAlignment="1">
      <alignment horizontal="center" vertical="center"/>
    </xf>
    <xf numFmtId="4" fontId="71" fillId="0" borderId="39" xfId="43" applyNumberFormat="1" applyFont="1" applyBorder="1" applyAlignment="1">
      <alignment horizontal="right" vertical="center"/>
    </xf>
    <xf numFmtId="43" fontId="71" fillId="0" borderId="39" xfId="43" applyFont="1" applyBorder="1" applyAlignment="1">
      <alignment horizontal="right" vertical="center"/>
    </xf>
    <xf numFmtId="43" fontId="71" fillId="0" borderId="10" xfId="43" applyFont="1" applyBorder="1" applyAlignment="1">
      <alignment horizontal="left" vertical="center" wrapText="1"/>
    </xf>
    <xf numFmtId="0" fontId="71" fillId="0" borderId="12" xfId="0" applyFont="1" applyBorder="1" applyAlignment="1">
      <alignment horizontal="center" vertical="center"/>
    </xf>
    <xf numFmtId="4" fontId="71" fillId="0" borderId="12" xfId="43" applyNumberFormat="1" applyFont="1" applyBorder="1" applyAlignment="1">
      <alignment horizontal="right" vertical="center"/>
    </xf>
    <xf numFmtId="0" fontId="71" fillId="37" borderId="39" xfId="0" applyFont="1" applyFill="1" applyBorder="1" applyAlignment="1">
      <alignment horizontal="center" vertical="center"/>
    </xf>
    <xf numFmtId="0" fontId="71" fillId="37" borderId="10" xfId="0" applyFont="1" applyFill="1" applyBorder="1" applyAlignment="1">
      <alignment horizontal="center" vertical="center"/>
    </xf>
    <xf numFmtId="0" fontId="71" fillId="0" borderId="19" xfId="0" applyFont="1" applyBorder="1" applyAlignment="1">
      <alignment vertical="center" wrapText="1"/>
    </xf>
    <xf numFmtId="4" fontId="71" fillId="37" borderId="10" xfId="43" applyNumberFormat="1" applyFont="1" applyFill="1" applyBorder="1" applyAlignment="1">
      <alignment horizontal="right" vertical="center"/>
    </xf>
    <xf numFmtId="43" fontId="71" fillId="37" borderId="10" xfId="43" applyFont="1" applyFill="1" applyBorder="1" applyAlignment="1">
      <alignment horizontal="right" vertical="center"/>
    </xf>
    <xf numFmtId="43" fontId="71" fillId="37" borderId="30" xfId="43" applyFont="1" applyFill="1" applyBorder="1" applyAlignment="1">
      <alignment horizontal="right" vertical="center"/>
    </xf>
    <xf numFmtId="0" fontId="71" fillId="0" borderId="10" xfId="0" applyFont="1" applyBorder="1" applyAlignment="1">
      <alignment vertical="center" wrapText="1"/>
    </xf>
    <xf numFmtId="0" fontId="71" fillId="37" borderId="13" xfId="0" applyFont="1" applyFill="1" applyBorder="1" applyAlignment="1">
      <alignment horizontal="center" vertical="center"/>
    </xf>
    <xf numFmtId="4" fontId="71" fillId="37" borderId="13" xfId="43" applyNumberFormat="1" applyFont="1" applyFill="1" applyBorder="1" applyAlignment="1">
      <alignment horizontal="right" vertical="center"/>
    </xf>
    <xf numFmtId="43" fontId="71" fillId="37" borderId="32" xfId="43" applyFont="1" applyFill="1" applyBorder="1" applyAlignment="1">
      <alignment horizontal="right" vertical="center"/>
    </xf>
    <xf numFmtId="0" fontId="71" fillId="0" borderId="0" xfId="0" applyFont="1" applyAlignment="1">
      <alignment vertical="top"/>
    </xf>
    <xf numFmtId="43" fontId="71" fillId="0" borderId="34" xfId="43" applyFont="1" applyBorder="1" applyAlignment="1">
      <alignment vertical="top"/>
    </xf>
    <xf numFmtId="43" fontId="71" fillId="0" borderId="34" xfId="43" applyFont="1" applyBorder="1" applyAlignment="1">
      <alignment vertical="center" wrapText="1"/>
    </xf>
    <xf numFmtId="0" fontId="71" fillId="0" borderId="34" xfId="0" applyFont="1" applyBorder="1" applyAlignment="1">
      <alignment horizontal="center" vertical="top"/>
    </xf>
    <xf numFmtId="4" fontId="71" fillId="0" borderId="34" xfId="0" applyNumberFormat="1" applyFont="1" applyBorder="1" applyAlignment="1">
      <alignment horizontal="right" vertical="top"/>
    </xf>
    <xf numFmtId="4" fontId="71" fillId="0" borderId="35" xfId="0" applyNumberFormat="1" applyFont="1" applyBorder="1" applyAlignment="1">
      <alignment horizontal="right" vertical="top"/>
    </xf>
    <xf numFmtId="4" fontId="71" fillId="0" borderId="23" xfId="0" applyNumberFormat="1" applyFont="1" applyBorder="1" applyAlignment="1">
      <alignment horizontal="centerContinuous" vertical="top"/>
    </xf>
    <xf numFmtId="43" fontId="71" fillId="0" borderId="23" xfId="43" applyFont="1" applyBorder="1" applyAlignment="1">
      <alignment vertical="center"/>
    </xf>
    <xf numFmtId="4" fontId="71" fillId="0" borderId="23" xfId="0" applyNumberFormat="1" applyFont="1" applyBorder="1" applyAlignment="1">
      <alignment horizontal="right" vertical="top"/>
    </xf>
    <xf numFmtId="0" fontId="71" fillId="0" borderId="0" xfId="0" applyFont="1" applyBorder="1" applyAlignment="1">
      <alignment horizontal="center" vertical="top"/>
    </xf>
    <xf numFmtId="43" fontId="71" fillId="0" borderId="0" xfId="43" applyFont="1" applyBorder="1" applyAlignment="1">
      <alignment vertical="center" wrapText="1"/>
    </xf>
    <xf numFmtId="4" fontId="71" fillId="0" borderId="0" xfId="0" applyNumberFormat="1" applyFont="1" applyBorder="1" applyAlignment="1">
      <alignment horizontal="right" vertical="top"/>
    </xf>
    <xf numFmtId="0" fontId="71" fillId="0" borderId="0" xfId="0" applyFont="1" applyAlignment="1">
      <alignment horizontal="center" vertical="top"/>
    </xf>
    <xf numFmtId="43" fontId="71" fillId="0" borderId="0" xfId="43" applyFont="1" applyAlignment="1">
      <alignment vertical="center" wrapText="1"/>
    </xf>
    <xf numFmtId="4" fontId="71" fillId="0" borderId="0" xfId="0" applyNumberFormat="1" applyFont="1" applyAlignment="1">
      <alignment horizontal="right" vertical="top"/>
    </xf>
    <xf numFmtId="171" fontId="33" fillId="0" borderId="13" xfId="0" applyNumberFormat="1" applyFont="1" applyFill="1" applyBorder="1" applyAlignment="1">
      <alignment vertical="center" wrapText="1"/>
    </xf>
    <xf numFmtId="0" fontId="70" fillId="0" borderId="73" xfId="0" applyFont="1" applyFill="1" applyBorder="1" applyAlignment="1">
      <alignment horizontal="center" vertical="top"/>
    </xf>
    <xf numFmtId="43" fontId="70" fillId="0" borderId="73" xfId="43" applyFont="1" applyFill="1" applyBorder="1" applyAlignment="1">
      <alignment vertical="center" wrapText="1"/>
    </xf>
    <xf numFmtId="4" fontId="70" fillId="0" borderId="73" xfId="43" applyNumberFormat="1" applyFont="1" applyFill="1" applyBorder="1" applyAlignment="1">
      <alignment horizontal="right" vertical="top"/>
    </xf>
    <xf numFmtId="43" fontId="70" fillId="0" borderId="73" xfId="43" applyFont="1" applyFill="1" applyBorder="1" applyAlignment="1">
      <alignment horizontal="right" vertical="top"/>
    </xf>
    <xf numFmtId="43" fontId="70" fillId="0" borderId="74" xfId="43" applyFont="1" applyFill="1" applyBorder="1" applyAlignment="1">
      <alignment horizontal="right" vertical="top"/>
    </xf>
    <xf numFmtId="0" fontId="70" fillId="0" borderId="72" xfId="0" applyFont="1" applyFill="1" applyBorder="1" applyAlignment="1">
      <alignment horizontal="center" vertical="center"/>
    </xf>
    <xf numFmtId="0" fontId="70" fillId="36" borderId="72" xfId="0" applyFont="1" applyFill="1" applyBorder="1" applyAlignment="1">
      <alignment horizontal="center" vertical="center"/>
    </xf>
    <xf numFmtId="0" fontId="70" fillId="36" borderId="73" xfId="0" applyFont="1" applyFill="1" applyBorder="1" applyAlignment="1">
      <alignment horizontal="center" vertical="top"/>
    </xf>
    <xf numFmtId="43" fontId="70" fillId="36" borderId="73" xfId="43" applyFont="1" applyFill="1" applyBorder="1" applyAlignment="1">
      <alignment vertical="center" wrapText="1"/>
    </xf>
    <xf numFmtId="4" fontId="70" fillId="36" borderId="73" xfId="43" applyNumberFormat="1" applyFont="1" applyFill="1" applyBorder="1" applyAlignment="1">
      <alignment horizontal="right" vertical="top"/>
    </xf>
    <xf numFmtId="43" fontId="70" fillId="36" borderId="73" xfId="43" applyFont="1" applyFill="1" applyBorder="1" applyAlignment="1">
      <alignment horizontal="right" vertical="top"/>
    </xf>
    <xf numFmtId="43" fontId="70" fillId="36" borderId="74" xfId="43" applyFont="1" applyFill="1" applyBorder="1" applyAlignment="1">
      <alignment horizontal="right" vertical="top"/>
    </xf>
    <xf numFmtId="43" fontId="70" fillId="0" borderId="17" xfId="43" applyFont="1" applyFill="1" applyBorder="1" applyAlignment="1">
      <alignment vertical="center" wrapText="1"/>
    </xf>
    <xf numFmtId="0" fontId="70" fillId="0" borderId="17" xfId="0" applyFont="1" applyFill="1" applyBorder="1" applyAlignment="1">
      <alignment horizontal="center" vertical="center"/>
    </xf>
    <xf numFmtId="4" fontId="70" fillId="0" borderId="17" xfId="0" applyNumberFormat="1" applyFont="1" applyFill="1" applyBorder="1" applyAlignment="1">
      <alignment horizontal="right" vertical="center"/>
    </xf>
    <xf numFmtId="0" fontId="70" fillId="0" borderId="17" xfId="0" applyFont="1" applyFill="1" applyBorder="1" applyAlignment="1">
      <alignment horizontal="right" vertical="center"/>
    </xf>
    <xf numFmtId="0" fontId="70" fillId="0" borderId="26" xfId="0" applyFont="1" applyFill="1" applyBorder="1" applyAlignment="1">
      <alignment horizontal="right" vertical="center"/>
    </xf>
    <xf numFmtId="4" fontId="74" fillId="0" borderId="22" xfId="0" applyNumberFormat="1" applyFont="1" applyBorder="1" applyAlignment="1">
      <alignment vertical="center"/>
    </xf>
    <xf numFmtId="4" fontId="74" fillId="0" borderId="34" xfId="0" applyNumberFormat="1" applyFont="1" applyBorder="1" applyAlignment="1">
      <alignment vertical="center"/>
    </xf>
    <xf numFmtId="0" fontId="70" fillId="0" borderId="25" xfId="0" applyFont="1" applyFill="1" applyBorder="1" applyAlignment="1">
      <alignment horizontal="center" vertical="center"/>
    </xf>
    <xf numFmtId="43" fontId="71" fillId="0" borderId="33" xfId="43" applyFont="1" applyBorder="1" applyAlignment="1">
      <alignment horizontal="center" vertical="center"/>
    </xf>
    <xf numFmtId="4" fontId="71" fillId="0" borderId="23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0" borderId="72" xfId="0" applyFont="1" applyBorder="1" applyAlignment="1">
      <alignment horizontal="center" vertical="center"/>
    </xf>
    <xf numFmtId="0" fontId="70" fillId="0" borderId="73" xfId="0" applyFont="1" applyBorder="1" applyAlignment="1">
      <alignment horizontal="center" vertical="center"/>
    </xf>
    <xf numFmtId="171" fontId="72" fillId="0" borderId="73" xfId="0" applyNumberFormat="1" applyFont="1" applyFill="1" applyBorder="1" applyAlignment="1">
      <alignment vertical="center" wrapText="1"/>
    </xf>
    <xf numFmtId="0" fontId="71" fillId="0" borderId="73" xfId="0" applyFont="1" applyBorder="1" applyAlignment="1">
      <alignment horizontal="center" vertical="center"/>
    </xf>
    <xf numFmtId="4" fontId="71" fillId="0" borderId="73" xfId="43" applyNumberFormat="1" applyFont="1" applyBorder="1" applyAlignment="1">
      <alignment horizontal="right" vertical="center"/>
    </xf>
    <xf numFmtId="43" fontId="71" fillId="0" borderId="73" xfId="43" applyFont="1" applyBorder="1" applyAlignment="1">
      <alignment horizontal="right" vertical="center"/>
    </xf>
    <xf numFmtId="0" fontId="1" fillId="37" borderId="0" xfId="0" applyNumberFormat="1" applyFont="1" applyFill="1"/>
    <xf numFmtId="0" fontId="75" fillId="37" borderId="0" xfId="73" applyNumberFormat="1" applyFont="1" applyFill="1"/>
    <xf numFmtId="0" fontId="76" fillId="37" borderId="0" xfId="73" applyNumberFormat="1" applyFont="1" applyFill="1"/>
    <xf numFmtId="43" fontId="71" fillId="0" borderId="76" xfId="43" applyFont="1" applyBorder="1" applyAlignment="1">
      <alignment horizontal="right" vertical="center"/>
    </xf>
    <xf numFmtId="0" fontId="33" fillId="37" borderId="10" xfId="65" applyFont="1" applyFill="1" applyBorder="1" applyAlignment="1">
      <alignment horizontal="center" vertical="center"/>
    </xf>
    <xf numFmtId="0" fontId="33" fillId="37" borderId="10" xfId="65" applyFont="1" applyFill="1" applyBorder="1" applyAlignment="1">
      <alignment horizontal="left" vertical="center" wrapText="1"/>
    </xf>
    <xf numFmtId="0" fontId="70" fillId="36" borderId="73" xfId="0" applyFont="1" applyFill="1" applyBorder="1" applyAlignment="1">
      <alignment horizontal="center" vertical="center"/>
    </xf>
    <xf numFmtId="4" fontId="70" fillId="36" borderId="73" xfId="43" applyNumberFormat="1" applyFont="1" applyFill="1" applyBorder="1" applyAlignment="1">
      <alignment horizontal="right" vertical="center"/>
    </xf>
    <xf numFmtId="43" fontId="70" fillId="36" borderId="73" xfId="43" applyFont="1" applyFill="1" applyBorder="1" applyAlignment="1">
      <alignment horizontal="right" vertical="center"/>
    </xf>
    <xf numFmtId="43" fontId="70" fillId="36" borderId="74" xfId="43" applyFont="1" applyFill="1" applyBorder="1" applyAlignment="1">
      <alignment horizontal="right" vertical="center"/>
    </xf>
    <xf numFmtId="0" fontId="70" fillId="0" borderId="77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43" fontId="70" fillId="0" borderId="0" xfId="43" applyFont="1" applyFill="1" applyBorder="1" applyAlignment="1">
      <alignment vertical="center" wrapText="1"/>
    </xf>
    <xf numFmtId="4" fontId="70" fillId="0" borderId="0" xfId="0" applyNumberFormat="1" applyFont="1" applyFill="1" applyBorder="1" applyAlignment="1">
      <alignment horizontal="right" vertical="center"/>
    </xf>
    <xf numFmtId="0" fontId="70" fillId="0" borderId="0" xfId="0" applyFont="1" applyFill="1" applyBorder="1" applyAlignment="1">
      <alignment horizontal="right" vertical="center"/>
    </xf>
    <xf numFmtId="43" fontId="70" fillId="0" borderId="78" xfId="43" applyFont="1" applyFill="1" applyBorder="1" applyAlignment="1">
      <alignment horizontal="right" vertical="center"/>
    </xf>
    <xf numFmtId="49" fontId="70" fillId="36" borderId="73" xfId="43" applyNumberFormat="1" applyFont="1" applyFill="1" applyBorder="1" applyAlignment="1">
      <alignment vertical="center" wrapText="1"/>
    </xf>
    <xf numFmtId="43" fontId="71" fillId="0" borderId="13" xfId="43" applyFont="1" applyBorder="1" applyAlignment="1">
      <alignment vertical="center" wrapText="1"/>
    </xf>
    <xf numFmtId="49" fontId="70" fillId="0" borderId="0" xfId="43" applyNumberFormat="1" applyFont="1" applyFill="1" applyBorder="1" applyAlignment="1">
      <alignment vertical="center" wrapText="1"/>
    </xf>
    <xf numFmtId="4" fontId="70" fillId="0" borderId="0" xfId="43" applyNumberFormat="1" applyFont="1" applyFill="1" applyBorder="1" applyAlignment="1">
      <alignment horizontal="right" vertical="center"/>
    </xf>
    <xf numFmtId="43" fontId="70" fillId="0" borderId="0" xfId="43" applyFont="1" applyFill="1" applyBorder="1" applyAlignment="1">
      <alignment horizontal="right" vertical="center"/>
    </xf>
    <xf numFmtId="0" fontId="1" fillId="37" borderId="0" xfId="0" applyNumberFormat="1" applyFont="1" applyFill="1"/>
    <xf numFmtId="0" fontId="76" fillId="37" borderId="0" xfId="73" applyNumberFormat="1" applyFont="1" applyFill="1"/>
    <xf numFmtId="0" fontId="71" fillId="0" borderId="79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wrapText="1"/>
    </xf>
    <xf numFmtId="43" fontId="71" fillId="0" borderId="10" xfId="43" applyFont="1" applyFill="1" applyBorder="1" applyAlignment="1">
      <alignment vertical="center" wrapText="1"/>
    </xf>
    <xf numFmtId="0" fontId="71" fillId="0" borderId="10" xfId="0" applyFont="1" applyFill="1" applyBorder="1" applyAlignment="1">
      <alignment horizontal="center" vertical="center"/>
    </xf>
    <xf numFmtId="4" fontId="71" fillId="0" borderId="10" xfId="43" applyNumberFormat="1" applyFont="1" applyFill="1" applyBorder="1" applyAlignment="1">
      <alignment horizontal="right" vertical="center"/>
    </xf>
    <xf numFmtId="43" fontId="71" fillId="0" borderId="10" xfId="43" applyFont="1" applyFill="1" applyBorder="1" applyAlignment="1">
      <alignment horizontal="right" vertical="center"/>
    </xf>
    <xf numFmtId="43" fontId="71" fillId="0" borderId="74" xfId="43" applyFont="1" applyFill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0" fillId="0" borderId="79" xfId="0" applyFont="1" applyFill="1" applyBorder="1" applyAlignment="1">
      <alignment horizontal="center" vertical="center"/>
    </xf>
    <xf numFmtId="0" fontId="70" fillId="0" borderId="80" xfId="0" applyFont="1" applyFill="1" applyBorder="1" applyAlignment="1">
      <alignment horizontal="center" vertical="center"/>
    </xf>
    <xf numFmtId="43" fontId="70" fillId="0" borderId="80" xfId="43" applyFont="1" applyFill="1" applyBorder="1" applyAlignment="1">
      <alignment vertical="center" wrapText="1"/>
    </xf>
    <xf numFmtId="4" fontId="70" fillId="0" borderId="80" xfId="43" applyNumberFormat="1" applyFont="1" applyFill="1" applyBorder="1" applyAlignment="1">
      <alignment horizontal="right" vertical="center"/>
    </xf>
    <xf numFmtId="43" fontId="70" fillId="0" borderId="80" xfId="43" applyFont="1" applyFill="1" applyBorder="1" applyAlignment="1">
      <alignment horizontal="right" vertical="center"/>
    </xf>
    <xf numFmtId="43" fontId="70" fillId="0" borderId="81" xfId="43" applyFont="1" applyFill="1" applyBorder="1" applyAlignment="1">
      <alignment horizontal="right" vertical="center"/>
    </xf>
    <xf numFmtId="0" fontId="71" fillId="0" borderId="73" xfId="0" applyFont="1" applyFill="1" applyBorder="1" applyAlignment="1">
      <alignment horizontal="center" vertical="center"/>
    </xf>
    <xf numFmtId="4" fontId="71" fillId="0" borderId="73" xfId="43" applyNumberFormat="1" applyFont="1" applyFill="1" applyBorder="1" applyAlignment="1">
      <alignment horizontal="right" vertical="center"/>
    </xf>
    <xf numFmtId="43" fontId="71" fillId="0" borderId="73" xfId="43" applyFont="1" applyFill="1" applyBorder="1" applyAlignment="1">
      <alignment horizontal="right" vertical="center"/>
    </xf>
    <xf numFmtId="49" fontId="71" fillId="0" borderId="10" xfId="43" applyNumberFormat="1" applyFont="1" applyFill="1" applyBorder="1" applyAlignment="1">
      <alignment vertical="center" wrapText="1"/>
    </xf>
    <xf numFmtId="43" fontId="71" fillId="0" borderId="30" xfId="43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horizontal="center" vertical="center"/>
    </xf>
    <xf numFmtId="4" fontId="70" fillId="0" borderId="10" xfId="43" applyNumberFormat="1" applyFont="1" applyFill="1" applyBorder="1" applyAlignment="1">
      <alignment horizontal="right" vertical="center"/>
    </xf>
    <xf numFmtId="0" fontId="71" fillId="0" borderId="29" xfId="0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right" vertical="center"/>
    </xf>
    <xf numFmtId="0" fontId="70" fillId="0" borderId="73" xfId="0" applyFont="1" applyFill="1" applyBorder="1" applyAlignment="1">
      <alignment horizontal="center" vertical="center"/>
    </xf>
    <xf numFmtId="49" fontId="70" fillId="0" borderId="73" xfId="43" applyNumberFormat="1" applyFont="1" applyFill="1" applyBorder="1" applyAlignment="1">
      <alignment vertical="center" wrapText="1"/>
    </xf>
    <xf numFmtId="4" fontId="70" fillId="0" borderId="73" xfId="43" applyNumberFormat="1" applyFont="1" applyFill="1" applyBorder="1" applyAlignment="1">
      <alignment horizontal="right" vertical="center"/>
    </xf>
    <xf numFmtId="43" fontId="70" fillId="0" borderId="73" xfId="43" applyFont="1" applyFill="1" applyBorder="1" applyAlignment="1">
      <alignment horizontal="right" vertical="center"/>
    </xf>
    <xf numFmtId="43" fontId="70" fillId="0" borderId="74" xfId="43" applyFont="1" applyFill="1" applyBorder="1" applyAlignment="1">
      <alignment horizontal="right" vertical="center"/>
    </xf>
    <xf numFmtId="4" fontId="70" fillId="0" borderId="73" xfId="0" applyNumberFormat="1" applyFont="1" applyFill="1" applyBorder="1" applyAlignment="1">
      <alignment horizontal="right" vertical="center"/>
    </xf>
    <xf numFmtId="0" fontId="70" fillId="0" borderId="73" xfId="0" applyFont="1" applyFill="1" applyBorder="1" applyAlignment="1">
      <alignment horizontal="right" vertical="center"/>
    </xf>
    <xf numFmtId="0" fontId="71" fillId="0" borderId="72" xfId="0" applyFont="1" applyFill="1" applyBorder="1" applyAlignment="1">
      <alignment horizontal="center" vertical="center"/>
    </xf>
    <xf numFmtId="49" fontId="71" fillId="0" borderId="73" xfId="43" applyNumberFormat="1" applyFont="1" applyFill="1" applyBorder="1" applyAlignment="1">
      <alignment vertical="center" wrapText="1"/>
    </xf>
    <xf numFmtId="43" fontId="71" fillId="0" borderId="0" xfId="43" applyFont="1" applyFill="1" applyBorder="1" applyAlignment="1">
      <alignment vertical="center" wrapText="1"/>
    </xf>
    <xf numFmtId="43" fontId="71" fillId="0" borderId="10" xfId="43" applyFont="1" applyFill="1" applyBorder="1" applyAlignment="1">
      <alignment horizontal="left" vertical="center" wrapText="1"/>
    </xf>
    <xf numFmtId="0" fontId="71" fillId="0" borderId="80" xfId="0" applyFont="1" applyBorder="1" applyAlignment="1">
      <alignment horizontal="center" vertical="center"/>
    </xf>
    <xf numFmtId="4" fontId="71" fillId="0" borderId="80" xfId="43" applyNumberFormat="1" applyFont="1" applyBorder="1" applyAlignment="1">
      <alignment horizontal="right" vertical="center"/>
    </xf>
    <xf numFmtId="43" fontId="71" fillId="0" borderId="80" xfId="43" applyFont="1" applyBorder="1" applyAlignment="1">
      <alignment horizontal="right" vertical="center"/>
    </xf>
    <xf numFmtId="43" fontId="71" fillId="0" borderId="81" xfId="43" applyFont="1" applyBorder="1" applyAlignment="1">
      <alignment horizontal="right" vertical="center"/>
    </xf>
    <xf numFmtId="0" fontId="79" fillId="0" borderId="19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70" fillId="0" borderId="84" xfId="0" applyFont="1" applyFill="1" applyBorder="1" applyAlignment="1">
      <alignment horizontal="center" vertical="center"/>
    </xf>
    <xf numFmtId="0" fontId="70" fillId="0" borderId="85" xfId="0" applyFont="1" applyFill="1" applyBorder="1" applyAlignment="1">
      <alignment horizontal="center" vertical="center"/>
    </xf>
    <xf numFmtId="43" fontId="70" fillId="0" borderId="85" xfId="43" applyFont="1" applyFill="1" applyBorder="1" applyAlignment="1">
      <alignment vertical="center" wrapText="1"/>
    </xf>
    <xf numFmtId="4" fontId="70" fillId="0" borderId="85" xfId="0" applyNumberFormat="1" applyFont="1" applyFill="1" applyBorder="1" applyAlignment="1">
      <alignment horizontal="right" vertical="center"/>
    </xf>
    <xf numFmtId="0" fontId="70" fillId="0" borderId="85" xfId="0" applyFont="1" applyFill="1" applyBorder="1" applyAlignment="1">
      <alignment horizontal="right" vertical="center"/>
    </xf>
    <xf numFmtId="43" fontId="70" fillId="0" borderId="86" xfId="43" applyFont="1" applyFill="1" applyBorder="1" applyAlignment="1">
      <alignment horizontal="right" vertical="center"/>
    </xf>
    <xf numFmtId="0" fontId="70" fillId="0" borderId="10" xfId="0" applyFont="1" applyFill="1" applyBorder="1" applyAlignment="1">
      <alignment vertical="center"/>
    </xf>
    <xf numFmtId="0" fontId="71" fillId="0" borderId="38" xfId="0" applyFont="1" applyFill="1" applyBorder="1" applyAlignment="1">
      <alignment horizontal="center" vertical="center"/>
    </xf>
    <xf numFmtId="49" fontId="71" fillId="0" borderId="39" xfId="43" applyNumberFormat="1" applyFont="1" applyFill="1" applyBorder="1" applyAlignment="1">
      <alignment vertical="center" wrapText="1"/>
    </xf>
    <xf numFmtId="4" fontId="70" fillId="0" borderId="39" xfId="43" applyNumberFormat="1" applyFont="1" applyFill="1" applyBorder="1" applyAlignment="1">
      <alignment horizontal="right" vertical="center"/>
    </xf>
    <xf numFmtId="0" fontId="70" fillId="0" borderId="87" xfId="0" applyFont="1" applyFill="1" applyBorder="1" applyAlignment="1">
      <alignment horizontal="center" vertical="center"/>
    </xf>
    <xf numFmtId="0" fontId="70" fillId="0" borderId="88" xfId="0" applyFont="1" applyFill="1" applyBorder="1" applyAlignment="1">
      <alignment horizontal="center" vertical="center"/>
    </xf>
    <xf numFmtId="43" fontId="70" fillId="0" borderId="88" xfId="43" applyFont="1" applyFill="1" applyBorder="1" applyAlignment="1">
      <alignment vertical="center" wrapText="1"/>
    </xf>
    <xf numFmtId="4" fontId="70" fillId="0" borderId="88" xfId="0" applyNumberFormat="1" applyFont="1" applyFill="1" applyBorder="1" applyAlignment="1">
      <alignment horizontal="right" vertical="center"/>
    </xf>
    <xf numFmtId="0" fontId="70" fillId="0" borderId="88" xfId="0" applyFont="1" applyFill="1" applyBorder="1" applyAlignment="1">
      <alignment horizontal="right" vertical="center"/>
    </xf>
    <xf numFmtId="43" fontId="70" fillId="0" borderId="89" xfId="43" applyFont="1" applyFill="1" applyBorder="1" applyAlignment="1">
      <alignment horizontal="right" vertical="center"/>
    </xf>
    <xf numFmtId="0" fontId="70" fillId="37" borderId="79" xfId="0" applyFont="1" applyFill="1" applyBorder="1" applyAlignment="1">
      <alignment horizontal="center" vertical="center"/>
    </xf>
    <xf numFmtId="0" fontId="70" fillId="37" borderId="80" xfId="0" applyFont="1" applyFill="1" applyBorder="1" applyAlignment="1">
      <alignment horizontal="center" vertical="center"/>
    </xf>
    <xf numFmtId="49" fontId="70" fillId="37" borderId="80" xfId="43" applyNumberFormat="1" applyFont="1" applyFill="1" applyBorder="1" applyAlignment="1">
      <alignment vertical="center" wrapText="1"/>
    </xf>
    <xf numFmtId="4" fontId="70" fillId="37" borderId="80" xfId="43" applyNumberFormat="1" applyFont="1" applyFill="1" applyBorder="1" applyAlignment="1">
      <alignment horizontal="right" vertical="center"/>
    </xf>
    <xf numFmtId="43" fontId="70" fillId="37" borderId="80" xfId="43" applyFont="1" applyFill="1" applyBorder="1" applyAlignment="1">
      <alignment horizontal="right" vertical="center"/>
    </xf>
    <xf numFmtId="43" fontId="70" fillId="37" borderId="81" xfId="43" applyFont="1" applyFill="1" applyBorder="1" applyAlignment="1">
      <alignment horizontal="right" vertical="center"/>
    </xf>
    <xf numFmtId="0" fontId="21" fillId="0" borderId="0" xfId="0" applyNumberFormat="1" applyFont="1"/>
    <xf numFmtId="0" fontId="40" fillId="0" borderId="0" xfId="65" applyFont="1" applyFill="1" applyAlignment="1">
      <alignment vertical="center"/>
    </xf>
    <xf numFmtId="0" fontId="41" fillId="0" borderId="0" xfId="65" applyFont="1" applyFill="1" applyAlignment="1">
      <alignment horizontal="left" vertical="center"/>
    </xf>
    <xf numFmtId="0" fontId="41" fillId="0" borderId="0" xfId="65" applyFont="1" applyFill="1" applyAlignment="1">
      <alignment horizontal="center" vertical="center"/>
    </xf>
    <xf numFmtId="4" fontId="41" fillId="0" borderId="0" xfId="65" applyNumberFormat="1" applyFont="1" applyFill="1" applyAlignment="1">
      <alignment horizontal="center" vertical="center"/>
    </xf>
    <xf numFmtId="0" fontId="41" fillId="0" borderId="0" xfId="65" applyFont="1" applyFill="1" applyAlignment="1">
      <alignment vertical="center"/>
    </xf>
    <xf numFmtId="0" fontId="41" fillId="0" borderId="0" xfId="65" applyFont="1" applyAlignment="1">
      <alignment horizontal="center" vertical="center"/>
    </xf>
    <xf numFmtId="0" fontId="40" fillId="0" borderId="0" xfId="65" applyFont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0" fontId="41" fillId="0" borderId="19" xfId="65" applyFont="1" applyBorder="1" applyAlignment="1">
      <alignment vertical="center"/>
    </xf>
    <xf numFmtId="0" fontId="40" fillId="0" borderId="10" xfId="65" applyFont="1" applyBorder="1" applyAlignment="1">
      <alignment horizontal="left" vertical="center" wrapText="1"/>
    </xf>
    <xf numFmtId="4" fontId="41" fillId="0" borderId="10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 wrapText="1"/>
    </xf>
    <xf numFmtId="0" fontId="41" fillId="0" borderId="82" xfId="65" applyFont="1" applyBorder="1" applyAlignment="1">
      <alignment horizontal="center" vertical="center"/>
    </xf>
    <xf numFmtId="0" fontId="41" fillId="0" borderId="10" xfId="65" applyFont="1" applyBorder="1" applyAlignment="1">
      <alignment horizontal="left" vertical="center" wrapText="1"/>
    </xf>
    <xf numFmtId="2" fontId="41" fillId="0" borderId="10" xfId="65" applyNumberFormat="1" applyFont="1" applyBorder="1" applyAlignment="1">
      <alignment horizontal="center" vertical="center"/>
    </xf>
    <xf numFmtId="4" fontId="41" fillId="0" borderId="73" xfId="65" applyNumberFormat="1" applyFont="1" applyBorder="1" applyAlignment="1">
      <alignment horizontal="center" vertical="center"/>
    </xf>
    <xf numFmtId="0" fontId="41" fillId="0" borderId="73" xfId="65" applyFont="1" applyBorder="1" applyAlignment="1">
      <alignment vertical="center"/>
    </xf>
    <xf numFmtId="0" fontId="41" fillId="0" borderId="19" xfId="65" applyFont="1" applyBorder="1" applyAlignment="1">
      <alignment horizontal="right" vertical="center"/>
    </xf>
    <xf numFmtId="0" fontId="41" fillId="0" borderId="0" xfId="65" applyFont="1" applyAlignment="1">
      <alignment horizontal="center" vertical="center" wrapText="1"/>
    </xf>
    <xf numFmtId="0" fontId="40" fillId="0" borderId="82" xfId="65" applyFont="1" applyBorder="1" applyAlignment="1">
      <alignment horizontal="center" vertical="center"/>
    </xf>
    <xf numFmtId="0" fontId="41" fillId="41" borderId="0" xfId="65" applyFont="1" applyFill="1" applyAlignment="1">
      <alignment horizontal="left" vertical="center"/>
    </xf>
    <xf numFmtId="0" fontId="41" fillId="42" borderId="0" xfId="65" applyFont="1" applyFill="1" applyAlignment="1">
      <alignment vertical="center"/>
    </xf>
    <xf numFmtId="0" fontId="41" fillId="42" borderId="0" xfId="65" applyFont="1" applyFill="1" applyAlignment="1">
      <alignment horizontal="left" vertical="center"/>
    </xf>
    <xf numFmtId="0" fontId="41" fillId="42" borderId="0" xfId="65" applyFont="1" applyFill="1" applyAlignment="1">
      <alignment horizontal="center" vertical="center"/>
    </xf>
    <xf numFmtId="4" fontId="41" fillId="42" borderId="0" xfId="65" applyNumberFormat="1" applyFont="1" applyFill="1" applyAlignment="1">
      <alignment horizontal="center" vertical="center"/>
    </xf>
    <xf numFmtId="0" fontId="40" fillId="0" borderId="0" xfId="65" applyFont="1" applyFill="1" applyAlignment="1">
      <alignment horizontal="left" vertical="center"/>
    </xf>
    <xf numFmtId="0" fontId="40" fillId="0" borderId="0" xfId="65" applyFont="1" applyFill="1" applyAlignment="1">
      <alignment horizontal="center" vertical="center"/>
    </xf>
    <xf numFmtId="0" fontId="41" fillId="0" borderId="19" xfId="65" applyFont="1" applyFill="1" applyBorder="1" applyAlignment="1">
      <alignment horizontal="left" vertical="center"/>
    </xf>
    <xf numFmtId="0" fontId="41" fillId="0" borderId="10" xfId="65" applyFont="1" applyFill="1" applyBorder="1" applyAlignment="1">
      <alignment horizontal="left" vertical="center" wrapText="1"/>
    </xf>
    <xf numFmtId="0" fontId="41" fillId="0" borderId="10" xfId="65" applyFont="1" applyFill="1" applyBorder="1" applyAlignment="1">
      <alignment horizontal="center" vertical="center" wrapText="1"/>
    </xf>
    <xf numFmtId="0" fontId="41" fillId="0" borderId="10" xfId="65" applyFont="1" applyFill="1" applyBorder="1" applyAlignment="1">
      <alignment horizontal="center" vertical="center"/>
    </xf>
    <xf numFmtId="2" fontId="41" fillId="0" borderId="10" xfId="65" applyNumberFormat="1" applyFont="1" applyFill="1" applyBorder="1" applyAlignment="1">
      <alignment horizontal="center" vertical="center"/>
    </xf>
    <xf numFmtId="0" fontId="40" fillId="0" borderId="0" xfId="65" applyFont="1" applyFill="1" applyAlignment="1">
      <alignment horizontal="left" vertical="center" wrapText="1"/>
    </xf>
    <xf numFmtId="0" fontId="40" fillId="0" borderId="10" xfId="65" applyFont="1" applyBorder="1" applyAlignment="1">
      <alignment horizontal="center" vertical="center" wrapText="1"/>
    </xf>
    <xf numFmtId="183" fontId="41" fillId="0" borderId="10" xfId="65" applyNumberFormat="1" applyFont="1" applyBorder="1" applyAlignment="1">
      <alignment horizontal="center" vertical="center"/>
    </xf>
    <xf numFmtId="2" fontId="41" fillId="0" borderId="82" xfId="65" applyNumberFormat="1" applyFont="1" applyBorder="1" applyAlignment="1">
      <alignment horizontal="center" vertical="center"/>
    </xf>
    <xf numFmtId="2" fontId="40" fillId="0" borderId="82" xfId="65" applyNumberFormat="1" applyFont="1" applyBorder="1" applyAlignment="1">
      <alignment horizontal="center" vertical="center"/>
    </xf>
    <xf numFmtId="184" fontId="41" fillId="0" borderId="10" xfId="65" applyNumberFormat="1" applyFont="1" applyBorder="1" applyAlignment="1">
      <alignment horizontal="center" vertical="center"/>
    </xf>
    <xf numFmtId="185" fontId="41" fillId="0" borderId="10" xfId="65" applyNumberFormat="1" applyFont="1" applyBorder="1" applyAlignment="1">
      <alignment horizontal="center" vertical="center"/>
    </xf>
    <xf numFmtId="186" fontId="41" fillId="0" borderId="10" xfId="65" applyNumberFormat="1" applyFont="1" applyBorder="1" applyAlignment="1">
      <alignment horizontal="center" vertical="center"/>
    </xf>
    <xf numFmtId="187" fontId="41" fillId="0" borderId="10" xfId="65" applyNumberFormat="1" applyFont="1" applyBorder="1" applyAlignment="1">
      <alignment horizontal="center" vertical="center"/>
    </xf>
    <xf numFmtId="4" fontId="40" fillId="0" borderId="0" xfId="65" applyNumberFormat="1" applyFont="1" applyAlignment="1">
      <alignment horizontal="left" vertical="center"/>
    </xf>
    <xf numFmtId="4" fontId="41" fillId="0" borderId="80" xfId="65" applyNumberFormat="1" applyFont="1" applyBorder="1" applyAlignment="1">
      <alignment horizontal="center" vertical="center"/>
    </xf>
    <xf numFmtId="0" fontId="41" fillId="0" borderId="80" xfId="65" applyFont="1" applyBorder="1" applyAlignment="1">
      <alignment vertical="center"/>
    </xf>
    <xf numFmtId="0" fontId="41" fillId="0" borderId="68" xfId="65" applyFont="1" applyBorder="1" applyAlignment="1">
      <alignment horizontal="right" vertical="center"/>
    </xf>
    <xf numFmtId="2" fontId="41" fillId="0" borderId="90" xfId="65" applyNumberFormat="1" applyFont="1" applyBorder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0" fontId="41" fillId="0" borderId="73" xfId="65" applyFont="1" applyBorder="1" applyAlignment="1">
      <alignment horizontal="center" vertical="center"/>
    </xf>
    <xf numFmtId="0" fontId="41" fillId="0" borderId="73" xfId="65" applyFont="1" applyBorder="1" applyAlignment="1">
      <alignment horizontal="center" vertical="center" wrapText="1"/>
    </xf>
    <xf numFmtId="4" fontId="41" fillId="0" borderId="10" xfId="65" applyNumberFormat="1" applyFont="1" applyFill="1" applyBorder="1" applyAlignment="1">
      <alignment horizontal="center" vertical="center"/>
    </xf>
    <xf numFmtId="185" fontId="41" fillId="0" borderId="82" xfId="65" applyNumberFormat="1" applyFont="1" applyFill="1" applyBorder="1" applyAlignment="1">
      <alignment horizontal="center" vertical="center"/>
    </xf>
    <xf numFmtId="188" fontId="41" fillId="0" borderId="10" xfId="65" applyNumberFormat="1" applyFont="1" applyFill="1" applyBorder="1" applyAlignment="1">
      <alignment horizontal="center" vertical="center"/>
    </xf>
    <xf numFmtId="2" fontId="41" fillId="0" borderId="82" xfId="65" applyNumberFormat="1" applyFont="1" applyFill="1" applyBorder="1" applyAlignment="1">
      <alignment horizontal="center" vertical="center"/>
    </xf>
    <xf numFmtId="185" fontId="41" fillId="0" borderId="82" xfId="65" applyNumberFormat="1" applyFont="1" applyBorder="1" applyAlignment="1">
      <alignment horizontal="center" vertical="center"/>
    </xf>
    <xf numFmtId="189" fontId="41" fillId="0" borderId="10" xfId="65" applyNumberFormat="1" applyFont="1" applyBorder="1" applyAlignment="1">
      <alignment horizontal="center" vertical="center"/>
    </xf>
    <xf numFmtId="4" fontId="41" fillId="0" borderId="85" xfId="65" applyNumberFormat="1" applyFont="1" applyBorder="1" applyAlignment="1">
      <alignment horizontal="center" vertical="center"/>
    </xf>
    <xf numFmtId="0" fontId="41" fillId="0" borderId="0" xfId="65" applyFont="1" applyBorder="1" applyAlignment="1">
      <alignment horizontal="center" vertical="center" wrapText="1"/>
    </xf>
    <xf numFmtId="185" fontId="41" fillId="0" borderId="10" xfId="65" applyNumberFormat="1" applyFont="1" applyFill="1" applyBorder="1" applyAlignment="1">
      <alignment horizontal="center" vertical="center"/>
    </xf>
    <xf numFmtId="185" fontId="40" fillId="0" borderId="82" xfId="65" applyNumberFormat="1" applyFont="1" applyBorder="1" applyAlignment="1">
      <alignment horizontal="center" vertical="center"/>
    </xf>
    <xf numFmtId="0" fontId="41" fillId="0" borderId="68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4" fontId="41" fillId="0" borderId="13" xfId="65" applyNumberFormat="1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 wrapText="1"/>
    </xf>
    <xf numFmtId="190" fontId="41" fillId="0" borderId="13" xfId="65" applyNumberFormat="1" applyFont="1" applyBorder="1" applyAlignment="1">
      <alignment horizontal="center" vertical="center" wrapText="1"/>
    </xf>
    <xf numFmtId="185" fontId="41" fillId="0" borderId="13" xfId="65" applyNumberFormat="1" applyFont="1" applyBorder="1" applyAlignment="1">
      <alignment horizontal="center" vertical="center" wrapText="1"/>
    </xf>
    <xf numFmtId="190" fontId="41" fillId="0" borderId="13" xfId="65" applyNumberFormat="1" applyFont="1" applyBorder="1" applyAlignment="1">
      <alignment horizontal="center" vertical="center" wrapText="1"/>
    </xf>
    <xf numFmtId="0" fontId="41" fillId="0" borderId="67" xfId="65" applyFont="1" applyBorder="1" applyAlignment="1">
      <alignment vertical="center" wrapText="1"/>
    </xf>
    <xf numFmtId="0" fontId="41" fillId="0" borderId="12" xfId="65" applyFont="1" applyBorder="1" applyAlignment="1">
      <alignment vertical="center" wrapText="1"/>
    </xf>
    <xf numFmtId="0" fontId="41" fillId="0" borderId="83" xfId="65" applyFont="1" applyBorder="1" applyAlignment="1">
      <alignment horizontal="center" vertical="center"/>
    </xf>
    <xf numFmtId="4" fontId="41" fillId="0" borderId="12" xfId="65" applyNumberFormat="1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 wrapText="1"/>
    </xf>
    <xf numFmtId="2" fontId="41" fillId="0" borderId="12" xfId="65" applyNumberFormat="1" applyFont="1" applyBorder="1" applyAlignment="1">
      <alignment horizontal="center" vertical="center"/>
    </xf>
    <xf numFmtId="2" fontId="41" fillId="0" borderId="83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 wrapText="1"/>
    </xf>
    <xf numFmtId="183" fontId="41" fillId="0" borderId="10" xfId="65" applyNumberFormat="1" applyFont="1" applyBorder="1" applyAlignment="1">
      <alignment horizontal="center" vertical="center" wrapText="1"/>
    </xf>
    <xf numFmtId="0" fontId="41" fillId="0" borderId="10" xfId="65" applyFont="1" applyBorder="1" applyAlignment="1">
      <alignment vertical="center" wrapText="1"/>
    </xf>
    <xf numFmtId="191" fontId="41" fillId="0" borderId="10" xfId="65" applyNumberFormat="1" applyFont="1" applyBorder="1" applyAlignment="1">
      <alignment horizontal="center" vertical="center" wrapText="1"/>
    </xf>
    <xf numFmtId="4" fontId="41" fillId="0" borderId="83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vertical="center" wrapText="1"/>
    </xf>
    <xf numFmtId="0" fontId="40" fillId="0" borderId="10" xfId="65" applyFont="1" applyFill="1" applyBorder="1" applyAlignment="1">
      <alignment horizontal="left" vertical="center" wrapText="1"/>
    </xf>
    <xf numFmtId="2" fontId="41" fillId="0" borderId="10" xfId="65" applyNumberFormat="1" applyFont="1" applyBorder="1" applyAlignment="1">
      <alignment horizontal="center" vertical="center" wrapText="1"/>
    </xf>
    <xf numFmtId="0" fontId="41" fillId="0" borderId="19" xfId="65" applyFont="1" applyBorder="1" applyAlignment="1">
      <alignment horizontal="left" vertical="center"/>
    </xf>
    <xf numFmtId="0" fontId="41" fillId="0" borderId="67" xfId="65" applyFont="1" applyBorder="1" applyAlignment="1">
      <alignment horizontal="left" vertical="center" wrapText="1"/>
    </xf>
    <xf numFmtId="192" fontId="41" fillId="0" borderId="10" xfId="65" applyNumberFormat="1" applyFont="1" applyBorder="1" applyAlignment="1">
      <alignment horizontal="center" vertical="center" wrapText="1"/>
    </xf>
    <xf numFmtId="0" fontId="40" fillId="0" borderId="80" xfId="65" applyFont="1" applyBorder="1" applyAlignment="1">
      <alignment vertical="center" wrapText="1"/>
    </xf>
    <xf numFmtId="0" fontId="40" fillId="0" borderId="0" xfId="65" applyFont="1" applyAlignment="1">
      <alignment vertical="center" wrapText="1"/>
    </xf>
    <xf numFmtId="0" fontId="41" fillId="0" borderId="10" xfId="65" applyFont="1" applyBorder="1" applyAlignment="1">
      <alignment horizontal="left" vertical="center"/>
    </xf>
    <xf numFmtId="0" fontId="41" fillId="0" borderId="82" xfId="65" applyFont="1" applyBorder="1" applyAlignment="1">
      <alignment horizontal="center" vertical="center" wrapText="1"/>
    </xf>
    <xf numFmtId="0" fontId="41" fillId="0" borderId="12" xfId="65" applyFont="1" applyBorder="1" applyAlignment="1">
      <alignment horizontal="left" vertical="center" wrapText="1"/>
    </xf>
    <xf numFmtId="183" fontId="41" fillId="0" borderId="12" xfId="65" applyNumberFormat="1" applyFont="1" applyBorder="1" applyAlignment="1">
      <alignment horizontal="center" vertical="center"/>
    </xf>
    <xf numFmtId="2" fontId="41" fillId="0" borderId="82" xfId="65" applyNumberFormat="1" applyFont="1" applyBorder="1" applyAlignment="1">
      <alignment horizontal="center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80" xfId="65" applyFont="1" applyBorder="1" applyAlignment="1">
      <alignment horizontal="left" vertical="center"/>
    </xf>
    <xf numFmtId="0" fontId="41" fillId="0" borderId="80" xfId="65" applyFont="1" applyBorder="1" applyAlignment="1">
      <alignment horizontal="right" vertical="center"/>
    </xf>
    <xf numFmtId="0" fontId="41" fillId="0" borderId="73" xfId="65" applyFont="1" applyBorder="1" applyAlignment="1">
      <alignment horizontal="left" vertical="center"/>
    </xf>
    <xf numFmtId="0" fontId="41" fillId="36" borderId="0" xfId="65" applyFont="1" applyFill="1" applyAlignment="1">
      <alignment vertical="center"/>
    </xf>
    <xf numFmtId="0" fontId="41" fillId="36" borderId="0" xfId="65" applyFont="1" applyFill="1" applyAlignment="1">
      <alignment horizontal="left" vertical="center"/>
    </xf>
    <xf numFmtId="4" fontId="41" fillId="36" borderId="0" xfId="65" applyNumberFormat="1" applyFont="1" applyFill="1" applyAlignment="1">
      <alignment horizontal="center" vertical="center"/>
    </xf>
    <xf numFmtId="188" fontId="41" fillId="0" borderId="10" xfId="65" applyNumberFormat="1" applyFont="1" applyBorder="1" applyAlignment="1">
      <alignment horizontal="center" vertical="center"/>
    </xf>
    <xf numFmtId="0" fontId="41" fillId="0" borderId="67" xfId="65" applyFont="1" applyBorder="1" applyAlignment="1">
      <alignment horizontal="left" vertical="center"/>
    </xf>
    <xf numFmtId="0" fontId="41" fillId="42" borderId="0" xfId="65" applyFont="1" applyFill="1" applyBorder="1" applyAlignment="1">
      <alignment vertical="center"/>
    </xf>
    <xf numFmtId="2" fontId="41" fillId="42" borderId="0" xfId="65" applyNumberFormat="1" applyFont="1" applyFill="1" applyBorder="1" applyAlignment="1">
      <alignment horizontal="left" vertical="center"/>
    </xf>
    <xf numFmtId="189" fontId="41" fillId="0" borderId="10" xfId="65" applyNumberFormat="1" applyFont="1" applyFill="1" applyBorder="1" applyAlignment="1">
      <alignment horizontal="center" vertical="center"/>
    </xf>
    <xf numFmtId="183" fontId="41" fillId="0" borderId="10" xfId="65" applyNumberFormat="1" applyFont="1" applyFill="1" applyBorder="1" applyAlignment="1">
      <alignment horizontal="center" vertical="center"/>
    </xf>
    <xf numFmtId="0" fontId="76" fillId="37" borderId="0" xfId="73" applyNumberFormat="1" applyFont="1" applyFill="1" applyAlignment="1"/>
    <xf numFmtId="0" fontId="65" fillId="37" borderId="10" xfId="73" applyNumberFormat="1" applyFont="1" applyFill="1" applyBorder="1" applyAlignment="1">
      <alignment horizontal="center" vertical="center"/>
    </xf>
    <xf numFmtId="0" fontId="76" fillId="36" borderId="0" xfId="73" applyNumberFormat="1" applyFont="1" applyFill="1"/>
    <xf numFmtId="0" fontId="65" fillId="0" borderId="10" xfId="196" applyNumberFormat="1" applyFont="1" applyBorder="1" applyAlignment="1">
      <alignment horizontal="center" vertical="center"/>
    </xf>
    <xf numFmtId="0" fontId="65" fillId="0" borderId="82" xfId="196" applyNumberFormat="1" applyFont="1" applyBorder="1" applyAlignment="1">
      <alignment horizontal="center" vertical="center"/>
    </xf>
    <xf numFmtId="0" fontId="65" fillId="0" borderId="0" xfId="196" applyNumberFormat="1" applyFont="1" applyAlignment="1">
      <alignment vertical="center"/>
    </xf>
    <xf numFmtId="0" fontId="65" fillId="0" borderId="19" xfId="196" applyNumberFormat="1" applyFont="1" applyBorder="1" applyAlignment="1">
      <alignment horizontal="right" vertical="center"/>
    </xf>
    <xf numFmtId="0" fontId="65" fillId="0" borderId="19" xfId="196" applyNumberFormat="1" applyFont="1" applyBorder="1" applyAlignment="1">
      <alignment vertical="center"/>
    </xf>
    <xf numFmtId="0" fontId="65" fillId="0" borderId="0" xfId="196" applyNumberFormat="1" applyFont="1" applyAlignment="1"/>
    <xf numFmtId="0" fontId="65" fillId="0" borderId="10" xfId="196" applyNumberFormat="1" applyFont="1" applyBorder="1" applyAlignment="1">
      <alignment vertical="center" wrapText="1"/>
    </xf>
    <xf numFmtId="0" fontId="64" fillId="0" borderId="0" xfId="196" applyNumberFormat="1" applyFont="1" applyAlignment="1">
      <alignment vertical="center"/>
    </xf>
    <xf numFmtId="2" fontId="65" fillId="0" borderId="82" xfId="196" applyNumberFormat="1" applyFont="1" applyBorder="1" applyAlignment="1">
      <alignment horizontal="center" vertical="center"/>
    </xf>
    <xf numFmtId="190" fontId="65" fillId="0" borderId="10" xfId="196" applyNumberFormat="1" applyFont="1" applyBorder="1" applyAlignment="1">
      <alignment horizontal="center" vertical="center"/>
    </xf>
    <xf numFmtId="2" fontId="65" fillId="0" borderId="10" xfId="196" applyNumberFormat="1" applyFont="1" applyFill="1" applyBorder="1" applyAlignment="1">
      <alignment horizontal="center" vertical="center"/>
    </xf>
    <xf numFmtId="2" fontId="65" fillId="0" borderId="73" xfId="196" applyNumberFormat="1" applyFont="1" applyBorder="1" applyAlignment="1">
      <alignment horizontal="center" vertical="center"/>
    </xf>
    <xf numFmtId="0" fontId="65" fillId="0" borderId="0" xfId="196" applyNumberFormat="1" applyFont="1" applyAlignment="1">
      <alignment horizontal="left" vertical="center"/>
    </xf>
    <xf numFmtId="2" fontId="65" fillId="0" borderId="0" xfId="196" applyNumberFormat="1" applyFont="1" applyAlignment="1">
      <alignment horizontal="left" vertical="center"/>
    </xf>
    <xf numFmtId="0" fontId="65" fillId="0" borderId="73" xfId="196" applyNumberFormat="1" applyFont="1" applyBorder="1" applyAlignment="1">
      <alignment vertical="center"/>
    </xf>
    <xf numFmtId="2" fontId="64" fillId="0" borderId="0" xfId="196" applyNumberFormat="1" applyFont="1" applyAlignment="1">
      <alignment horizontal="left" vertical="center"/>
    </xf>
    <xf numFmtId="2" fontId="64" fillId="0" borderId="73" xfId="196" applyNumberFormat="1" applyFont="1" applyBorder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73" xfId="65" applyFont="1" applyBorder="1" applyAlignment="1">
      <alignment horizontal="right" vertical="center"/>
    </xf>
    <xf numFmtId="2" fontId="41" fillId="0" borderId="0" xfId="65" applyNumberFormat="1" applyFont="1" applyAlignment="1">
      <alignment horizontal="left" vertical="center"/>
    </xf>
    <xf numFmtId="2" fontId="40" fillId="0" borderId="0" xfId="65" applyNumberFormat="1" applyFont="1" applyAlignment="1">
      <alignment horizontal="left" vertical="center"/>
    </xf>
    <xf numFmtId="0" fontId="21" fillId="37" borderId="0" xfId="0" applyNumberFormat="1" applyFont="1" applyFill="1"/>
    <xf numFmtId="0" fontId="67" fillId="0" borderId="0" xfId="0" applyNumberFormat="1" applyFont="1" applyFill="1"/>
    <xf numFmtId="0" fontId="80" fillId="37" borderId="0" xfId="0" applyNumberFormat="1" applyFont="1" applyFill="1" applyAlignment="1">
      <alignment horizontal="left" vertical="center"/>
    </xf>
    <xf numFmtId="0" fontId="21" fillId="37" borderId="0" xfId="0" applyNumberFormat="1" applyFont="1" applyFill="1" applyAlignment="1"/>
    <xf numFmtId="0" fontId="64" fillId="0" borderId="0" xfId="0" applyNumberFormat="1" applyFont="1" applyAlignment="1"/>
    <xf numFmtId="0" fontId="21" fillId="0" borderId="0" xfId="0" applyNumberFormat="1" applyFont="1" applyAlignment="1"/>
    <xf numFmtId="0" fontId="76" fillId="41" borderId="0" xfId="73" applyNumberFormat="1" applyFont="1" applyFill="1"/>
    <xf numFmtId="0" fontId="65" fillId="0" borderId="19" xfId="196" applyNumberFormat="1" applyFont="1" applyBorder="1" applyAlignment="1">
      <alignment horizontal="left" vertical="center"/>
    </xf>
    <xf numFmtId="0" fontId="65" fillId="0" borderId="10" xfId="196" applyNumberFormat="1" applyFont="1" applyFill="1" applyBorder="1" applyAlignment="1">
      <alignment horizontal="center" vertical="center"/>
    </xf>
    <xf numFmtId="0" fontId="40" fillId="0" borderId="0" xfId="65" applyFont="1" applyAlignment="1">
      <alignment horizontal="center" vertical="center" wrapText="1"/>
    </xf>
    <xf numFmtId="0" fontId="41" fillId="41" borderId="0" xfId="65" applyFont="1" applyFill="1" applyAlignment="1">
      <alignment vertical="center"/>
    </xf>
    <xf numFmtId="0" fontId="33" fillId="37" borderId="10" xfId="65" applyFont="1" applyFill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center" vertical="center"/>
    </xf>
    <xf numFmtId="2" fontId="21" fillId="0" borderId="8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0" fontId="21" fillId="0" borderId="90" xfId="0" applyNumberFormat="1" applyFont="1" applyBorder="1" applyAlignment="1">
      <alignment horizontal="center" vertical="center"/>
    </xf>
    <xf numFmtId="0" fontId="65" fillId="37" borderId="10" xfId="73" applyNumberFormat="1" applyFont="1" applyFill="1" applyBorder="1" applyAlignment="1">
      <alignment horizontal="left" vertical="center" wrapText="1"/>
    </xf>
    <xf numFmtId="0" fontId="65" fillId="0" borderId="10" xfId="73" applyNumberFormat="1" applyFont="1" applyFill="1" applyBorder="1" applyAlignment="1">
      <alignment horizontal="left" vertical="center" wrapText="1"/>
    </xf>
    <xf numFmtId="190" fontId="65" fillId="37" borderId="10" xfId="73" applyNumberFormat="1" applyFont="1" applyFill="1" applyBorder="1" applyAlignment="1">
      <alignment horizontal="center" vertical="center"/>
    </xf>
    <xf numFmtId="0" fontId="65" fillId="0" borderId="10" xfId="73" applyNumberFormat="1" applyFont="1" applyFill="1" applyBorder="1" applyAlignment="1">
      <alignment horizontal="center" vertical="center"/>
    </xf>
    <xf numFmtId="0" fontId="65" fillId="37" borderId="82" xfId="73" applyNumberFormat="1" applyFont="1" applyFill="1" applyBorder="1" applyAlignment="1">
      <alignment horizontal="center" vertical="center"/>
    </xf>
    <xf numFmtId="2" fontId="65" fillId="0" borderId="10" xfId="73" applyNumberFormat="1" applyFont="1" applyFill="1" applyBorder="1" applyAlignment="1">
      <alignment horizontal="center" vertical="center"/>
    </xf>
    <xf numFmtId="0" fontId="65" fillId="37" borderId="0" xfId="73" applyNumberFormat="1" applyFont="1" applyFill="1"/>
    <xf numFmtId="2" fontId="21" fillId="0" borderId="10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21" fillId="0" borderId="73" xfId="0" applyNumberFormat="1" applyFont="1" applyBorder="1" applyAlignment="1">
      <alignment horizontal="center" vertical="center"/>
    </xf>
    <xf numFmtId="2" fontId="80" fillId="0" borderId="73" xfId="0" applyNumberFormat="1" applyFont="1" applyBorder="1" applyAlignment="1">
      <alignment horizontal="center" vertical="center"/>
    </xf>
    <xf numFmtId="0" fontId="21" fillId="41" borderId="0" xfId="0" applyNumberFormat="1" applyFont="1" applyFill="1"/>
    <xf numFmtId="0" fontId="64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80" fillId="0" borderId="0" xfId="0" applyNumberFormat="1" applyFont="1" applyAlignment="1">
      <alignment horizontal="center" vertical="center"/>
    </xf>
    <xf numFmtId="0" fontId="21" fillId="0" borderId="19" xfId="0" applyNumberFormat="1" applyFont="1" applyBorder="1" applyAlignment="1">
      <alignment horizontal="right" vertical="center"/>
    </xf>
    <xf numFmtId="0" fontId="65" fillId="0" borderId="0" xfId="0" applyNumberFormat="1" applyFont="1" applyAlignment="1">
      <alignment vertical="center"/>
    </xf>
    <xf numFmtId="2" fontId="65" fillId="0" borderId="82" xfId="194" applyNumberFormat="1" applyFont="1" applyBorder="1" applyAlignment="1">
      <alignment horizontal="center" vertical="center"/>
    </xf>
    <xf numFmtId="2" fontId="65" fillId="0" borderId="10" xfId="194" applyNumberFormat="1" applyFont="1" applyBorder="1" applyAlignment="1">
      <alignment horizontal="center" vertical="center"/>
    </xf>
    <xf numFmtId="0" fontId="65" fillId="0" borderId="19" xfId="194" applyNumberFormat="1" applyFont="1" applyBorder="1" applyAlignment="1">
      <alignment horizontal="right" vertical="center"/>
    </xf>
    <xf numFmtId="2" fontId="64" fillId="0" borderId="82" xfId="194" applyNumberFormat="1" applyFont="1" applyBorder="1" applyAlignment="1">
      <alignment horizontal="center" vertical="center"/>
    </xf>
    <xf numFmtId="0" fontId="65" fillId="0" borderId="0" xfId="194" applyNumberFormat="1" applyFont="1" applyAlignment="1"/>
    <xf numFmtId="0" fontId="65" fillId="36" borderId="0" xfId="194" applyNumberFormat="1" applyFont="1" applyFill="1"/>
    <xf numFmtId="0" fontId="65" fillId="41" borderId="0" xfId="194" applyNumberFormat="1" applyFont="1" applyFill="1"/>
    <xf numFmtId="0" fontId="64" fillId="0" borderId="0" xfId="194" applyNumberFormat="1" applyFont="1" applyAlignment="1">
      <alignment vertical="center"/>
    </xf>
    <xf numFmtId="0" fontId="64" fillId="0" borderId="0" xfId="194" applyNumberFormat="1" applyFont="1" applyAlignment="1">
      <alignment horizontal="center" vertical="center"/>
    </xf>
    <xf numFmtId="0" fontId="80" fillId="0" borderId="0" xfId="0" applyNumberFormat="1" applyFont="1" applyAlignment="1">
      <alignment vertical="center"/>
    </xf>
    <xf numFmtId="0" fontId="76" fillId="37" borderId="0" xfId="73" applyNumberFormat="1" applyFont="1" applyFill="1" applyAlignment="1">
      <alignment vertical="center"/>
    </xf>
    <xf numFmtId="0" fontId="65" fillId="37" borderId="73" xfId="73" applyNumberFormat="1" applyFont="1" applyFill="1" applyBorder="1" applyAlignment="1">
      <alignment vertical="center"/>
    </xf>
    <xf numFmtId="0" fontId="65" fillId="37" borderId="0" xfId="73" applyNumberFormat="1" applyFont="1" applyFill="1" applyAlignment="1">
      <alignment horizontal="left" vertical="center"/>
    </xf>
    <xf numFmtId="0" fontId="76" fillId="37" borderId="73" xfId="73" applyNumberFormat="1" applyFont="1" applyFill="1" applyBorder="1" applyAlignment="1">
      <alignment vertical="center"/>
    </xf>
    <xf numFmtId="0" fontId="65" fillId="0" borderId="19" xfId="73" applyNumberFormat="1" applyFont="1" applyFill="1" applyBorder="1" applyAlignment="1">
      <alignment horizontal="left" vertical="center"/>
    </xf>
    <xf numFmtId="0" fontId="65" fillId="37" borderId="0" xfId="73" applyNumberFormat="1" applyFont="1" applyFill="1" applyAlignment="1"/>
    <xf numFmtId="0" fontId="64" fillId="37" borderId="0" xfId="73" applyNumberFormat="1" applyFont="1" applyFill="1" applyAlignment="1">
      <alignment vertical="center"/>
    </xf>
    <xf numFmtId="2" fontId="65" fillId="37" borderId="82" xfId="73" applyNumberFormat="1" applyFont="1" applyFill="1" applyBorder="1" applyAlignment="1">
      <alignment horizontal="center" vertical="center"/>
    </xf>
    <xf numFmtId="2" fontId="65" fillId="37" borderId="10" xfId="73" applyNumberFormat="1" applyFont="1" applyFill="1" applyBorder="1" applyAlignment="1">
      <alignment horizontal="center" vertical="center"/>
    </xf>
    <xf numFmtId="2" fontId="64" fillId="37" borderId="0" xfId="73" applyNumberFormat="1" applyFont="1" applyFill="1" applyAlignment="1">
      <alignment horizontal="left" vertical="center"/>
    </xf>
    <xf numFmtId="0" fontId="65" fillId="37" borderId="73" xfId="73" applyNumberFormat="1" applyFont="1" applyFill="1" applyBorder="1" applyAlignment="1">
      <alignment horizontal="right" vertical="center"/>
    </xf>
    <xf numFmtId="2" fontId="64" fillId="37" borderId="82" xfId="73" applyNumberFormat="1" applyFont="1" applyFill="1" applyBorder="1" applyAlignment="1">
      <alignment horizontal="center" vertical="center"/>
    </xf>
    <xf numFmtId="185" fontId="21" fillId="0" borderId="90" xfId="0" applyNumberFormat="1" applyFont="1" applyBorder="1" applyAlignment="1">
      <alignment horizontal="center" vertical="center"/>
    </xf>
    <xf numFmtId="185" fontId="21" fillId="0" borderId="82" xfId="0" applyNumberFormat="1" applyFont="1" applyBorder="1" applyAlignment="1">
      <alignment horizontal="center" vertical="center"/>
    </xf>
    <xf numFmtId="0" fontId="21" fillId="0" borderId="68" xfId="0" applyNumberFormat="1" applyFont="1" applyBorder="1" applyAlignment="1">
      <alignment horizontal="right" vertical="center"/>
    </xf>
    <xf numFmtId="185" fontId="80" fillId="0" borderId="82" xfId="0" applyNumberFormat="1" applyFont="1" applyBorder="1" applyAlignment="1">
      <alignment horizontal="center" vertical="center"/>
    </xf>
    <xf numFmtId="0" fontId="21" fillId="0" borderId="0" xfId="0" applyNumberFormat="1" applyFont="1"/>
    <xf numFmtId="0" fontId="64" fillId="0" borderId="0" xfId="0" applyNumberFormat="1" applyFont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65" fillId="0" borderId="10" xfId="194" applyNumberFormat="1" applyFont="1" applyBorder="1" applyAlignment="1">
      <alignment horizontal="center" vertical="center"/>
    </xf>
    <xf numFmtId="185" fontId="65" fillId="0" borderId="82" xfId="194" applyNumberFormat="1" applyFont="1" applyBorder="1" applyAlignment="1">
      <alignment horizontal="center" vertical="center"/>
    </xf>
    <xf numFmtId="0" fontId="80" fillId="0" borderId="0" xfId="0" applyNumberFormat="1" applyFont="1" applyAlignment="1">
      <alignment horizontal="left" vertical="center"/>
    </xf>
    <xf numFmtId="0" fontId="21" fillId="0" borderId="0" xfId="0" applyNumberFormat="1" applyFont="1"/>
    <xf numFmtId="0" fontId="65" fillId="0" borderId="0" xfId="194" applyNumberFormat="1" applyFont="1"/>
    <xf numFmtId="0" fontId="65" fillId="0" borderId="10" xfId="194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65" fillId="0" borderId="82" xfId="194" applyNumberFormat="1" applyFont="1" applyBorder="1" applyAlignment="1">
      <alignment horizontal="center" vertical="center"/>
    </xf>
    <xf numFmtId="0" fontId="64" fillId="0" borderId="82" xfId="194" applyNumberFormat="1" applyFont="1" applyBorder="1" applyAlignment="1">
      <alignment horizontal="center" vertical="center"/>
    </xf>
    <xf numFmtId="0" fontId="65" fillId="0" borderId="73" xfId="196" applyNumberFormat="1" applyFont="1" applyBorder="1" applyAlignment="1">
      <alignment horizontal="left" vertical="center"/>
    </xf>
    <xf numFmtId="0" fontId="21" fillId="0" borderId="82" xfId="0" applyNumberFormat="1" applyFont="1" applyBorder="1" applyAlignment="1">
      <alignment horizontal="center"/>
    </xf>
    <xf numFmtId="0" fontId="21" fillId="0" borderId="82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wrapText="1"/>
    </xf>
    <xf numFmtId="0" fontId="21" fillId="0" borderId="19" xfId="0" applyNumberFormat="1" applyFont="1" applyBorder="1" applyAlignment="1">
      <alignment horizontal="right"/>
    </xf>
    <xf numFmtId="0" fontId="65" fillId="0" borderId="19" xfId="194" applyNumberFormat="1" applyFont="1" applyBorder="1" applyAlignment="1">
      <alignment vertical="center"/>
    </xf>
    <xf numFmtId="0" fontId="21" fillId="0" borderId="19" xfId="0" applyNumberFormat="1" applyFont="1" applyBorder="1" applyAlignment="1">
      <alignment vertical="center"/>
    </xf>
    <xf numFmtId="190" fontId="21" fillId="0" borderId="1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 wrapText="1"/>
    </xf>
    <xf numFmtId="0" fontId="64" fillId="0" borderId="80" xfId="0" applyNumberFormat="1" applyFont="1" applyBorder="1" applyAlignment="1">
      <alignment vertical="center" wrapText="1"/>
    </xf>
    <xf numFmtId="0" fontId="65" fillId="0" borderId="10" xfId="194" applyNumberFormat="1" applyFont="1" applyBorder="1" applyAlignment="1">
      <alignment vertical="center" wrapText="1"/>
    </xf>
    <xf numFmtId="0" fontId="64" fillId="0" borderId="0" xfId="194" applyNumberFormat="1" applyFont="1" applyAlignment="1">
      <alignment vertical="top"/>
    </xf>
    <xf numFmtId="0" fontId="65" fillId="0" borderId="0" xfId="194" applyNumberFormat="1" applyFont="1"/>
    <xf numFmtId="0" fontId="21" fillId="0" borderId="0" xfId="0" applyNumberFormat="1" applyFont="1"/>
    <xf numFmtId="0" fontId="65" fillId="0" borderId="0" xfId="194" applyNumberFormat="1" applyFont="1" applyAlignment="1">
      <alignment wrapText="1"/>
    </xf>
    <xf numFmtId="0" fontId="64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64" fillId="0" borderId="0" xfId="194" applyNumberFormat="1" applyFont="1" applyAlignment="1">
      <alignment vertical="center"/>
    </xf>
    <xf numFmtId="0" fontId="65" fillId="0" borderId="0" xfId="194" applyNumberFormat="1" applyFont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65" fillId="0" borderId="10" xfId="194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65" fillId="43" borderId="0" xfId="194" applyNumberFormat="1" applyFont="1" applyFill="1"/>
    <xf numFmtId="185" fontId="65" fillId="0" borderId="10" xfId="194" applyNumberFormat="1" applyFont="1" applyBorder="1" applyAlignment="1">
      <alignment horizontal="center" vertical="center"/>
    </xf>
    <xf numFmtId="0" fontId="65" fillId="0" borderId="19" xfId="194" applyNumberFormat="1" applyFont="1" applyBorder="1" applyAlignment="1">
      <alignment horizontal="left" vertical="center"/>
    </xf>
    <xf numFmtId="0" fontId="65" fillId="0" borderId="10" xfId="194" applyNumberFormat="1" applyFont="1" applyBorder="1" applyAlignment="1">
      <alignment horizontal="left" vertical="center" wrapText="1"/>
    </xf>
    <xf numFmtId="0" fontId="40" fillId="0" borderId="0" xfId="65" applyFont="1" applyAlignment="1">
      <alignment horizontal="left" vertical="center" wrapText="1"/>
    </xf>
    <xf numFmtId="0" fontId="41" fillId="0" borderId="67" xfId="65" applyFont="1" applyFill="1" applyBorder="1" applyAlignment="1">
      <alignment horizontal="left" vertical="center"/>
    </xf>
    <xf numFmtId="0" fontId="41" fillId="0" borderId="10" xfId="65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67" fillId="0" borderId="0" xfId="194" applyNumberFormat="1" applyFont="1" applyFill="1"/>
    <xf numFmtId="0" fontId="65" fillId="0" borderId="10" xfId="194" applyNumberFormat="1" applyFont="1" applyBorder="1" applyAlignment="1">
      <alignment vertical="center"/>
    </xf>
    <xf numFmtId="0" fontId="41" fillId="0" borderId="73" xfId="65" applyFont="1" applyBorder="1" applyAlignment="1">
      <alignment horizontal="left" vertical="center" wrapText="1"/>
    </xf>
    <xf numFmtId="0" fontId="64" fillId="0" borderId="0" xfId="194" applyNumberFormat="1" applyFont="1" applyAlignment="1">
      <alignment vertical="center" wrapText="1"/>
    </xf>
    <xf numFmtId="185" fontId="41" fillId="0" borderId="0" xfId="65" applyNumberFormat="1" applyFont="1" applyAlignment="1">
      <alignment horizontal="left" vertical="center"/>
    </xf>
    <xf numFmtId="185" fontId="40" fillId="0" borderId="0" xfId="65" applyNumberFormat="1" applyFont="1" applyAlignment="1">
      <alignment horizontal="left" vertical="center"/>
    </xf>
    <xf numFmtId="43" fontId="21" fillId="0" borderId="82" xfId="43" applyFont="1" applyBorder="1" applyAlignment="1">
      <alignment horizontal="center" vertical="center"/>
    </xf>
    <xf numFmtId="0" fontId="41" fillId="36" borderId="34" xfId="65" applyFont="1" applyFill="1" applyBorder="1" applyAlignment="1">
      <alignment vertical="center"/>
    </xf>
    <xf numFmtId="4" fontId="41" fillId="36" borderId="34" xfId="65" applyNumberFormat="1" applyFont="1" applyFill="1" applyBorder="1" applyAlignment="1">
      <alignment horizontal="center" vertical="center"/>
    </xf>
    <xf numFmtId="0" fontId="41" fillId="36" borderId="34" xfId="65" applyFont="1" applyFill="1" applyBorder="1" applyAlignment="1">
      <alignment horizontal="left" vertical="center"/>
    </xf>
    <xf numFmtId="0" fontId="41" fillId="36" borderId="0" xfId="65" applyFont="1" applyFill="1" applyBorder="1" applyAlignment="1">
      <alignment horizontal="left" vertical="center" wrapText="1"/>
    </xf>
    <xf numFmtId="185" fontId="40" fillId="36" borderId="0" xfId="65" applyNumberFormat="1" applyFont="1" applyFill="1" applyAlignment="1">
      <alignment horizontal="left" vertical="center"/>
    </xf>
    <xf numFmtId="0" fontId="65" fillId="0" borderId="0" xfId="194" applyNumberFormat="1" applyFont="1" applyFill="1"/>
    <xf numFmtId="0" fontId="65" fillId="0" borderId="19" xfId="194" applyNumberFormat="1" applyFont="1" applyFill="1" applyBorder="1" applyAlignment="1">
      <alignment horizontal="left" vertical="center"/>
    </xf>
    <xf numFmtId="0" fontId="65" fillId="0" borderId="10" xfId="194" applyNumberFormat="1" applyFont="1" applyFill="1" applyBorder="1" applyAlignment="1">
      <alignment vertical="center" wrapText="1"/>
    </xf>
    <xf numFmtId="0" fontId="65" fillId="0" borderId="10" xfId="194" applyNumberFormat="1" applyFont="1" applyFill="1" applyBorder="1" applyAlignment="1">
      <alignment horizontal="center" vertical="center"/>
    </xf>
    <xf numFmtId="185" fontId="65" fillId="0" borderId="10" xfId="194" applyNumberFormat="1" applyFont="1" applyFill="1" applyBorder="1" applyAlignment="1">
      <alignment horizontal="center" vertical="center"/>
    </xf>
    <xf numFmtId="185" fontId="65" fillId="0" borderId="82" xfId="194" applyNumberFormat="1" applyFont="1" applyFill="1" applyBorder="1" applyAlignment="1">
      <alignment horizontal="center" vertical="center"/>
    </xf>
    <xf numFmtId="0" fontId="64" fillId="0" borderId="0" xfId="194" applyNumberFormat="1" applyFont="1" applyFill="1" applyAlignment="1"/>
    <xf numFmtId="0" fontId="65" fillId="0" borderId="0" xfId="194" applyNumberFormat="1" applyFont="1" applyFill="1" applyAlignment="1"/>
    <xf numFmtId="0" fontId="65" fillId="0" borderId="73" xfId="194" applyNumberFormat="1" applyFont="1" applyFill="1" applyBorder="1" applyAlignment="1">
      <alignment horizontal="right" vertical="center"/>
    </xf>
    <xf numFmtId="0" fontId="65" fillId="0" borderId="0" xfId="194" applyNumberFormat="1" applyFont="1" applyFill="1" applyAlignment="1">
      <alignment horizontal="left"/>
    </xf>
    <xf numFmtId="2" fontId="65" fillId="0" borderId="0" xfId="194" applyNumberFormat="1" applyFont="1" applyFill="1" applyAlignment="1">
      <alignment horizontal="left"/>
    </xf>
    <xf numFmtId="2" fontId="64" fillId="0" borderId="0" xfId="194" applyNumberFormat="1" applyFont="1" applyFill="1" applyAlignment="1">
      <alignment horizontal="left"/>
    </xf>
    <xf numFmtId="190" fontId="65" fillId="0" borderId="10" xfId="194" applyNumberFormat="1" applyFont="1" applyFill="1" applyBorder="1" applyAlignment="1">
      <alignment horizontal="center" vertical="center"/>
    </xf>
    <xf numFmtId="0" fontId="64" fillId="0" borderId="0" xfId="194" applyNumberFormat="1" applyFont="1" applyFill="1" applyAlignment="1">
      <alignment horizontal="left" vertical="center"/>
    </xf>
    <xf numFmtId="0" fontId="65" fillId="0" borderId="73" xfId="194" applyNumberFormat="1" applyFont="1" applyFill="1" applyBorder="1" applyAlignment="1">
      <alignment horizontal="left" vertical="center"/>
    </xf>
    <xf numFmtId="2" fontId="65" fillId="0" borderId="0" xfId="194" applyNumberFormat="1" applyFont="1" applyFill="1" applyAlignment="1">
      <alignment horizontal="left" vertical="center"/>
    </xf>
    <xf numFmtId="2" fontId="64" fillId="0" borderId="0" xfId="194" applyNumberFormat="1" applyFont="1" applyFill="1" applyAlignment="1">
      <alignment horizontal="left" vertical="center"/>
    </xf>
    <xf numFmtId="0" fontId="64" fillId="0" borderId="80" xfId="194" applyNumberFormat="1" applyFont="1" applyFill="1" applyBorder="1" applyAlignment="1">
      <alignment vertical="center" wrapText="1"/>
    </xf>
    <xf numFmtId="0" fontId="65" fillId="0" borderId="0" xfId="194" applyNumberFormat="1" applyFont="1" applyFill="1" applyAlignment="1">
      <alignment horizontal="left" vertical="center"/>
    </xf>
    <xf numFmtId="0" fontId="41" fillId="0" borderId="85" xfId="65" applyFont="1" applyBorder="1" applyAlignment="1">
      <alignment horizontal="left" vertical="center"/>
    </xf>
    <xf numFmtId="0" fontId="65" fillId="0" borderId="85" xfId="194" applyNumberFormat="1" applyFont="1" applyFill="1" applyBorder="1" applyAlignment="1"/>
    <xf numFmtId="0" fontId="65" fillId="0" borderId="0" xfId="194" applyNumberFormat="1" applyFont="1" applyFill="1" applyBorder="1"/>
    <xf numFmtId="0" fontId="41" fillId="0" borderId="12" xfId="65" applyFont="1" applyBorder="1" applyAlignment="1">
      <alignment horizontal="left" vertical="center" wrapText="1"/>
    </xf>
    <xf numFmtId="0" fontId="41" fillId="0" borderId="12" xfId="65" applyFont="1" applyBorder="1" applyAlignment="1">
      <alignment horizontal="center" vertical="center"/>
    </xf>
    <xf numFmtId="0" fontId="41" fillId="0" borderId="67" xfId="65" applyFont="1" applyBorder="1" applyAlignment="1">
      <alignment horizontal="left" vertical="center"/>
    </xf>
    <xf numFmtId="2" fontId="41" fillId="0" borderId="12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/>
    </xf>
    <xf numFmtId="0" fontId="41" fillId="0" borderId="67" xfId="65" applyFont="1" applyFill="1" applyBorder="1" applyAlignment="1">
      <alignment horizontal="left" vertical="center"/>
    </xf>
    <xf numFmtId="0" fontId="41" fillId="0" borderId="68" xfId="65" applyFont="1" applyFill="1" applyBorder="1" applyAlignment="1">
      <alignment horizontal="left" vertical="center"/>
    </xf>
    <xf numFmtId="0" fontId="65" fillId="0" borderId="0" xfId="194" applyNumberFormat="1" applyFont="1"/>
    <xf numFmtId="0" fontId="65" fillId="0" borderId="0" xfId="196" applyNumberFormat="1" applyFont="1"/>
    <xf numFmtId="0" fontId="21" fillId="0" borderId="0" xfId="0" applyNumberFormat="1" applyFont="1"/>
    <xf numFmtId="0" fontId="64" fillId="0" borderId="0" xfId="194" applyNumberFormat="1" applyFont="1" applyAlignment="1">
      <alignment vertical="center"/>
    </xf>
    <xf numFmtId="0" fontId="21" fillId="0" borderId="10" xfId="0" applyNumberFormat="1" applyFont="1" applyBorder="1" applyAlignment="1">
      <alignment horizontal="center" vertical="center"/>
    </xf>
    <xf numFmtId="0" fontId="65" fillId="0" borderId="10" xfId="194" applyNumberFormat="1" applyFont="1" applyBorder="1" applyAlignment="1">
      <alignment horizontal="center" vertical="center"/>
    </xf>
    <xf numFmtId="183" fontId="41" fillId="0" borderId="12" xfId="65" applyNumberFormat="1" applyFont="1" applyFill="1" applyBorder="1" applyAlignment="1">
      <alignment horizontal="center" vertical="center"/>
    </xf>
    <xf numFmtId="4" fontId="41" fillId="0" borderId="12" xfId="65" applyNumberFormat="1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 wrapText="1"/>
    </xf>
    <xf numFmtId="164" fontId="33" fillId="0" borderId="10" xfId="142" applyFont="1" applyFill="1" applyBorder="1" applyAlignment="1">
      <alignment horizontal="right" vertical="center"/>
    </xf>
    <xf numFmtId="4" fontId="71" fillId="0" borderId="13" xfId="43" applyNumberFormat="1" applyFont="1" applyFill="1" applyBorder="1" applyAlignment="1">
      <alignment horizontal="right" vertical="center"/>
    </xf>
    <xf numFmtId="43" fontId="71" fillId="0" borderId="13" xfId="43" applyFont="1" applyFill="1" applyBorder="1" applyAlignment="1">
      <alignment horizontal="right" vertical="center"/>
    </xf>
    <xf numFmtId="0" fontId="64" fillId="0" borderId="0" xfId="194" applyNumberFormat="1" applyFont="1" applyAlignment="1">
      <alignment horizontal="left" vertical="center"/>
    </xf>
    <xf numFmtId="0" fontId="64" fillId="0" borderId="80" xfId="194" applyNumberFormat="1" applyFont="1" applyBorder="1" applyAlignment="1">
      <alignment vertical="center" wrapText="1"/>
    </xf>
    <xf numFmtId="0" fontId="64" fillId="37" borderId="0" xfId="0" applyNumberFormat="1" applyFont="1" applyFill="1" applyAlignment="1"/>
    <xf numFmtId="0" fontId="76" fillId="0" borderId="0" xfId="73" applyNumberFormat="1" applyFont="1" applyAlignment="1"/>
    <xf numFmtId="0" fontId="65" fillId="0" borderId="0" xfId="73" applyNumberFormat="1" applyFont="1" applyAlignment="1"/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183" fontId="41" fillId="0" borderId="10" xfId="65" applyNumberFormat="1" applyFont="1" applyBorder="1" applyAlignment="1">
      <alignment horizontal="center" vertical="center"/>
    </xf>
    <xf numFmtId="0" fontId="40" fillId="0" borderId="0" xfId="65" applyFont="1" applyAlignment="1">
      <alignment vertical="top" wrapText="1"/>
    </xf>
    <xf numFmtId="0" fontId="41" fillId="0" borderId="19" xfId="65" applyFont="1" applyFill="1" applyBorder="1" applyAlignment="1">
      <alignment horizontal="left" vertical="center"/>
    </xf>
    <xf numFmtId="193" fontId="41" fillId="0" borderId="10" xfId="65" applyNumberFormat="1" applyFont="1" applyBorder="1" applyAlignment="1">
      <alignment horizontal="center" vertical="center"/>
    </xf>
    <xf numFmtId="0" fontId="41" fillId="0" borderId="10" xfId="65" applyFont="1" applyFill="1" applyBorder="1" applyAlignment="1">
      <alignment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/>
    <xf numFmtId="0" fontId="21" fillId="0" borderId="19" xfId="0" applyNumberFormat="1" applyFont="1" applyBorder="1" applyAlignment="1">
      <alignment horizontal="left" vertical="center"/>
    </xf>
    <xf numFmtId="0" fontId="41" fillId="0" borderId="10" xfId="65" applyFont="1" applyBorder="1" applyAlignment="1">
      <alignment vertical="center"/>
    </xf>
    <xf numFmtId="0" fontId="40" fillId="0" borderId="0" xfId="65" applyFont="1" applyAlignment="1">
      <alignment horizontal="left" vertical="top" wrapText="1"/>
    </xf>
    <xf numFmtId="4" fontId="40" fillId="0" borderId="0" xfId="65" applyNumberFormat="1" applyFont="1" applyAlignment="1">
      <alignment horizontal="center" vertical="top"/>
    </xf>
    <xf numFmtId="4" fontId="40" fillId="0" borderId="0" xfId="65" applyNumberFormat="1" applyFont="1" applyAlignment="1">
      <alignment horizontal="left" vertical="top"/>
    </xf>
    <xf numFmtId="43" fontId="70" fillId="36" borderId="85" xfId="43" applyFont="1" applyFill="1" applyBorder="1" applyAlignment="1">
      <alignment vertical="center" wrapText="1"/>
    </xf>
    <xf numFmtId="2" fontId="41" fillId="0" borderId="10" xfId="65" applyNumberFormat="1" applyFont="1" applyBorder="1" applyAlignment="1">
      <alignment horizontal="left" vertical="center" wrapText="1"/>
    </xf>
    <xf numFmtId="2" fontId="41" fillId="0" borderId="10" xfId="65" applyNumberFormat="1" applyFont="1" applyBorder="1" applyAlignment="1">
      <alignment horizontal="left" vertical="center"/>
    </xf>
    <xf numFmtId="0" fontId="41" fillId="0" borderId="12" xfId="65" applyFont="1" applyBorder="1" applyAlignment="1">
      <alignment horizontal="left" vertical="center"/>
    </xf>
    <xf numFmtId="2" fontId="41" fillId="0" borderId="10" xfId="65" applyNumberFormat="1" applyFont="1" applyFill="1" applyBorder="1" applyAlignment="1">
      <alignment horizontal="center" vertical="center" wrapText="1"/>
    </xf>
    <xf numFmtId="0" fontId="65" fillId="0" borderId="73" xfId="196" applyNumberFormat="1" applyFont="1" applyBorder="1" applyAlignment="1">
      <alignment horizontal="right" vertical="center"/>
    </xf>
    <xf numFmtId="0" fontId="65" fillId="0" borderId="10" xfId="196" applyNumberFormat="1" applyFont="1" applyBorder="1" applyAlignment="1">
      <alignment horizontal="left" wrapText="1"/>
    </xf>
    <xf numFmtId="185" fontId="65" fillId="0" borderId="10" xfId="196" applyNumberFormat="1" applyFont="1" applyBorder="1" applyAlignment="1">
      <alignment horizontal="center" vertical="center"/>
    </xf>
    <xf numFmtId="185" fontId="65" fillId="0" borderId="82" xfId="196" applyNumberFormat="1" applyFont="1" applyBorder="1" applyAlignment="1">
      <alignment horizontal="center" vertical="center"/>
    </xf>
    <xf numFmtId="0" fontId="64" fillId="0" borderId="82" xfId="196" applyNumberFormat="1" applyFont="1" applyBorder="1" applyAlignment="1">
      <alignment horizontal="center" vertical="center"/>
    </xf>
    <xf numFmtId="0" fontId="64" fillId="0" borderId="0" xfId="196" applyNumberFormat="1" applyFont="1" applyAlignment="1">
      <alignment horizontal="left" vertical="center"/>
    </xf>
    <xf numFmtId="0" fontId="65" fillId="41" borderId="0" xfId="196" applyNumberFormat="1" applyFont="1" applyFill="1"/>
    <xf numFmtId="0" fontId="64" fillId="0" borderId="80" xfId="196" applyNumberFormat="1" applyFont="1" applyBorder="1" applyAlignment="1">
      <alignment vertical="center" wrapText="1"/>
    </xf>
    <xf numFmtId="2" fontId="64" fillId="0" borderId="82" xfId="196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/>
    </xf>
    <xf numFmtId="0" fontId="41" fillId="0" borderId="19" xfId="65" applyFont="1" applyFill="1" applyBorder="1" applyAlignment="1">
      <alignment horizontal="left" vertical="center"/>
    </xf>
    <xf numFmtId="0" fontId="41" fillId="0" borderId="12" xfId="65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0" fontId="21" fillId="0" borderId="67" xfId="0" applyNumberFormat="1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/>
    <xf numFmtId="0" fontId="41" fillId="0" borderId="67" xfId="65" applyFont="1" applyBorder="1" applyAlignment="1">
      <alignment horizontal="left" vertical="center"/>
    </xf>
    <xf numFmtId="0" fontId="41" fillId="0" borderId="12" xfId="65" applyFont="1" applyBorder="1" applyAlignment="1">
      <alignment horizontal="left" vertical="center" wrapText="1"/>
    </xf>
    <xf numFmtId="2" fontId="41" fillId="0" borderId="12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183" fontId="41" fillId="0" borderId="10" xfId="65" applyNumberFormat="1" applyFont="1" applyBorder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4" fontId="41" fillId="0" borderId="12" xfId="65" applyNumberFormat="1" applyFont="1" applyBorder="1" applyAlignment="1">
      <alignment horizontal="center" vertical="center"/>
    </xf>
    <xf numFmtId="188" fontId="41" fillId="0" borderId="12" xfId="65" applyNumberFormat="1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2" fontId="80" fillId="0" borderId="82" xfId="0" applyNumberFormat="1" applyFont="1" applyBorder="1" applyAlignment="1">
      <alignment horizontal="center" vertical="center"/>
    </xf>
    <xf numFmtId="0" fontId="64" fillId="37" borderId="0" xfId="0" applyNumberFormat="1" applyFont="1" applyFill="1" applyBorder="1" applyAlignment="1">
      <alignment vertical="center" wrapText="1"/>
    </xf>
    <xf numFmtId="0" fontId="64" fillId="37" borderId="80" xfId="0" applyNumberFormat="1" applyFont="1" applyFill="1" applyBorder="1" applyAlignment="1">
      <alignment vertical="center" wrapText="1"/>
    </xf>
    <xf numFmtId="0" fontId="81" fillId="0" borderId="0" xfId="73" applyNumberFormat="1" applyFont="1" applyAlignment="1"/>
    <xf numFmtId="0" fontId="64" fillId="37" borderId="80" xfId="73" applyNumberFormat="1" applyFont="1" applyFill="1" applyBorder="1" applyAlignment="1">
      <alignment vertical="center" wrapText="1"/>
    </xf>
    <xf numFmtId="0" fontId="64" fillId="0" borderId="0" xfId="194" applyNumberFormat="1" applyFont="1" applyFill="1" applyAlignment="1">
      <alignment vertical="center" wrapText="1"/>
    </xf>
    <xf numFmtId="0" fontId="21" fillId="40" borderId="10" xfId="0" applyNumberFormat="1" applyFont="1" applyFill="1" applyBorder="1" applyAlignment="1">
      <alignment horizontal="center" vertical="center"/>
    </xf>
    <xf numFmtId="2" fontId="41" fillId="0" borderId="12" xfId="65" applyNumberFormat="1" applyFont="1" applyFill="1" applyBorder="1" applyAlignment="1">
      <alignment horizontal="center" vertical="center"/>
    </xf>
    <xf numFmtId="43" fontId="78" fillId="0" borderId="0" xfId="43" applyFont="1" applyFill="1" applyBorder="1" applyAlignment="1">
      <alignment vertical="center" wrapText="1"/>
    </xf>
    <xf numFmtId="0" fontId="70" fillId="0" borderId="78" xfId="0" applyFont="1" applyFill="1" applyBorder="1" applyAlignment="1">
      <alignment horizontal="right" vertical="center"/>
    </xf>
    <xf numFmtId="4" fontId="71" fillId="0" borderId="39" xfId="43" applyNumberFormat="1" applyFont="1" applyFill="1" applyBorder="1" applyAlignment="1">
      <alignment horizontal="right" vertical="center"/>
    </xf>
    <xf numFmtId="4" fontId="71" fillId="0" borderId="10" xfId="0" applyNumberFormat="1" applyFont="1" applyFill="1" applyBorder="1" applyAlignment="1">
      <alignment horizontal="right" vertical="center"/>
    </xf>
    <xf numFmtId="4" fontId="71" fillId="36" borderId="73" xfId="43" applyNumberFormat="1" applyFont="1" applyFill="1" applyBorder="1" applyAlignment="1">
      <alignment horizontal="right" vertical="center"/>
    </xf>
    <xf numFmtId="4" fontId="71" fillId="0" borderId="73" xfId="0" applyNumberFormat="1" applyFont="1" applyFill="1" applyBorder="1" applyAlignment="1">
      <alignment horizontal="right" vertical="center"/>
    </xf>
    <xf numFmtId="4" fontId="71" fillId="0" borderId="85" xfId="0" applyNumberFormat="1" applyFont="1" applyFill="1" applyBorder="1" applyAlignment="1">
      <alignment horizontal="right" vertical="center"/>
    </xf>
    <xf numFmtId="4" fontId="71" fillId="0" borderId="12" xfId="43" applyNumberFormat="1" applyFont="1" applyFill="1" applyBorder="1" applyAlignment="1">
      <alignment horizontal="right" vertical="center"/>
    </xf>
    <xf numFmtId="172" fontId="41" fillId="0" borderId="11" xfId="151" applyNumberFormat="1" applyFont="1" applyFill="1" applyBorder="1" applyAlignment="1">
      <alignment horizontal="center" vertical="center"/>
    </xf>
    <xf numFmtId="172" fontId="41" fillId="0" borderId="16" xfId="151" applyNumberFormat="1" applyFont="1" applyFill="1" applyBorder="1" applyAlignment="1">
      <alignment horizontal="center" vertical="center"/>
    </xf>
    <xf numFmtId="172" fontId="41" fillId="0" borderId="46" xfId="151" applyNumberFormat="1" applyFont="1" applyFill="1" applyBorder="1" applyAlignment="1">
      <alignment horizontal="center" vertical="center"/>
    </xf>
    <xf numFmtId="172" fontId="57" fillId="0" borderId="16" xfId="151" applyNumberFormat="1" applyFont="1" applyFill="1" applyBorder="1" applyAlignment="1">
      <alignment horizontal="centerContinuous" vertical="center"/>
    </xf>
    <xf numFmtId="172" fontId="57" fillId="0" borderId="17" xfId="151" applyNumberFormat="1" applyFont="1" applyFill="1" applyBorder="1" applyAlignment="1">
      <alignment horizontal="centerContinuous" vertical="center"/>
    </xf>
    <xf numFmtId="172" fontId="57" fillId="0" borderId="55" xfId="151" applyNumberFormat="1" applyFont="1" applyFill="1" applyBorder="1" applyAlignment="1">
      <alignment horizontal="centerContinuous" vertical="center"/>
    </xf>
    <xf numFmtId="0" fontId="57" fillId="0" borderId="41" xfId="151" applyFont="1" applyFill="1" applyBorder="1" applyAlignment="1">
      <alignment horizontal="centerContinuous" vertical="center"/>
    </xf>
    <xf numFmtId="0" fontId="57" fillId="0" borderId="42" xfId="151" applyFont="1" applyFill="1" applyBorder="1" applyAlignment="1">
      <alignment horizontal="centerContinuous" vertical="center"/>
    </xf>
    <xf numFmtId="172" fontId="57" fillId="0" borderId="41" xfId="151" applyNumberFormat="1" applyFont="1" applyFill="1" applyBorder="1" applyAlignment="1">
      <alignment horizontal="centerContinuous" vertical="center"/>
    </xf>
    <xf numFmtId="172" fontId="57" fillId="0" borderId="42" xfId="151" applyNumberFormat="1" applyFont="1" applyFill="1" applyBorder="1" applyAlignment="1">
      <alignment horizontal="centerContinuous" vertical="center"/>
    </xf>
    <xf numFmtId="0" fontId="21" fillId="0" borderId="12" xfId="0" applyNumberFormat="1" applyFont="1" applyBorder="1" applyAlignment="1">
      <alignment vertical="center" wrapText="1"/>
    </xf>
    <xf numFmtId="4" fontId="71" fillId="0" borderId="10" xfId="43" applyNumberFormat="1" applyFont="1" applyFill="1" applyBorder="1" applyAlignment="1">
      <alignment horizontal="center" vertical="center"/>
    </xf>
    <xf numFmtId="4" fontId="71" fillId="0" borderId="12" xfId="4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/>
    <xf numFmtId="2" fontId="18" fillId="0" borderId="15" xfId="0" applyNumberFormat="1" applyFont="1" applyBorder="1" applyAlignment="1">
      <alignment horizontal="center"/>
    </xf>
    <xf numFmtId="0" fontId="70" fillId="0" borderId="13" xfId="0" applyFont="1" applyFill="1" applyBorder="1" applyAlignment="1">
      <alignment vertical="center"/>
    </xf>
    <xf numFmtId="0" fontId="21" fillId="0" borderId="0" xfId="0" applyFont="1"/>
    <xf numFmtId="0" fontId="18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18" fillId="0" borderId="15" xfId="0" applyFont="1" applyBorder="1" applyAlignment="1">
      <alignment horizontal="center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68" xfId="65" applyFont="1" applyBorder="1" applyAlignment="1">
      <alignment horizontal="left" vertical="center" wrapText="1"/>
    </xf>
    <xf numFmtId="0" fontId="41" fillId="0" borderId="19" xfId="65" applyFont="1" applyFill="1" applyBorder="1" applyAlignment="1">
      <alignment horizontal="left" vertical="center"/>
    </xf>
    <xf numFmtId="183" fontId="41" fillId="0" borderId="13" xfId="65" applyNumberFormat="1" applyFont="1" applyBorder="1" applyAlignment="1">
      <alignment horizontal="center" vertical="center" wrapText="1"/>
    </xf>
    <xf numFmtId="4" fontId="41" fillId="0" borderId="13" xfId="65" applyNumberFormat="1" applyFont="1" applyBorder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190" fontId="41" fillId="0" borderId="13" xfId="65" applyNumberFormat="1" applyFont="1" applyBorder="1" applyAlignment="1">
      <alignment horizontal="center" vertical="center" wrapText="1"/>
    </xf>
    <xf numFmtId="4" fontId="70" fillId="0" borderId="13" xfId="0" applyNumberFormat="1" applyFont="1" applyFill="1" applyBorder="1" applyAlignment="1">
      <alignment horizontal="right" vertical="center"/>
    </xf>
    <xf numFmtId="4" fontId="70" fillId="0" borderId="17" xfId="0" applyNumberFormat="1" applyFont="1" applyFill="1" applyBorder="1" applyAlignment="1">
      <alignment horizontal="center" vertical="center"/>
    </xf>
    <xf numFmtId="4" fontId="70" fillId="0" borderId="0" xfId="0" applyNumberFormat="1" applyFont="1" applyFill="1" applyBorder="1" applyAlignment="1">
      <alignment horizontal="center" vertical="center"/>
    </xf>
    <xf numFmtId="4" fontId="70" fillId="36" borderId="73" xfId="43" applyNumberFormat="1" applyFont="1" applyFill="1" applyBorder="1" applyAlignment="1">
      <alignment horizontal="center" vertical="top"/>
    </xf>
    <xf numFmtId="4" fontId="70" fillId="0" borderId="73" xfId="43" applyNumberFormat="1" applyFont="1" applyFill="1" applyBorder="1" applyAlignment="1">
      <alignment horizontal="center" vertical="top"/>
    </xf>
    <xf numFmtId="4" fontId="71" fillId="0" borderId="73" xfId="43" applyNumberFormat="1" applyFont="1" applyBorder="1" applyAlignment="1">
      <alignment horizontal="center" vertical="center"/>
    </xf>
    <xf numFmtId="4" fontId="71" fillId="0" borderId="10" xfId="43" applyNumberFormat="1" applyFont="1" applyBorder="1" applyAlignment="1">
      <alignment horizontal="center" vertical="center"/>
    </xf>
    <xf numFmtId="4" fontId="70" fillId="36" borderId="73" xfId="43" applyNumberFormat="1" applyFont="1" applyFill="1" applyBorder="1" applyAlignment="1">
      <alignment horizontal="center" vertical="center"/>
    </xf>
    <xf numFmtId="4" fontId="70" fillId="0" borderId="80" xfId="43" applyNumberFormat="1" applyFont="1" applyFill="1" applyBorder="1" applyAlignment="1">
      <alignment horizontal="center" vertical="center"/>
    </xf>
    <xf numFmtId="4" fontId="71" fillId="0" borderId="73" xfId="43" applyNumberFormat="1" applyFont="1" applyFill="1" applyBorder="1" applyAlignment="1">
      <alignment horizontal="center" vertical="center"/>
    </xf>
    <xf numFmtId="4" fontId="71" fillId="0" borderId="13" xfId="43" applyNumberFormat="1" applyFont="1" applyFill="1" applyBorder="1" applyAlignment="1">
      <alignment horizontal="center" vertical="center"/>
    </xf>
    <xf numFmtId="4" fontId="70" fillId="0" borderId="0" xfId="43" applyNumberFormat="1" applyFont="1" applyFill="1" applyBorder="1" applyAlignment="1">
      <alignment horizontal="center" vertical="center"/>
    </xf>
    <xf numFmtId="4" fontId="70" fillId="0" borderId="10" xfId="43" applyNumberFormat="1" applyFont="1" applyFill="1" applyBorder="1" applyAlignment="1">
      <alignment horizontal="center" vertical="center"/>
    </xf>
    <xf numFmtId="4" fontId="70" fillId="0" borderId="73" xfId="43" applyNumberFormat="1" applyFont="1" applyFill="1" applyBorder="1" applyAlignment="1">
      <alignment horizontal="center" vertical="center"/>
    </xf>
    <xf numFmtId="4" fontId="70" fillId="0" borderId="73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85" xfId="0" applyNumberFormat="1" applyFont="1" applyFill="1" applyBorder="1" applyAlignment="1">
      <alignment horizontal="center" vertical="center"/>
    </xf>
    <xf numFmtId="4" fontId="71" fillId="37" borderId="10" xfId="43" applyNumberFormat="1" applyFont="1" applyFill="1" applyBorder="1" applyAlignment="1">
      <alignment horizontal="center" vertical="center"/>
    </xf>
    <xf numFmtId="4" fontId="71" fillId="37" borderId="13" xfId="43" applyNumberFormat="1" applyFont="1" applyFill="1" applyBorder="1" applyAlignment="1">
      <alignment horizontal="center" vertical="center"/>
    </xf>
    <xf numFmtId="4" fontId="71" fillId="0" borderId="12" xfId="43" applyNumberFormat="1" applyFont="1" applyBorder="1" applyAlignment="1">
      <alignment horizontal="center" vertical="center"/>
    </xf>
    <xf numFmtId="4" fontId="71" fillId="0" borderId="13" xfId="43" applyNumberFormat="1" applyFont="1" applyBorder="1" applyAlignment="1">
      <alignment horizontal="center" vertical="center"/>
    </xf>
    <xf numFmtId="4" fontId="71" fillId="0" borderId="80" xfId="43" applyNumberFormat="1" applyFont="1" applyBorder="1" applyAlignment="1">
      <alignment horizontal="center" vertical="center"/>
    </xf>
    <xf numFmtId="4" fontId="70" fillId="37" borderId="80" xfId="43" applyNumberFormat="1" applyFont="1" applyFill="1" applyBorder="1" applyAlignment="1">
      <alignment horizontal="center" vertical="center"/>
    </xf>
    <xf numFmtId="4" fontId="70" fillId="0" borderId="39" xfId="43" applyNumberFormat="1" applyFont="1" applyFill="1" applyBorder="1" applyAlignment="1">
      <alignment horizontal="center" vertical="center"/>
    </xf>
    <xf numFmtId="4" fontId="70" fillId="0" borderId="88" xfId="0" applyNumberFormat="1" applyFont="1" applyFill="1" applyBorder="1" applyAlignment="1">
      <alignment horizontal="center" vertical="center"/>
    </xf>
    <xf numFmtId="4" fontId="71" fillId="0" borderId="34" xfId="0" applyNumberFormat="1" applyFont="1" applyBorder="1" applyAlignment="1">
      <alignment horizontal="center" vertical="top"/>
    </xf>
    <xf numFmtId="4" fontId="71" fillId="0" borderId="23" xfId="0" applyNumberFormat="1" applyFont="1" applyBorder="1" applyAlignment="1">
      <alignment horizontal="center" vertical="top"/>
    </xf>
    <xf numFmtId="4" fontId="71" fillId="0" borderId="0" xfId="0" applyNumberFormat="1" applyFont="1" applyBorder="1" applyAlignment="1">
      <alignment horizontal="center" vertical="top"/>
    </xf>
    <xf numFmtId="4" fontId="71" fillId="0" borderId="0" xfId="0" applyNumberFormat="1" applyFont="1" applyAlignment="1">
      <alignment horizontal="center" vertical="top"/>
    </xf>
    <xf numFmtId="0" fontId="41" fillId="0" borderId="19" xfId="65" applyFont="1" applyFill="1" applyBorder="1" applyAlignment="1">
      <alignment horizontal="left" vertical="center"/>
    </xf>
    <xf numFmtId="0" fontId="41" fillId="0" borderId="10" xfId="65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2" fontId="41" fillId="0" borderId="12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67" xfId="65" applyFont="1" applyBorder="1" applyAlignment="1">
      <alignment horizontal="left" vertical="center"/>
    </xf>
    <xf numFmtId="0" fontId="41" fillId="0" borderId="19" xfId="65" applyFont="1" applyBorder="1" applyAlignment="1">
      <alignment horizontal="left" vertical="center"/>
    </xf>
    <xf numFmtId="0" fontId="65" fillId="0" borderId="0" xfId="194" applyNumberFormat="1" applyFont="1"/>
    <xf numFmtId="0" fontId="21" fillId="0" borderId="0" xfId="0" applyNumberFormat="1" applyFont="1"/>
    <xf numFmtId="0" fontId="21" fillId="0" borderId="19" xfId="0" applyNumberFormat="1" applyFont="1" applyBorder="1" applyAlignment="1">
      <alignment horizontal="left" vertical="center"/>
    </xf>
    <xf numFmtId="0" fontId="21" fillId="0" borderId="10" xfId="0" applyNumberFormat="1" applyFont="1" applyBorder="1" applyAlignment="1">
      <alignment horizontal="center" vertical="center"/>
    </xf>
    <xf numFmtId="0" fontId="65" fillId="0" borderId="10" xfId="194" applyNumberFormat="1" applyFont="1" applyBorder="1" applyAlignment="1">
      <alignment horizontal="center" vertical="center"/>
    </xf>
    <xf numFmtId="4" fontId="41" fillId="0" borderId="12" xfId="65" applyNumberFormat="1" applyFont="1" applyBorder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0" fontId="71" fillId="0" borderId="10" xfId="0" applyFont="1" applyFill="1" applyBorder="1" applyAlignment="1">
      <alignment vertical="center"/>
    </xf>
    <xf numFmtId="0" fontId="21" fillId="0" borderId="68" xfId="0" applyFont="1" applyBorder="1" applyAlignment="1">
      <alignment horizontal="left" vertical="center" wrapText="1"/>
    </xf>
    <xf numFmtId="0" fontId="71" fillId="0" borderId="0" xfId="0" applyFont="1" applyFill="1" applyBorder="1" applyAlignment="1">
      <alignment vertical="center"/>
    </xf>
    <xf numFmtId="4" fontId="71" fillId="0" borderId="39" xfId="43" applyNumberFormat="1" applyFont="1" applyFill="1" applyBorder="1" applyAlignment="1">
      <alignment horizontal="center" vertical="center"/>
    </xf>
    <xf numFmtId="2" fontId="71" fillId="0" borderId="10" xfId="0" applyNumberFormat="1" applyFont="1" applyBorder="1" applyAlignment="1">
      <alignment horizontal="center" vertical="center"/>
    </xf>
    <xf numFmtId="2" fontId="73" fillId="0" borderId="10" xfId="0" applyNumberFormat="1" applyFont="1" applyBorder="1" applyAlignment="1">
      <alignment horizontal="right" vertical="center"/>
    </xf>
    <xf numFmtId="0" fontId="41" fillId="0" borderId="0" xfId="65" applyFont="1" applyFill="1" applyBorder="1" applyAlignment="1">
      <alignment vertical="center"/>
    </xf>
    <xf numFmtId="2" fontId="41" fillId="0" borderId="0" xfId="65" applyNumberFormat="1" applyFont="1" applyFill="1" applyBorder="1" applyAlignment="1">
      <alignment horizontal="left" vertical="center"/>
    </xf>
    <xf numFmtId="183" fontId="41" fillId="0" borderId="0" xfId="65" applyNumberFormat="1" applyFont="1" applyAlignment="1">
      <alignment vertical="center"/>
    </xf>
    <xf numFmtId="0" fontId="21" fillId="0" borderId="0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 vertical="center"/>
    </xf>
    <xf numFmtId="0" fontId="41" fillId="0" borderId="0" xfId="65" applyFont="1" applyAlignment="1">
      <alignment horizontal="right" vertical="center"/>
    </xf>
    <xf numFmtId="183" fontId="41" fillId="0" borderId="0" xfId="65" applyNumberFormat="1" applyFont="1" applyAlignment="1">
      <alignment horizontal="right" vertical="center"/>
    </xf>
    <xf numFmtId="183" fontId="65" fillId="0" borderId="10" xfId="194" applyNumberFormat="1" applyFont="1" applyBorder="1" applyAlignment="1">
      <alignment horizontal="center" vertical="center"/>
    </xf>
    <xf numFmtId="0" fontId="65" fillId="0" borderId="68" xfId="194" applyNumberFormat="1" applyFont="1" applyBorder="1" applyAlignment="1">
      <alignment horizontal="right" vertical="center"/>
    </xf>
    <xf numFmtId="2" fontId="65" fillId="0" borderId="90" xfId="194" applyNumberFormat="1" applyFont="1" applyBorder="1" applyAlignment="1">
      <alignment horizontal="center" vertical="center"/>
    </xf>
    <xf numFmtId="49" fontId="71" fillId="0" borderId="10" xfId="43" applyNumberFormat="1" applyFont="1" applyBorder="1" applyAlignment="1">
      <alignment vertical="center" wrapText="1"/>
    </xf>
    <xf numFmtId="2" fontId="71" fillId="0" borderId="30" xfId="0" applyNumberFormat="1" applyFont="1" applyBorder="1" applyAlignment="1">
      <alignment vertical="center"/>
    </xf>
    <xf numFmtId="0" fontId="21" fillId="0" borderId="0" xfId="0" applyFont="1" applyAlignment="1">
      <alignment horizontal="center"/>
    </xf>
    <xf numFmtId="185" fontId="18" fillId="0" borderId="0" xfId="0" applyNumberFormat="1" applyFont="1" applyAlignment="1">
      <alignment horizontal="center"/>
    </xf>
    <xf numFmtId="4" fontId="71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43" fontId="71" fillId="0" borderId="80" xfId="43" applyFont="1" applyFill="1" applyBorder="1" applyAlignment="1">
      <alignment vertical="center" wrapText="1"/>
    </xf>
    <xf numFmtId="4" fontId="71" fillId="0" borderId="80" xfId="43" applyNumberFormat="1" applyFont="1" applyFill="1" applyBorder="1" applyAlignment="1">
      <alignment horizontal="center" vertical="center"/>
    </xf>
    <xf numFmtId="4" fontId="71" fillId="0" borderId="80" xfId="43" applyNumberFormat="1" applyFont="1" applyFill="1" applyBorder="1" applyAlignment="1">
      <alignment horizontal="right" vertical="center"/>
    </xf>
    <xf numFmtId="43" fontId="71" fillId="0" borderId="80" xfId="43" applyFont="1" applyFill="1" applyBorder="1" applyAlignment="1">
      <alignment horizontal="right" vertical="center"/>
    </xf>
    <xf numFmtId="43" fontId="71" fillId="0" borderId="81" xfId="43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43" fontId="71" fillId="0" borderId="73" xfId="43" applyFont="1" applyFill="1" applyBorder="1" applyAlignment="1">
      <alignment vertical="center" wrapText="1"/>
    </xf>
    <xf numFmtId="188" fontId="18" fillId="0" borderId="0" xfId="0" applyNumberFormat="1" applyFont="1"/>
    <xf numFmtId="1" fontId="0" fillId="0" borderId="0" xfId="0" applyNumberFormat="1" applyAlignment="1">
      <alignment horizontal="center"/>
    </xf>
    <xf numFmtId="183" fontId="18" fillId="0" borderId="0" xfId="0" applyNumberFormat="1" applyFont="1" applyAlignment="1">
      <alignment horizontal="center"/>
    </xf>
    <xf numFmtId="43" fontId="71" fillId="0" borderId="82" xfId="43" applyFont="1" applyFill="1" applyBorder="1" applyAlignment="1">
      <alignment vertical="center" wrapText="1"/>
    </xf>
    <xf numFmtId="0" fontId="70" fillId="0" borderId="82" xfId="0" applyFont="1" applyFill="1" applyBorder="1" applyAlignment="1">
      <alignment horizontal="center" vertical="center"/>
    </xf>
    <xf numFmtId="2" fontId="21" fillId="0" borderId="0" xfId="0" applyNumberFormat="1" applyFont="1" applyAlignment="1">
      <alignment horizontal="left" vertical="center"/>
    </xf>
    <xf numFmtId="0" fontId="71" fillId="0" borderId="82" xfId="0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0" fontId="41" fillId="0" borderId="12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41" fillId="0" borderId="67" xfId="65" applyFont="1" applyBorder="1" applyAlignment="1">
      <alignment horizontal="left" vertical="center"/>
    </xf>
    <xf numFmtId="0" fontId="41" fillId="0" borderId="12" xfId="65" applyFont="1" applyBorder="1" applyAlignment="1">
      <alignment horizontal="center" vertical="center"/>
    </xf>
    <xf numFmtId="183" fontId="41" fillId="0" borderId="13" xfId="65" applyNumberFormat="1" applyFont="1" applyFill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0" fillId="0" borderId="0" xfId="65" applyFont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86" fillId="0" borderId="0" xfId="0" applyFont="1" applyAlignment="1">
      <alignment horizontal="right"/>
    </xf>
    <xf numFmtId="2" fontId="18" fillId="0" borderId="0" xfId="0" applyNumberFormat="1" applyFont="1"/>
    <xf numFmtId="2" fontId="18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4" borderId="0" xfId="0" applyFill="1"/>
    <xf numFmtId="2" fontId="18" fillId="0" borderId="0" xfId="0" applyNumberFormat="1" applyFont="1" applyAlignment="1">
      <alignment horizontal="right"/>
    </xf>
    <xf numFmtId="0" fontId="83" fillId="0" borderId="0" xfId="0" applyFont="1" applyAlignment="1">
      <alignment horizontal="right"/>
    </xf>
    <xf numFmtId="0" fontId="0" fillId="39" borderId="0" xfId="0" applyFill="1"/>
    <xf numFmtId="0" fontId="0" fillId="45" borderId="98" xfId="0" applyFill="1" applyBorder="1"/>
    <xf numFmtId="0" fontId="0" fillId="45" borderId="0" xfId="0" applyFill="1"/>
    <xf numFmtId="0" fontId="0" fillId="45" borderId="0" xfId="0" applyFill="1" applyAlignment="1">
      <alignment horizontal="right"/>
    </xf>
    <xf numFmtId="2" fontId="0" fillId="39" borderId="0" xfId="0" applyNumberFormat="1" applyFill="1" applyAlignment="1">
      <alignment vertical="center"/>
    </xf>
    <xf numFmtId="183" fontId="0" fillId="0" borderId="0" xfId="0" applyNumberFormat="1"/>
    <xf numFmtId="183" fontId="18" fillId="0" borderId="0" xfId="0" applyNumberFormat="1" applyFont="1"/>
    <xf numFmtId="183" fontId="0" fillId="0" borderId="0" xfId="0" applyNumberFormat="1" applyAlignment="1">
      <alignment horizontal="right"/>
    </xf>
    <xf numFmtId="0" fontId="18" fillId="0" borderId="0" xfId="0" applyFont="1" applyAlignment="1">
      <alignment horizontal="right"/>
    </xf>
    <xf numFmtId="194" fontId="0" fillId="0" borderId="0" xfId="0" applyNumberFormat="1" applyAlignment="1">
      <alignment horizontal="center"/>
    </xf>
    <xf numFmtId="185" fontId="18" fillId="0" borderId="0" xfId="0" applyNumberFormat="1" applyFont="1"/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65" fillId="0" borderId="10" xfId="194" applyNumberFormat="1" applyFont="1" applyBorder="1" applyAlignment="1">
      <alignment horizontal="center" vertical="center"/>
    </xf>
    <xf numFmtId="0" fontId="21" fillId="0" borderId="67" xfId="0" applyNumberFormat="1" applyFont="1" applyBorder="1" applyAlignment="1">
      <alignment horizontal="left" vertical="center"/>
    </xf>
    <xf numFmtId="0" fontId="21" fillId="0" borderId="12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0" fontId="41" fillId="0" borderId="67" xfId="65" applyFont="1" applyBorder="1" applyAlignment="1">
      <alignment horizontal="left" vertical="center"/>
    </xf>
    <xf numFmtId="0" fontId="41" fillId="0" borderId="12" xfId="65" applyFont="1" applyBorder="1" applyAlignment="1">
      <alignment horizontal="left" vertical="center" wrapText="1"/>
    </xf>
    <xf numFmtId="183" fontId="41" fillId="0" borderId="12" xfId="65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65" fillId="0" borderId="0" xfId="194" applyNumberFormat="1" applyFont="1"/>
    <xf numFmtId="0" fontId="64" fillId="0" borderId="0" xfId="0" applyNumberFormat="1" applyFont="1" applyAlignment="1">
      <alignment vertical="center"/>
    </xf>
    <xf numFmtId="0" fontId="21" fillId="0" borderId="0" xfId="0" applyNumberFormat="1" applyFont="1"/>
    <xf numFmtId="0" fontId="21" fillId="0" borderId="10" xfId="0" applyNumberFormat="1" applyFont="1" applyBorder="1" applyAlignment="1">
      <alignment horizontal="center" vertical="center"/>
    </xf>
    <xf numFmtId="188" fontId="41" fillId="0" borderId="12" xfId="65" applyNumberFormat="1" applyFont="1" applyBorder="1" applyAlignment="1">
      <alignment horizontal="center" vertical="center"/>
    </xf>
    <xf numFmtId="4" fontId="41" fillId="0" borderId="12" xfId="65" applyNumberFormat="1" applyFont="1" applyBorder="1" applyAlignment="1">
      <alignment horizontal="center" vertical="center"/>
    </xf>
    <xf numFmtId="0" fontId="40" fillId="0" borderId="0" xfId="65" applyFont="1" applyAlignment="1">
      <alignment horizontal="left" vertical="center" wrapText="1"/>
    </xf>
    <xf numFmtId="185" fontId="0" fillId="0" borderId="0" xfId="0" applyNumberFormat="1" applyFont="1"/>
    <xf numFmtId="185" fontId="18" fillId="0" borderId="15" xfId="0" applyNumberFormat="1" applyFont="1" applyBorder="1"/>
    <xf numFmtId="185" fontId="71" fillId="0" borderId="10" xfId="0" applyNumberFormat="1" applyFont="1" applyFill="1" applyBorder="1" applyAlignment="1">
      <alignment horizontal="center" vertical="center"/>
    </xf>
    <xf numFmtId="185" fontId="71" fillId="0" borderId="10" xfId="0" applyNumberFormat="1" applyFont="1" applyFill="1" applyBorder="1" applyAlignment="1">
      <alignment vertical="center"/>
    </xf>
    <xf numFmtId="0" fontId="18" fillId="0" borderId="15" xfId="0" applyFont="1" applyBorder="1"/>
    <xf numFmtId="0" fontId="0" fillId="0" borderId="0" xfId="0" applyFont="1"/>
    <xf numFmtId="2" fontId="71" fillId="0" borderId="10" xfId="0" applyNumberFormat="1" applyFont="1" applyFill="1" applyBorder="1" applyAlignment="1">
      <alignment horizontal="right" vertical="center"/>
    </xf>
    <xf numFmtId="0" fontId="21" fillId="0" borderId="68" xfId="0" applyFont="1" applyFill="1" applyBorder="1" applyAlignment="1">
      <alignment horizontal="left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/>
    </xf>
    <xf numFmtId="183" fontId="0" fillId="0" borderId="0" xfId="0" applyNumberFormat="1" applyFont="1" applyAlignment="1">
      <alignment horizontal="center"/>
    </xf>
    <xf numFmtId="0" fontId="21" fillId="0" borderId="13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/>
    </xf>
    <xf numFmtId="0" fontId="41" fillId="0" borderId="19" xfId="65" applyFont="1" applyFill="1" applyBorder="1" applyAlignment="1">
      <alignment horizontal="left" vertical="center"/>
    </xf>
    <xf numFmtId="0" fontId="41" fillId="0" borderId="10" xfId="65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183" fontId="41" fillId="0" borderId="10" xfId="65" applyNumberFormat="1" applyFont="1" applyBorder="1" applyAlignment="1">
      <alignment horizontal="center" vertical="center"/>
    </xf>
    <xf numFmtId="0" fontId="64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/>
    <xf numFmtId="0" fontId="21" fillId="0" borderId="10" xfId="0" applyNumberFormat="1" applyFont="1" applyBorder="1" applyAlignment="1">
      <alignment horizontal="center" vertical="center"/>
    </xf>
    <xf numFmtId="164" fontId="33" fillId="40" borderId="10" xfId="142" applyFont="1" applyFill="1" applyBorder="1" applyAlignment="1">
      <alignment horizontal="right" vertical="center"/>
    </xf>
    <xf numFmtId="164" fontId="33" fillId="0" borderId="10" xfId="142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 wrapText="1"/>
    </xf>
    <xf numFmtId="0" fontId="41" fillId="0" borderId="13" xfId="65" applyFont="1" applyBorder="1" applyAlignment="1">
      <alignment vertical="center" wrapText="1"/>
    </xf>
    <xf numFmtId="0" fontId="21" fillId="0" borderId="68" xfId="0" applyFont="1" applyBorder="1" applyAlignment="1">
      <alignment vertical="center" wrapText="1"/>
    </xf>
    <xf numFmtId="2" fontId="64" fillId="0" borderId="82" xfId="194" applyNumberFormat="1" applyFont="1" applyFill="1" applyBorder="1" applyAlignment="1">
      <alignment horizontal="center" vertical="center"/>
    </xf>
    <xf numFmtId="0" fontId="64" fillId="0" borderId="82" xfId="194" applyNumberFormat="1" applyFont="1" applyFill="1" applyBorder="1" applyAlignment="1">
      <alignment horizontal="center" vertical="center"/>
    </xf>
    <xf numFmtId="2" fontId="70" fillId="0" borderId="0" xfId="0" applyNumberFormat="1" applyFont="1" applyAlignment="1">
      <alignment vertical="center"/>
    </xf>
    <xf numFmtId="0" fontId="80" fillId="0" borderId="80" xfId="0" applyNumberFormat="1" applyFont="1" applyBorder="1" applyAlignment="1">
      <alignment vertical="center" wrapText="1"/>
    </xf>
    <xf numFmtId="0" fontId="21" fillId="0" borderId="0" xfId="0" applyFont="1" applyAlignment="1">
      <alignment horizontal="center" vertical="top" wrapText="1"/>
    </xf>
    <xf numFmtId="0" fontId="71" fillId="0" borderId="80" xfId="0" applyFont="1" applyFill="1" applyBorder="1" applyAlignment="1">
      <alignment horizontal="center" vertical="center"/>
    </xf>
    <xf numFmtId="193" fontId="0" fillId="0" borderId="0" xfId="0" applyNumberFormat="1" applyAlignment="1">
      <alignment horizontal="center"/>
    </xf>
    <xf numFmtId="188" fontId="18" fillId="0" borderId="0" xfId="0" applyNumberFormat="1" applyFont="1" applyAlignment="1">
      <alignment horizont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0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12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67" xfId="65" applyFont="1" applyBorder="1" applyAlignment="1">
      <alignment horizontal="left" vertical="center"/>
    </xf>
    <xf numFmtId="0" fontId="41" fillId="0" borderId="12" xfId="65" applyFont="1" applyBorder="1" applyAlignment="1">
      <alignment horizontal="center" vertical="center"/>
    </xf>
    <xf numFmtId="0" fontId="41" fillId="0" borderId="19" xfId="65" applyFont="1" applyFill="1" applyBorder="1" applyAlignment="1">
      <alignment horizontal="left" vertical="center"/>
    </xf>
    <xf numFmtId="0" fontId="40" fillId="0" borderId="0" xfId="65" applyFont="1" applyAlignment="1">
      <alignment horizontal="left" vertical="center" wrapText="1"/>
    </xf>
    <xf numFmtId="4" fontId="70" fillId="0" borderId="10" xfId="43" applyNumberFormat="1" applyFont="1" applyFill="1" applyBorder="1" applyAlignment="1">
      <alignment horizontal="center" vertical="top"/>
    </xf>
    <xf numFmtId="4" fontId="70" fillId="0" borderId="10" xfId="43" applyNumberFormat="1" applyFont="1" applyFill="1" applyBorder="1" applyAlignment="1">
      <alignment horizontal="right" vertical="top"/>
    </xf>
    <xf numFmtId="0" fontId="79" fillId="0" borderId="10" xfId="0" applyFont="1" applyBorder="1" applyAlignment="1">
      <alignment horizontal="center" vertical="center" wrapText="1"/>
    </xf>
    <xf numFmtId="4" fontId="71" fillId="0" borderId="10" xfId="43" applyNumberFormat="1" applyFont="1" applyFill="1" applyBorder="1" applyAlignment="1">
      <alignment horizontal="right" vertical="top"/>
    </xf>
    <xf numFmtId="4" fontId="41" fillId="0" borderId="10" xfId="6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3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left" vertical="center" wrapText="1"/>
    </xf>
    <xf numFmtId="188" fontId="41" fillId="0" borderId="13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0" xfId="65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0" fontId="65" fillId="0" borderId="0" xfId="194" applyNumberFormat="1" applyFont="1" applyAlignment="1">
      <alignment vertical="center"/>
    </xf>
    <xf numFmtId="0" fontId="65" fillId="0" borderId="19" xfId="194" applyNumberFormat="1" applyFont="1" applyBorder="1" applyAlignment="1">
      <alignment horizontal="left" vertical="center"/>
    </xf>
    <xf numFmtId="0" fontId="65" fillId="0" borderId="10" xfId="194" applyNumberFormat="1" applyFont="1" applyBorder="1" applyAlignment="1">
      <alignment horizontal="center" vertical="center"/>
    </xf>
    <xf numFmtId="0" fontId="41" fillId="0" borderId="19" xfId="65" applyFont="1" applyFill="1" applyBorder="1" applyAlignment="1">
      <alignment horizontal="left" vertical="center"/>
    </xf>
    <xf numFmtId="0" fontId="65" fillId="0" borderId="0" xfId="194" applyNumberFormat="1" applyFont="1"/>
    <xf numFmtId="0" fontId="64" fillId="0" borderId="0" xfId="0" applyNumberFormat="1" applyFont="1" applyAlignment="1">
      <alignment vertical="center"/>
    </xf>
    <xf numFmtId="0" fontId="21" fillId="0" borderId="0" xfId="0" applyNumberFormat="1" applyFont="1"/>
    <xf numFmtId="0" fontId="37" fillId="0" borderId="51" xfId="151" applyFont="1" applyFill="1" applyBorder="1" applyAlignment="1">
      <alignment horizontal="left" vertical="center"/>
    </xf>
    <xf numFmtId="2" fontId="37" fillId="0" borderId="51" xfId="151" applyNumberFormat="1" applyFont="1" applyFill="1" applyBorder="1" applyAlignment="1">
      <alignment horizontal="center" vertical="center"/>
    </xf>
    <xf numFmtId="2" fontId="37" fillId="0" borderId="50" xfId="151" applyNumberFormat="1" applyFont="1" applyFill="1" applyBorder="1" applyAlignment="1">
      <alignment horizontal="center" vertical="center"/>
    </xf>
    <xf numFmtId="4" fontId="37" fillId="0" borderId="18" xfId="151" applyNumberFormat="1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/>
    </xf>
    <xf numFmtId="190" fontId="41" fillId="0" borderId="10" xfId="65" applyNumberFormat="1" applyFont="1" applyFill="1" applyBorder="1" applyAlignment="1">
      <alignment horizontal="center" vertical="center"/>
    </xf>
    <xf numFmtId="185" fontId="41" fillId="0" borderId="90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0" fontId="65" fillId="0" borderId="10" xfId="194" applyNumberFormat="1" applyFont="1" applyBorder="1" applyAlignment="1">
      <alignment horizontal="center" vertical="center"/>
    </xf>
    <xf numFmtId="0" fontId="65" fillId="0" borderId="13" xfId="194" applyNumberFormat="1" applyFont="1" applyBorder="1" applyAlignment="1">
      <alignment horizontal="center" vertical="center"/>
    </xf>
    <xf numFmtId="0" fontId="21" fillId="0" borderId="0" xfId="0" applyNumberFormat="1" applyFont="1"/>
    <xf numFmtId="0" fontId="65" fillId="0" borderId="0" xfId="194" applyNumberFormat="1" applyFont="1"/>
    <xf numFmtId="0" fontId="21" fillId="0" borderId="10" xfId="0" applyNumberFormat="1" applyFont="1" applyBorder="1" applyAlignment="1">
      <alignment horizontal="left" vertical="center" wrapText="1"/>
    </xf>
    <xf numFmtId="0" fontId="64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41" fillId="0" borderId="19" xfId="65" applyFont="1" applyFill="1" applyBorder="1" applyAlignment="1">
      <alignment horizontal="left" vertical="center"/>
    </xf>
    <xf numFmtId="0" fontId="65" fillId="0" borderId="68" xfId="194" applyNumberFormat="1" applyFont="1" applyBorder="1" applyAlignment="1">
      <alignment horizontal="left" vertical="center"/>
    </xf>
    <xf numFmtId="0" fontId="65" fillId="0" borderId="13" xfId="194" applyNumberFormat="1" applyFont="1" applyBorder="1" applyAlignment="1">
      <alignment horizontal="left" vertical="center" wrapText="1"/>
    </xf>
    <xf numFmtId="183" fontId="65" fillId="0" borderId="13" xfId="194" applyNumberFormat="1" applyFont="1" applyBorder="1" applyAlignment="1">
      <alignment horizontal="center" vertical="center"/>
    </xf>
    <xf numFmtId="0" fontId="65" fillId="0" borderId="19" xfId="194" applyNumberFormat="1" applyFont="1" applyBorder="1" applyAlignment="1">
      <alignment horizontal="left" vertical="center"/>
    </xf>
    <xf numFmtId="0" fontId="64" fillId="0" borderId="80" xfId="194" applyNumberFormat="1" applyFont="1" applyFill="1" applyBorder="1" applyAlignment="1">
      <alignment vertical="top" wrapText="1"/>
    </xf>
    <xf numFmtId="0" fontId="40" fillId="0" borderId="0" xfId="65" applyFont="1" applyAlignment="1">
      <alignment horizontal="center" vertical="top" wrapText="1"/>
    </xf>
    <xf numFmtId="0" fontId="64" fillId="0" borderId="0" xfId="194" applyNumberFormat="1" applyFont="1" applyAlignment="1">
      <alignment horizontal="center" vertical="top"/>
    </xf>
    <xf numFmtId="0" fontId="64" fillId="0" borderId="0" xfId="194" applyNumberFormat="1" applyFont="1" applyAlignment="1">
      <alignment horizontal="center" vertical="top" wrapText="1"/>
    </xf>
    <xf numFmtId="190" fontId="65" fillId="0" borderId="10" xfId="194" applyNumberFormat="1" applyFont="1" applyBorder="1" applyAlignment="1">
      <alignment horizontal="center" vertical="center"/>
    </xf>
    <xf numFmtId="0" fontId="64" fillId="0" borderId="0" xfId="194" applyNumberFormat="1" applyFont="1" applyAlignment="1"/>
    <xf numFmtId="43" fontId="71" fillId="0" borderId="39" xfId="43" applyFont="1" applyFill="1" applyBorder="1" applyAlignment="1">
      <alignment horizontal="right" vertical="center"/>
    </xf>
    <xf numFmtId="0" fontId="71" fillId="0" borderId="66" xfId="0" applyFont="1" applyFill="1" applyBorder="1" applyAlignment="1">
      <alignment horizontal="center" vertical="center"/>
    </xf>
    <xf numFmtId="0" fontId="80" fillId="0" borderId="0" xfId="0" applyNumberFormat="1" applyFont="1" applyAlignment="1">
      <alignment vertical="top"/>
    </xf>
    <xf numFmtId="0" fontId="21" fillId="0" borderId="19" xfId="0" applyNumberFormat="1" applyFont="1" applyBorder="1"/>
    <xf numFmtId="0" fontId="21" fillId="0" borderId="10" xfId="0" applyNumberFormat="1" applyFont="1" applyBorder="1"/>
    <xf numFmtId="0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80" fillId="0" borderId="82" xfId="0" applyNumberFormat="1" applyFont="1" applyBorder="1" applyAlignment="1">
      <alignment horizontal="center"/>
    </xf>
    <xf numFmtId="0" fontId="21" fillId="0" borderId="85" xfId="0" applyNumberFormat="1" applyFont="1" applyBorder="1"/>
    <xf numFmtId="0" fontId="21" fillId="0" borderId="0" xfId="0" applyNumberFormat="1" applyFont="1" applyBorder="1"/>
    <xf numFmtId="185" fontId="80" fillId="0" borderId="0" xfId="0" applyNumberFormat="1" applyFont="1" applyAlignment="1">
      <alignment horizontal="left"/>
    </xf>
    <xf numFmtId="43" fontId="71" fillId="0" borderId="77" xfId="43" applyFont="1" applyBorder="1" applyAlignment="1">
      <alignment horizontal="left" vertical="center"/>
    </xf>
    <xf numFmtId="2" fontId="21" fillId="0" borderId="90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185" fontId="21" fillId="0" borderId="10" xfId="0" applyNumberFormat="1" applyFont="1" applyBorder="1" applyAlignment="1">
      <alignment horizontal="center" vertical="center"/>
    </xf>
    <xf numFmtId="0" fontId="71" fillId="40" borderId="0" xfId="0" applyFont="1" applyFill="1" applyAlignment="1">
      <alignment horizontal="left" vertical="center"/>
    </xf>
    <xf numFmtId="0" fontId="71" fillId="0" borderId="0" xfId="0" applyFont="1" applyFill="1" applyAlignment="1">
      <alignment vertical="center"/>
    </xf>
    <xf numFmtId="185" fontId="71" fillId="0" borderId="10" xfId="0" applyNumberFormat="1" applyFont="1" applyFill="1" applyBorder="1" applyAlignment="1">
      <alignment horizontal="right" vertical="center"/>
    </xf>
    <xf numFmtId="0" fontId="64" fillId="0" borderId="80" xfId="0" applyNumberFormat="1" applyFont="1" applyFill="1" applyBorder="1" applyAlignment="1">
      <alignment vertical="center" wrapText="1"/>
    </xf>
    <xf numFmtId="2" fontId="21" fillId="0" borderId="82" xfId="0" applyNumberFormat="1" applyFont="1" applyBorder="1" applyAlignment="1">
      <alignment horizontal="center"/>
    </xf>
    <xf numFmtId="2" fontId="80" fillId="0" borderId="82" xfId="0" applyNumberFormat="1" applyFont="1" applyBorder="1" applyAlignment="1">
      <alignment horizontal="center"/>
    </xf>
    <xf numFmtId="0" fontId="65" fillId="0" borderId="0" xfId="194" applyNumberFormat="1" applyFont="1" applyBorder="1" applyAlignment="1">
      <alignment horizontal="left" vertical="center"/>
    </xf>
    <xf numFmtId="0" fontId="65" fillId="0" borderId="0" xfId="194" applyNumberFormat="1" applyFont="1" applyBorder="1" applyAlignment="1">
      <alignment vertical="center"/>
    </xf>
    <xf numFmtId="0" fontId="65" fillId="0" borderId="0" xfId="194" applyNumberFormat="1" applyFont="1" applyBorder="1" applyAlignment="1">
      <alignment horizontal="center" vertical="center"/>
    </xf>
    <xf numFmtId="43" fontId="33" fillId="0" borderId="10" xfId="43" applyFont="1" applyBorder="1" applyAlignment="1">
      <alignment vertical="center" wrapText="1"/>
    </xf>
    <xf numFmtId="43" fontId="71" fillId="0" borderId="30" xfId="43" applyNumberFormat="1" applyFont="1" applyBorder="1" applyAlignment="1">
      <alignment horizontal="right" vertical="center"/>
    </xf>
    <xf numFmtId="43" fontId="71" fillId="0" borderId="30" xfId="0" applyNumberFormat="1" applyFont="1" applyBorder="1" applyAlignment="1">
      <alignment vertical="center"/>
    </xf>
    <xf numFmtId="2" fontId="71" fillId="0" borderId="10" xfId="0" applyNumberFormat="1" applyFont="1" applyBorder="1" applyAlignment="1">
      <alignment horizontal="right" vertical="center"/>
    </xf>
    <xf numFmtId="2" fontId="71" fillId="0" borderId="10" xfId="0" applyNumberFormat="1" applyFont="1" applyBorder="1" applyAlignment="1">
      <alignment vertical="center"/>
    </xf>
    <xf numFmtId="43" fontId="71" fillId="0" borderId="40" xfId="43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center" vertical="top" wrapText="1"/>
    </xf>
    <xf numFmtId="0" fontId="41" fillId="0" borderId="10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65" fillId="0" borderId="0" xfId="196" applyNumberFormat="1" applyFont="1"/>
    <xf numFmtId="0" fontId="0" fillId="40" borderId="0" xfId="0" applyFill="1" applyAlignment="1">
      <alignment horizontal="right"/>
    </xf>
    <xf numFmtId="0" fontId="18" fillId="40" borderId="0" xfId="0" applyFont="1" applyFill="1" applyAlignment="1">
      <alignment horizontal="center"/>
    </xf>
    <xf numFmtId="0" fontId="18" fillId="40" borderId="0" xfId="0" applyFont="1" applyFill="1"/>
    <xf numFmtId="0" fontId="21" fillId="40" borderId="0" xfId="0" applyFont="1" applyFill="1"/>
    <xf numFmtId="0" fontId="0" fillId="40" borderId="0" xfId="0" applyFill="1"/>
    <xf numFmtId="0" fontId="0" fillId="40" borderId="0" xfId="0" applyFill="1" applyAlignment="1">
      <alignment horizontal="center"/>
    </xf>
    <xf numFmtId="2" fontId="18" fillId="40" borderId="0" xfId="0" applyNumberFormat="1" applyFont="1" applyFill="1" applyAlignment="1">
      <alignment horizontal="center"/>
    </xf>
    <xf numFmtId="2" fontId="0" fillId="40" borderId="0" xfId="0" applyNumberFormat="1" applyFill="1" applyAlignment="1">
      <alignment horizontal="center"/>
    </xf>
    <xf numFmtId="2" fontId="18" fillId="40" borderId="15" xfId="0" applyNumberFormat="1" applyFont="1" applyFill="1" applyBorder="1" applyAlignment="1">
      <alignment horizontal="center"/>
    </xf>
    <xf numFmtId="183" fontId="0" fillId="40" borderId="0" xfId="0" applyNumberFormat="1" applyFill="1" applyAlignment="1">
      <alignment horizontal="center"/>
    </xf>
    <xf numFmtId="0" fontId="0" fillId="40" borderId="0" xfId="0" applyFont="1" applyFill="1" applyAlignment="1">
      <alignment horizontal="center"/>
    </xf>
    <xf numFmtId="43" fontId="20" fillId="36" borderId="11" xfId="43" applyFont="1" applyFill="1" applyBorder="1" applyAlignment="1">
      <alignment vertical="center"/>
    </xf>
    <xf numFmtId="4" fontId="20" fillId="36" borderId="11" xfId="0" applyNumberFormat="1" applyFont="1" applyFill="1" applyBorder="1" applyAlignment="1">
      <alignment horizontal="center" vertical="center"/>
    </xf>
    <xf numFmtId="10" fontId="2" fillId="36" borderId="11" xfId="147" applyNumberFormat="1" applyFont="1" applyFill="1" applyBorder="1" applyAlignment="1">
      <alignment horizontal="center" vertical="center"/>
    </xf>
    <xf numFmtId="0" fontId="41" fillId="0" borderId="12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64" fillId="0" borderId="0" xfId="194" applyNumberFormat="1" applyFont="1" applyAlignment="1">
      <alignment vertical="center"/>
    </xf>
    <xf numFmtId="188" fontId="41" fillId="0" borderId="12" xfId="65" applyNumberFormat="1" applyFont="1" applyBorder="1" applyAlignment="1">
      <alignment horizontal="center" vertical="center"/>
    </xf>
    <xf numFmtId="2" fontId="41" fillId="0" borderId="12" xfId="65" applyNumberFormat="1" applyFont="1" applyBorder="1" applyAlignment="1">
      <alignment horizontal="center" vertical="center"/>
    </xf>
    <xf numFmtId="0" fontId="41" fillId="0" borderId="19" xfId="65" applyFont="1" applyFill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41" fillId="0" borderId="67" xfId="65" applyFont="1" applyBorder="1" applyAlignment="1">
      <alignment horizontal="left" vertical="center"/>
    </xf>
    <xf numFmtId="0" fontId="41" fillId="0" borderId="19" xfId="65" applyFont="1" applyBorder="1" applyAlignment="1">
      <alignment horizontal="left" vertical="center"/>
    </xf>
    <xf numFmtId="0" fontId="64" fillId="0" borderId="80" xfId="0" applyNumberFormat="1" applyFont="1" applyBorder="1" applyAlignment="1">
      <alignment horizontal="left" vertical="center" wrapText="1"/>
    </xf>
    <xf numFmtId="0" fontId="21" fillId="0" borderId="0" xfId="0" applyNumberFormat="1" applyFont="1"/>
    <xf numFmtId="0" fontId="21" fillId="0" borderId="10" xfId="0" applyNumberFormat="1" applyFont="1" applyBorder="1" applyAlignment="1">
      <alignment horizontal="center" vertical="center"/>
    </xf>
    <xf numFmtId="4" fontId="41" fillId="0" borderId="12" xfId="65" applyNumberFormat="1" applyFont="1" applyBorder="1" applyAlignment="1">
      <alignment horizontal="center" vertical="center"/>
    </xf>
    <xf numFmtId="185" fontId="65" fillId="0" borderId="10" xfId="196" applyNumberFormat="1" applyFont="1" applyFill="1" applyBorder="1" applyAlignment="1">
      <alignment horizontal="center" vertical="center"/>
    </xf>
    <xf numFmtId="185" fontId="65" fillId="0" borderId="73" xfId="196" applyNumberFormat="1" applyFont="1" applyBorder="1" applyAlignment="1">
      <alignment horizontal="center" vertical="center"/>
    </xf>
    <xf numFmtId="185" fontId="64" fillId="0" borderId="73" xfId="196" applyNumberFormat="1" applyFont="1" applyBorder="1" applyAlignment="1">
      <alignment horizontal="center" vertical="center"/>
    </xf>
    <xf numFmtId="185" fontId="65" fillId="0" borderId="0" xfId="196" applyNumberFormat="1" applyFont="1" applyAlignment="1">
      <alignment horizontal="left" vertical="center"/>
    </xf>
    <xf numFmtId="185" fontId="64" fillId="0" borderId="0" xfId="196" applyNumberFormat="1" applyFont="1" applyAlignment="1">
      <alignment horizontal="left" vertical="center"/>
    </xf>
    <xf numFmtId="0" fontId="41" fillId="0" borderId="12" xfId="65" applyFont="1" applyBorder="1" applyAlignment="1">
      <alignment horizontal="left" vertical="center" wrapText="1"/>
    </xf>
    <xf numFmtId="0" fontId="41" fillId="0" borderId="67" xfId="65" applyFont="1" applyBorder="1" applyAlignment="1">
      <alignment horizontal="left" vertical="center"/>
    </xf>
    <xf numFmtId="2" fontId="41" fillId="0" borderId="12" xfId="65" applyNumberFormat="1" applyFont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NumberFormat="1" applyFont="1"/>
    <xf numFmtId="4" fontId="41" fillId="0" borderId="12" xfId="65" applyNumberFormat="1" applyFont="1" applyBorder="1" applyAlignment="1">
      <alignment horizontal="center" vertical="center"/>
    </xf>
    <xf numFmtId="0" fontId="64" fillId="0" borderId="80" xfId="0" applyNumberFormat="1" applyFont="1" applyBorder="1" applyAlignment="1">
      <alignment vertical="top" wrapText="1"/>
    </xf>
    <xf numFmtId="0" fontId="64" fillId="0" borderId="80" xfId="0" applyNumberFormat="1" applyFont="1" applyBorder="1" applyAlignment="1">
      <alignment horizontal="center" vertical="top" wrapText="1"/>
    </xf>
    <xf numFmtId="188" fontId="21" fillId="0" borderId="10" xfId="0" applyNumberFormat="1" applyFont="1" applyBorder="1" applyAlignment="1">
      <alignment horizontal="center" vertical="center"/>
    </xf>
    <xf numFmtId="0" fontId="64" fillId="0" borderId="80" xfId="194" applyNumberFormat="1" applyFont="1" applyBorder="1" applyAlignment="1">
      <alignment horizontal="center" vertical="top" wrapText="1"/>
    </xf>
    <xf numFmtId="0" fontId="64" fillId="0" borderId="0" xfId="194" applyNumberFormat="1" applyFont="1" applyAlignment="1">
      <alignment horizontal="left" vertical="top"/>
    </xf>
    <xf numFmtId="2" fontId="41" fillId="0" borderId="0" xfId="65" applyNumberFormat="1" applyFont="1" applyAlignment="1">
      <alignment vertical="center"/>
    </xf>
    <xf numFmtId="49" fontId="33" fillId="0" borderId="10" xfId="43" applyNumberFormat="1" applyFont="1" applyBorder="1" applyAlignment="1">
      <alignment vertical="center" wrapText="1"/>
    </xf>
    <xf numFmtId="0" fontId="64" fillId="0" borderId="0" xfId="0" applyNumberFormat="1" applyFont="1" applyFill="1" applyAlignment="1"/>
    <xf numFmtId="185" fontId="41" fillId="0" borderId="10" xfId="65" applyNumberFormat="1" applyFont="1" applyBorder="1" applyAlignment="1">
      <alignment horizontal="center" vertical="center" wrapText="1"/>
    </xf>
    <xf numFmtId="185" fontId="41" fillId="0" borderId="82" xfId="65" applyNumberFormat="1" applyFont="1" applyBorder="1" applyAlignment="1">
      <alignment horizontal="center" vertical="center" wrapText="1"/>
    </xf>
    <xf numFmtId="0" fontId="41" fillId="0" borderId="0" xfId="65" applyFont="1" applyBorder="1" applyAlignment="1">
      <alignment horizontal="center" vertical="center"/>
    </xf>
    <xf numFmtId="0" fontId="65" fillId="0" borderId="0" xfId="194" applyNumberFormat="1" applyFont="1" applyBorder="1"/>
    <xf numFmtId="0" fontId="64" fillId="0" borderId="0" xfId="194" applyNumberFormat="1" applyFont="1" applyAlignment="1">
      <alignment vertical="top" wrapText="1"/>
    </xf>
    <xf numFmtId="185" fontId="0" fillId="0" borderId="0" xfId="0" applyNumberFormat="1"/>
    <xf numFmtId="0" fontId="41" fillId="0" borderId="13" xfId="65" applyFont="1" applyFill="1" applyBorder="1" applyAlignment="1">
      <alignment horizontal="left" vertical="center" wrapText="1"/>
    </xf>
    <xf numFmtId="0" fontId="40" fillId="0" borderId="0" xfId="65" applyFont="1" applyAlignment="1">
      <alignment horizontal="left" vertical="center" wrapText="1"/>
    </xf>
    <xf numFmtId="2" fontId="71" fillId="0" borderId="10" xfId="0" applyNumberFormat="1" applyFont="1" applyFill="1" applyBorder="1" applyAlignment="1">
      <alignment vertical="center"/>
    </xf>
    <xf numFmtId="0" fontId="64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9" fontId="41" fillId="0" borderId="0" xfId="65" applyNumberFormat="1" applyFont="1" applyAlignment="1">
      <alignment vertical="center"/>
    </xf>
    <xf numFmtId="2" fontId="41" fillId="0" borderId="0" xfId="65" applyNumberFormat="1" applyFont="1" applyAlignment="1">
      <alignment horizontal="center" vertical="center"/>
    </xf>
    <xf numFmtId="185" fontId="37" fillId="0" borderId="50" xfId="151" applyNumberFormat="1" applyFont="1" applyFill="1" applyBorder="1" applyAlignment="1">
      <alignment horizontal="center" vertical="center"/>
    </xf>
    <xf numFmtId="1" fontId="61" fillId="0" borderId="11" xfId="151" applyNumberFormat="1" applyFont="1" applyFill="1" applyBorder="1" applyAlignment="1">
      <alignment horizontal="center" vertical="center"/>
    </xf>
    <xf numFmtId="10" fontId="61" fillId="0" borderId="11" xfId="151" applyNumberFormat="1" applyFont="1" applyFill="1" applyBorder="1" applyAlignment="1">
      <alignment horizontal="right" vertical="center"/>
    </xf>
    <xf numFmtId="0" fontId="37" fillId="0" borderId="57" xfId="151" applyFont="1" applyFill="1" applyBorder="1" applyAlignment="1">
      <alignment horizontal="center" vertical="center"/>
    </xf>
    <xf numFmtId="164" fontId="37" fillId="0" borderId="57" xfId="152" applyFont="1" applyFill="1" applyBorder="1" applyAlignment="1">
      <alignment vertical="center"/>
    </xf>
    <xf numFmtId="1" fontId="37" fillId="0" borderId="57" xfId="151" applyNumberFormat="1" applyFont="1" applyFill="1" applyBorder="1" applyAlignment="1">
      <alignment horizontal="center" vertical="center"/>
    </xf>
    <xf numFmtId="37" fontId="37" fillId="0" borderId="57" xfId="151" applyNumberFormat="1" applyFont="1" applyFill="1" applyBorder="1" applyAlignment="1">
      <alignment horizontal="center" vertical="center"/>
    </xf>
    <xf numFmtId="39" fontId="37" fillId="0" borderId="57" xfId="151" applyNumberFormat="1" applyFont="1" applyFill="1" applyBorder="1" applyAlignment="1">
      <alignment horizontal="center" vertical="center"/>
    </xf>
    <xf numFmtId="1" fontId="70" fillId="0" borderId="0" xfId="0" applyNumberFormat="1" applyFont="1" applyFill="1" applyBorder="1" applyAlignment="1">
      <alignment vertical="center"/>
    </xf>
    <xf numFmtId="0" fontId="70" fillId="36" borderId="25" xfId="0" applyFont="1" applyFill="1" applyBorder="1" applyAlignment="1">
      <alignment horizontal="center" vertical="center"/>
    </xf>
    <xf numFmtId="0" fontId="70" fillId="36" borderId="18" xfId="0" applyFont="1" applyFill="1" applyBorder="1" applyAlignment="1">
      <alignment horizontal="center" vertical="center"/>
    </xf>
    <xf numFmtId="49" fontId="70" fillId="36" borderId="17" xfId="43" applyNumberFormat="1" applyFont="1" applyFill="1" applyBorder="1" applyAlignment="1">
      <alignment vertical="center" wrapText="1"/>
    </xf>
    <xf numFmtId="43" fontId="70" fillId="36" borderId="26" xfId="43" applyFont="1" applyFill="1" applyBorder="1" applyAlignment="1">
      <alignment horizontal="right" vertical="center"/>
    </xf>
    <xf numFmtId="4" fontId="70" fillId="36" borderId="18" xfId="43" applyNumberFormat="1" applyFont="1" applyFill="1" applyBorder="1" applyAlignment="1">
      <alignment horizontal="center" vertical="center"/>
    </xf>
    <xf numFmtId="4" fontId="70" fillId="36" borderId="18" xfId="43" applyNumberFormat="1" applyFont="1" applyFill="1" applyBorder="1" applyAlignment="1">
      <alignment horizontal="right" vertical="center"/>
    </xf>
    <xf numFmtId="43" fontId="70" fillId="36" borderId="18" xfId="43" applyFont="1" applyFill="1" applyBorder="1" applyAlignment="1">
      <alignment horizontal="right" vertical="center"/>
    </xf>
    <xf numFmtId="43" fontId="71" fillId="0" borderId="12" xfId="43" applyFont="1" applyFill="1" applyBorder="1" applyAlignment="1">
      <alignment horizontal="right" vertical="center"/>
    </xf>
    <xf numFmtId="0" fontId="71" fillId="0" borderId="68" xfId="0" applyFont="1" applyFill="1" applyBorder="1" applyAlignment="1">
      <alignment horizontal="center" vertical="center"/>
    </xf>
    <xf numFmtId="0" fontId="89" fillId="0" borderId="0" xfId="197"/>
    <xf numFmtId="195" fontId="0" fillId="0" borderId="0" xfId="0" applyNumberFormat="1"/>
    <xf numFmtId="6" fontId="0" fillId="0" borderId="0" xfId="0" applyNumberFormat="1"/>
    <xf numFmtId="8" fontId="0" fillId="0" borderId="0" xfId="0" applyNumberFormat="1"/>
    <xf numFmtId="195" fontId="0" fillId="0" borderId="15" xfId="0" applyNumberFormat="1" applyBorder="1"/>
    <xf numFmtId="49" fontId="42" fillId="0" borderId="47" xfId="151" applyNumberFormat="1" applyFont="1" applyFill="1" applyBorder="1" applyAlignment="1">
      <alignment horizontal="center" vertical="center"/>
    </xf>
    <xf numFmtId="49" fontId="62" fillId="0" borderId="15" xfId="151" applyNumberFormat="1" applyFont="1" applyFill="1" applyBorder="1" applyAlignment="1">
      <alignment horizontal="center" vertical="center"/>
    </xf>
    <xf numFmtId="164" fontId="42" fillId="0" borderId="15" xfId="152" applyFont="1" applyFill="1" applyBorder="1" applyAlignment="1">
      <alignment horizontal="left" vertical="center"/>
    </xf>
    <xf numFmtId="172" fontId="57" fillId="0" borderId="15" xfId="151" applyNumberFormat="1" applyFont="1" applyFill="1" applyBorder="1" applyAlignment="1">
      <alignment horizontal="right" vertical="center"/>
    </xf>
    <xf numFmtId="4" fontId="57" fillId="0" borderId="15" xfId="151" applyNumberFormat="1" applyFont="1" applyFill="1" applyBorder="1" applyAlignment="1">
      <alignment vertical="center"/>
    </xf>
    <xf numFmtId="4" fontId="57" fillId="0" borderId="53" xfId="151" applyNumberFormat="1" applyFont="1" applyFill="1" applyBorder="1" applyAlignment="1">
      <alignment vertical="center"/>
    </xf>
    <xf numFmtId="49" fontId="37" fillId="0" borderId="58" xfId="151" applyNumberFormat="1" applyFont="1" applyFill="1" applyBorder="1" applyAlignment="1">
      <alignment horizontal="center" vertical="center"/>
    </xf>
    <xf numFmtId="164" fontId="38" fillId="0" borderId="58" xfId="152" applyFont="1" applyFill="1" applyBorder="1" applyAlignment="1">
      <alignment horizontal="left" vertical="center"/>
    </xf>
    <xf numFmtId="172" fontId="37" fillId="0" borderId="58" xfId="151" applyNumberFormat="1" applyFont="1" applyFill="1" applyBorder="1" applyAlignment="1">
      <alignment horizontal="right" vertical="center"/>
    </xf>
    <xf numFmtId="172" fontId="37" fillId="0" borderId="58" xfId="151" applyNumberFormat="1" applyFont="1" applyFill="1" applyBorder="1" applyAlignment="1">
      <alignment horizontal="center" vertical="center"/>
    </xf>
    <xf numFmtId="4" fontId="37" fillId="0" borderId="58" xfId="151" applyNumberFormat="1" applyFont="1" applyFill="1" applyBorder="1" applyAlignment="1">
      <alignment vertical="center"/>
    </xf>
    <xf numFmtId="164" fontId="37" fillId="0" borderId="101" xfId="152" applyFont="1" applyFill="1" applyBorder="1" applyAlignment="1">
      <alignment vertical="center"/>
    </xf>
    <xf numFmtId="1" fontId="37" fillId="0" borderId="102" xfId="151" applyNumberFormat="1" applyFont="1" applyFill="1" applyBorder="1" applyAlignment="1">
      <alignment horizontal="center" vertical="center"/>
    </xf>
    <xf numFmtId="37" fontId="37" fillId="0" borderId="102" xfId="151" applyNumberFormat="1" applyFont="1" applyFill="1" applyBorder="1" applyAlignment="1">
      <alignment horizontal="center" vertical="center"/>
    </xf>
    <xf numFmtId="0" fontId="37" fillId="0" borderId="102" xfId="151" applyFont="1" applyFill="1" applyBorder="1" applyAlignment="1">
      <alignment horizontal="center" vertical="center"/>
    </xf>
    <xf numFmtId="185" fontId="37" fillId="0" borderId="102" xfId="151" applyNumberFormat="1" applyFont="1" applyFill="1" applyBorder="1" applyAlignment="1">
      <alignment horizontal="center" vertical="center"/>
    </xf>
    <xf numFmtId="39" fontId="37" fillId="0" borderId="102" xfId="151" applyNumberFormat="1" applyFont="1" applyFill="1" applyBorder="1" applyAlignment="1">
      <alignment horizontal="center" vertical="center"/>
    </xf>
    <xf numFmtId="4" fontId="37" fillId="0" borderId="103" xfId="151" applyNumberFormat="1" applyFont="1" applyFill="1" applyBorder="1" applyAlignment="1">
      <alignment horizontal="center" vertical="center"/>
    </xf>
    <xf numFmtId="164" fontId="37" fillId="0" borderId="14" xfId="152" applyFont="1" applyFill="1" applyBorder="1" applyAlignment="1">
      <alignment vertical="center"/>
    </xf>
    <xf numFmtId="1" fontId="37" fillId="0" borderId="10" xfId="151" applyNumberFormat="1" applyFont="1" applyFill="1" applyBorder="1" applyAlignment="1">
      <alignment horizontal="center" vertical="center"/>
    </xf>
    <xf numFmtId="37" fontId="37" fillId="0" borderId="10" xfId="151" applyNumberFormat="1" applyFont="1" applyFill="1" applyBorder="1" applyAlignment="1">
      <alignment horizontal="center" vertical="center"/>
    </xf>
    <xf numFmtId="0" fontId="37" fillId="0" borderId="10" xfId="151" applyFont="1" applyFill="1" applyBorder="1" applyAlignment="1">
      <alignment horizontal="center" vertical="center"/>
    </xf>
    <xf numFmtId="4" fontId="37" fillId="0" borderId="10" xfId="151" applyNumberFormat="1" applyFont="1" applyFill="1" applyBorder="1" applyAlignment="1">
      <alignment vertical="center"/>
    </xf>
    <xf numFmtId="39" fontId="37" fillId="0" borderId="10" xfId="151" applyNumberFormat="1" applyFont="1" applyFill="1" applyBorder="1" applyAlignment="1">
      <alignment horizontal="center" vertical="center"/>
    </xf>
    <xf numFmtId="4" fontId="37" fillId="0" borderId="63" xfId="151" applyNumberFormat="1" applyFont="1" applyFill="1" applyBorder="1" applyAlignment="1">
      <alignment horizontal="center" vertical="center"/>
    </xf>
    <xf numFmtId="0" fontId="37" fillId="0" borderId="91" xfId="151" applyFont="1" applyFill="1" applyBorder="1" applyAlignment="1">
      <alignment horizontal="center" vertical="center"/>
    </xf>
    <xf numFmtId="4" fontId="37" fillId="0" borderId="91" xfId="151" applyNumberFormat="1" applyFont="1" applyFill="1" applyBorder="1" applyAlignment="1">
      <alignment vertical="center"/>
    </xf>
    <xf numFmtId="39" fontId="37" fillId="0" borderId="91" xfId="151" applyNumberFormat="1" applyFont="1" applyFill="1" applyBorder="1" applyAlignment="1">
      <alignment horizontal="center" vertical="center"/>
    </xf>
    <xf numFmtId="4" fontId="37" fillId="0" borderId="105" xfId="151" applyNumberFormat="1" applyFont="1" applyFill="1" applyBorder="1" applyAlignment="1">
      <alignment horizontal="center" vertical="center"/>
    </xf>
    <xf numFmtId="49" fontId="37" fillId="0" borderId="101" xfId="151" applyNumberFormat="1" applyFont="1" applyFill="1" applyBorder="1" applyAlignment="1">
      <alignment horizontal="center" vertical="center"/>
    </xf>
    <xf numFmtId="0" fontId="37" fillId="0" borderId="63" xfId="151" applyFont="1" applyFill="1" applyBorder="1" applyAlignment="1">
      <alignment horizontal="center" vertical="center" wrapText="1"/>
    </xf>
    <xf numFmtId="49" fontId="37" fillId="0" borderId="104" xfId="151" applyNumberFormat="1" applyFont="1" applyFill="1" applyBorder="1" applyAlignment="1">
      <alignment vertical="center"/>
    </xf>
    <xf numFmtId="49" fontId="37" fillId="0" borderId="63" xfId="151" applyNumberFormat="1" applyFont="1" applyFill="1" applyBorder="1" applyAlignment="1">
      <alignment horizontal="center" vertical="center"/>
    </xf>
    <xf numFmtId="2" fontId="0" fillId="0" borderId="0" xfId="0" applyNumberFormat="1"/>
    <xf numFmtId="2" fontId="18" fillId="0" borderId="15" xfId="0" applyNumberFormat="1" applyFont="1" applyBorder="1"/>
    <xf numFmtId="164" fontId="37" fillId="0" borderId="104" xfId="152" applyFont="1" applyFill="1" applyBorder="1" applyAlignment="1">
      <alignment vertical="center"/>
    </xf>
    <xf numFmtId="0" fontId="37" fillId="0" borderId="105" xfId="151" applyFont="1" applyFill="1" applyBorder="1" applyAlignment="1">
      <alignment horizontal="center" vertical="center" wrapText="1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21" fillId="0" borderId="68" xfId="0" applyFont="1" applyBorder="1" applyAlignment="1">
      <alignment horizontal="left" vertical="center" wrapText="1"/>
    </xf>
    <xf numFmtId="0" fontId="41" fillId="0" borderId="19" xfId="65" applyFont="1" applyFill="1" applyBorder="1" applyAlignment="1">
      <alignment horizontal="left" vertical="center"/>
    </xf>
    <xf numFmtId="0" fontId="41" fillId="0" borderId="19" xfId="65" applyFont="1" applyBorder="1" applyAlignment="1">
      <alignment horizontal="left" vertical="center"/>
    </xf>
    <xf numFmtId="4" fontId="71" fillId="40" borderId="10" xfId="43" applyNumberFormat="1" applyFont="1" applyFill="1" applyBorder="1" applyAlignment="1">
      <alignment horizontal="center" vertical="center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21" fillId="0" borderId="68" xfId="0" applyFont="1" applyBorder="1" applyAlignment="1">
      <alignment horizontal="left" vertical="center" wrapText="1"/>
    </xf>
    <xf numFmtId="0" fontId="41" fillId="0" borderId="19" xfId="65" applyFont="1" applyFill="1" applyBorder="1" applyAlignment="1">
      <alignment horizontal="left" vertical="center"/>
    </xf>
    <xf numFmtId="0" fontId="41" fillId="0" borderId="19" xfId="65" applyFont="1" applyBorder="1" applyAlignment="1">
      <alignment horizontal="left" vertical="center"/>
    </xf>
    <xf numFmtId="0" fontId="41" fillId="0" borderId="13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center" vertical="center" wrapText="1"/>
    </xf>
    <xf numFmtId="183" fontId="41" fillId="0" borderId="13" xfId="65" applyNumberFormat="1" applyFont="1" applyBorder="1" applyAlignment="1">
      <alignment horizontal="center" vertical="center"/>
    </xf>
    <xf numFmtId="183" fontId="41" fillId="0" borderId="13" xfId="65" applyNumberFormat="1" applyFont="1" applyFill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188" fontId="41" fillId="0" borderId="13" xfId="65" applyNumberFormat="1" applyFont="1" applyFill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183" fontId="41" fillId="0" borderId="10" xfId="65" applyNumberFormat="1" applyFont="1" applyBorder="1" applyAlignment="1">
      <alignment horizontal="center" vertical="center"/>
    </xf>
    <xf numFmtId="0" fontId="21" fillId="0" borderId="68" xfId="0" applyFont="1" applyBorder="1" applyAlignment="1">
      <alignment horizontal="left" vertical="center" wrapText="1"/>
    </xf>
    <xf numFmtId="0" fontId="41" fillId="0" borderId="19" xfId="65" applyFont="1" applyFill="1" applyBorder="1" applyAlignment="1">
      <alignment horizontal="left" vertical="center"/>
    </xf>
    <xf numFmtId="0" fontId="40" fillId="0" borderId="0" xfId="65" applyFont="1" applyAlignment="1">
      <alignment horizontal="left" vertical="center" wrapText="1"/>
    </xf>
    <xf numFmtId="49" fontId="37" fillId="0" borderId="106" xfId="151" applyNumberFormat="1" applyFont="1" applyFill="1" applyBorder="1" applyAlignment="1">
      <alignment vertical="center"/>
    </xf>
    <xf numFmtId="49" fontId="37" fillId="0" borderId="82" xfId="151" applyNumberFormat="1" applyFont="1" applyFill="1" applyBorder="1" applyAlignment="1">
      <alignment vertical="center"/>
    </xf>
    <xf numFmtId="49" fontId="37" fillId="0" borderId="56" xfId="151" applyNumberFormat="1" applyFont="1" applyFill="1" applyBorder="1" applyAlignment="1">
      <alignment vertical="center"/>
    </xf>
    <xf numFmtId="49" fontId="37" fillId="0" borderId="73" xfId="151" applyNumberFormat="1" applyFont="1" applyFill="1" applyBorder="1" applyAlignment="1">
      <alignment vertical="center"/>
    </xf>
    <xf numFmtId="0" fontId="37" fillId="0" borderId="56" xfId="151" applyFont="1" applyFill="1" applyBorder="1" applyAlignment="1">
      <alignment vertical="center"/>
    </xf>
    <xf numFmtId="0" fontId="37" fillId="0" borderId="73" xfId="151" applyFont="1" applyFill="1" applyBorder="1" applyAlignment="1">
      <alignment vertical="center"/>
    </xf>
    <xf numFmtId="172" fontId="37" fillId="0" borderId="56" xfId="151" applyNumberFormat="1" applyFont="1" applyFill="1" applyBorder="1" applyAlignment="1">
      <alignment vertical="center"/>
    </xf>
    <xf numFmtId="4" fontId="37" fillId="0" borderId="56" xfId="151" applyNumberFormat="1" applyFont="1" applyFill="1" applyBorder="1" applyAlignment="1">
      <alignment vertical="center"/>
    </xf>
    <xf numFmtId="172" fontId="37" fillId="0" borderId="73" xfId="151" applyNumberFormat="1" applyFont="1" applyFill="1" applyBorder="1" applyAlignment="1">
      <alignment vertical="center"/>
    </xf>
    <xf numFmtId="4" fontId="37" fillId="0" borderId="73" xfId="151" applyNumberFormat="1" applyFont="1" applyFill="1" applyBorder="1" applyAlignment="1">
      <alignment vertical="center"/>
    </xf>
    <xf numFmtId="4" fontId="38" fillId="0" borderId="0" xfId="151" applyNumberFormat="1" applyFont="1" applyFill="1" applyAlignment="1">
      <alignment vertical="center"/>
    </xf>
    <xf numFmtId="0" fontId="33" fillId="0" borderId="10" xfId="65" applyFont="1" applyFill="1" applyBorder="1" applyAlignment="1">
      <alignment horizontal="left" vertical="center" wrapText="1"/>
    </xf>
    <xf numFmtId="4" fontId="90" fillId="0" borderId="85" xfId="0" applyNumberFormat="1" applyFont="1" applyFill="1" applyBorder="1" applyAlignment="1">
      <alignment horizontal="right" vertical="center"/>
    </xf>
    <xf numFmtId="4" fontId="71" fillId="0" borderId="73" xfId="0" applyNumberFormat="1" applyFont="1" applyFill="1" applyBorder="1" applyAlignment="1">
      <alignment horizontal="center" vertical="center"/>
    </xf>
    <xf numFmtId="43" fontId="70" fillId="0" borderId="73" xfId="43" applyFont="1" applyFill="1" applyBorder="1" applyAlignment="1">
      <alignment horizontal="right" vertical="center" wrapText="1"/>
    </xf>
    <xf numFmtId="0" fontId="71" fillId="0" borderId="73" xfId="0" applyFont="1" applyFill="1" applyBorder="1" applyAlignment="1">
      <alignment horizontal="center" vertical="center" wrapText="1"/>
    </xf>
    <xf numFmtId="0" fontId="71" fillId="0" borderId="72" xfId="0" applyFont="1" applyBorder="1" applyAlignment="1">
      <alignment horizontal="center" vertical="center"/>
    </xf>
    <xf numFmtId="0" fontId="71" fillId="0" borderId="73" xfId="0" applyFont="1" applyBorder="1" applyAlignment="1">
      <alignment vertical="center"/>
    </xf>
    <xf numFmtId="2" fontId="71" fillId="0" borderId="73" xfId="0" applyNumberFormat="1" applyFont="1" applyBorder="1" applyAlignment="1">
      <alignment horizontal="right" vertical="center"/>
    </xf>
    <xf numFmtId="0" fontId="70" fillId="0" borderId="73" xfId="0" applyFont="1" applyBorder="1" applyAlignment="1">
      <alignment horizontal="right" vertical="center"/>
    </xf>
    <xf numFmtId="43" fontId="70" fillId="0" borderId="74" xfId="0" applyNumberFormat="1" applyFont="1" applyBorder="1" applyAlignment="1">
      <alignment vertical="center"/>
    </xf>
    <xf numFmtId="0" fontId="71" fillId="0" borderId="73" xfId="0" applyFont="1" applyBorder="1" applyAlignment="1">
      <alignment horizontal="center" vertical="center" wrapText="1"/>
    </xf>
    <xf numFmtId="2" fontId="71" fillId="0" borderId="80" xfId="0" applyNumberFormat="1" applyFont="1" applyBorder="1" applyAlignment="1">
      <alignment horizontal="center" vertical="center"/>
    </xf>
    <xf numFmtId="0" fontId="71" fillId="0" borderId="80" xfId="0" applyFont="1" applyBorder="1" applyAlignment="1">
      <alignment vertical="center"/>
    </xf>
    <xf numFmtId="185" fontId="71" fillId="0" borderId="80" xfId="0" applyNumberFormat="1" applyFont="1" applyFill="1" applyBorder="1" applyAlignment="1">
      <alignment horizontal="right" vertical="center"/>
    </xf>
    <xf numFmtId="0" fontId="70" fillId="0" borderId="73" xfId="0" applyFont="1" applyBorder="1" applyAlignment="1">
      <alignment horizontal="right" vertical="center" wrapText="1"/>
    </xf>
    <xf numFmtId="43" fontId="70" fillId="0" borderId="80" xfId="43" applyFont="1" applyFill="1" applyBorder="1" applyAlignment="1">
      <alignment horizontal="right" vertical="center" wrapText="1"/>
    </xf>
    <xf numFmtId="0" fontId="79" fillId="0" borderId="73" xfId="0" applyFont="1" applyBorder="1" applyAlignment="1">
      <alignment horizontal="center" vertical="center" wrapText="1"/>
    </xf>
    <xf numFmtId="43" fontId="70" fillId="0" borderId="73" xfId="43" applyFont="1" applyBorder="1" applyAlignment="1">
      <alignment horizontal="right" vertical="center" wrapText="1"/>
    </xf>
    <xf numFmtId="0" fontId="71" fillId="0" borderId="79" xfId="0" applyFont="1" applyBorder="1" applyAlignment="1">
      <alignment horizontal="center" vertical="center"/>
    </xf>
    <xf numFmtId="43" fontId="71" fillId="0" borderId="0" xfId="43" applyFont="1" applyBorder="1" applyAlignment="1">
      <alignment horizontal="left" vertical="center"/>
    </xf>
    <xf numFmtId="43" fontId="70" fillId="0" borderId="73" xfId="43" applyFont="1" applyBorder="1" applyAlignment="1">
      <alignment horizontal="right" vertical="center"/>
    </xf>
    <xf numFmtId="43" fontId="70" fillId="0" borderId="74" xfId="43" applyFont="1" applyBorder="1" applyAlignment="1">
      <alignment horizontal="right" vertical="center"/>
    </xf>
    <xf numFmtId="43" fontId="70" fillId="0" borderId="81" xfId="43" applyFont="1" applyBorder="1" applyAlignment="1">
      <alignment horizontal="right" vertical="center"/>
    </xf>
    <xf numFmtId="185" fontId="70" fillId="0" borderId="81" xfId="0" applyNumberFormat="1" applyFont="1" applyBorder="1" applyAlignment="1">
      <alignment vertical="center"/>
    </xf>
    <xf numFmtId="0" fontId="71" fillId="37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91" fillId="0" borderId="0" xfId="0" applyFont="1" applyAlignment="1">
      <alignment horizontal="center"/>
    </xf>
    <xf numFmtId="4" fontId="71" fillId="0" borderId="13" xfId="0" applyNumberFormat="1" applyFont="1" applyFill="1" applyBorder="1" applyAlignment="1">
      <alignment horizontal="right" vertical="center"/>
    </xf>
    <xf numFmtId="6" fontId="41" fillId="0" borderId="0" xfId="65" applyNumberFormat="1" applyFont="1" applyAlignment="1">
      <alignment vertical="center"/>
    </xf>
    <xf numFmtId="8" fontId="41" fillId="0" borderId="0" xfId="65" applyNumberFormat="1" applyFont="1" applyAlignment="1">
      <alignment vertical="center"/>
    </xf>
    <xf numFmtId="183" fontId="41" fillId="0" borderId="80" xfId="65" applyNumberFormat="1" applyFont="1" applyBorder="1" applyAlignment="1">
      <alignment horizontal="right" vertical="center"/>
    </xf>
    <xf numFmtId="183" fontId="41" fillId="0" borderId="19" xfId="65" applyNumberFormat="1" applyFont="1" applyBorder="1" applyAlignment="1">
      <alignment horizontal="right" vertical="center"/>
    </xf>
    <xf numFmtId="183" fontId="41" fillId="0" borderId="0" xfId="65" applyNumberFormat="1" applyFont="1" applyAlignment="1">
      <alignment horizontal="left" vertical="center"/>
    </xf>
    <xf numFmtId="4" fontId="70" fillId="0" borderId="107" xfId="0" applyNumberFormat="1" applyFont="1" applyBorder="1" applyAlignment="1">
      <alignment vertical="center" wrapText="1"/>
    </xf>
    <xf numFmtId="4" fontId="70" fillId="0" borderId="35" xfId="0" applyNumberFormat="1" applyFont="1" applyBorder="1" applyAlignment="1">
      <alignment horizontal="centerContinuous" vertical="center"/>
    </xf>
    <xf numFmtId="43" fontId="71" fillId="0" borderId="19" xfId="43" applyFont="1" applyFill="1" applyBorder="1" applyAlignment="1">
      <alignment vertical="center" wrapText="1"/>
    </xf>
    <xf numFmtId="49" fontId="33" fillId="0" borderId="10" xfId="43" applyNumberFormat="1" applyFont="1" applyFill="1" applyBorder="1" applyAlignment="1">
      <alignment vertical="center" wrapText="1"/>
    </xf>
    <xf numFmtId="183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21" fillId="0" borderId="68" xfId="0" applyFont="1" applyBorder="1" applyAlignment="1">
      <alignment horizontal="left" vertical="center" wrapText="1"/>
    </xf>
    <xf numFmtId="183" fontId="41" fillId="0" borderId="10" xfId="65" applyNumberFormat="1" applyFont="1" applyBorder="1" applyAlignment="1">
      <alignment horizontal="center" vertical="center"/>
    </xf>
    <xf numFmtId="0" fontId="41" fillId="0" borderId="19" xfId="65" applyFont="1" applyBorder="1" applyAlignment="1">
      <alignment horizontal="left" vertical="center"/>
    </xf>
    <xf numFmtId="0" fontId="40" fillId="0" borderId="0" xfId="65" applyFont="1" applyAlignment="1">
      <alignment horizontal="left" vertical="center" wrapText="1"/>
    </xf>
    <xf numFmtId="185" fontId="71" fillId="0" borderId="0" xfId="0" applyNumberFormat="1" applyFont="1" applyAlignment="1">
      <alignment horizontal="center" vertical="center"/>
    </xf>
    <xf numFmtId="0" fontId="64" fillId="0" borderId="0" xfId="73" applyNumberFormat="1" applyFont="1" applyAlignment="1">
      <alignment vertical="center"/>
    </xf>
    <xf numFmtId="0" fontId="37" fillId="0" borderId="103" xfId="151" applyFont="1" applyFill="1" applyBorder="1" applyAlignment="1">
      <alignment horizontal="center" vertical="center"/>
    </xf>
    <xf numFmtId="0" fontId="37" fillId="0" borderId="0" xfId="151" applyFont="1" applyFill="1" applyAlignment="1">
      <alignment horizontal="right" vertical="center"/>
    </xf>
    <xf numFmtId="4" fontId="38" fillId="0" borderId="0" xfId="151" applyNumberFormat="1" applyFont="1" applyFill="1" applyBorder="1" applyAlignment="1">
      <alignment vertical="center"/>
    </xf>
    <xf numFmtId="49" fontId="37" fillId="0" borderId="90" xfId="151" applyNumberFormat="1" applyFont="1" applyFill="1" applyBorder="1" applyAlignment="1">
      <alignment vertical="center"/>
    </xf>
    <xf numFmtId="49" fontId="37" fillId="0" borderId="80" xfId="151" applyNumberFormat="1" applyFont="1" applyFill="1" applyBorder="1" applyAlignment="1">
      <alignment vertical="center"/>
    </xf>
    <xf numFmtId="0" fontId="37" fillId="0" borderId="80" xfId="151" applyFont="1" applyFill="1" applyBorder="1" applyAlignment="1">
      <alignment vertical="center"/>
    </xf>
    <xf numFmtId="172" fontId="37" fillId="0" borderId="80" xfId="151" applyNumberFormat="1" applyFont="1" applyFill="1" applyBorder="1" applyAlignment="1">
      <alignment vertical="center"/>
    </xf>
    <xf numFmtId="4" fontId="37" fillId="0" borderId="80" xfId="151" applyNumberFormat="1" applyFont="1" applyFill="1" applyBorder="1" applyAlignment="1">
      <alignment vertical="center"/>
    </xf>
    <xf numFmtId="49" fontId="37" fillId="0" borderId="14" xfId="151" applyNumberFormat="1" applyFont="1" applyFill="1" applyBorder="1" applyAlignment="1">
      <alignment horizontal="center" vertical="center"/>
    </xf>
    <xf numFmtId="49" fontId="37" fillId="0" borderId="108" xfId="151" applyNumberFormat="1" applyFont="1" applyFill="1" applyBorder="1" applyAlignment="1">
      <alignment horizontal="center" vertical="center"/>
    </xf>
    <xf numFmtId="164" fontId="38" fillId="0" borderId="108" xfId="152" applyFont="1" applyFill="1" applyBorder="1" applyAlignment="1">
      <alignment horizontal="left" vertical="center"/>
    </xf>
    <xf numFmtId="172" fontId="37" fillId="0" borderId="108" xfId="151" applyNumberFormat="1" applyFont="1" applyFill="1" applyBorder="1" applyAlignment="1">
      <alignment horizontal="right" vertical="center"/>
    </xf>
    <xf numFmtId="172" fontId="37" fillId="0" borderId="108" xfId="151" applyNumberFormat="1" applyFont="1" applyFill="1" applyBorder="1" applyAlignment="1">
      <alignment horizontal="center" vertical="center"/>
    </xf>
    <xf numFmtId="3" fontId="37" fillId="0" borderId="108" xfId="151" applyNumberFormat="1" applyFont="1" applyFill="1" applyBorder="1" applyAlignment="1">
      <alignment horizontal="center" vertical="center"/>
    </xf>
    <xf numFmtId="3" fontId="37" fillId="0" borderId="108" xfId="151" applyNumberFormat="1" applyFont="1" applyFill="1" applyBorder="1" applyAlignment="1">
      <alignment vertical="center"/>
    </xf>
    <xf numFmtId="4" fontId="37" fillId="0" borderId="108" xfId="151" applyNumberFormat="1" applyFont="1" applyFill="1" applyBorder="1" applyAlignment="1">
      <alignment vertical="center"/>
    </xf>
    <xf numFmtId="49" fontId="42" fillId="0" borderId="41" xfId="151" applyNumberFormat="1" applyFont="1" applyFill="1" applyBorder="1" applyAlignment="1">
      <alignment horizontal="center" vertical="center"/>
    </xf>
    <xf numFmtId="49" fontId="62" fillId="0" borderId="18" xfId="151" applyNumberFormat="1" applyFont="1" applyFill="1" applyBorder="1" applyAlignment="1">
      <alignment horizontal="center" vertical="center"/>
    </xf>
    <xf numFmtId="164" fontId="42" fillId="0" borderId="18" xfId="152" applyFont="1" applyFill="1" applyBorder="1" applyAlignment="1">
      <alignment horizontal="left" vertical="center"/>
    </xf>
    <xf numFmtId="172" fontId="57" fillId="0" borderId="18" xfId="151" applyNumberFormat="1" applyFont="1" applyFill="1" applyBorder="1" applyAlignment="1">
      <alignment horizontal="right" vertical="center"/>
    </xf>
    <xf numFmtId="4" fontId="57" fillId="0" borderId="18" xfId="151" applyNumberFormat="1" applyFont="1" applyFill="1" applyBorder="1" applyAlignment="1">
      <alignment horizontal="right" vertical="center"/>
    </xf>
    <xf numFmtId="4" fontId="57" fillId="0" borderId="18" xfId="151" applyNumberFormat="1" applyFont="1" applyFill="1" applyBorder="1" applyAlignment="1">
      <alignment vertical="center"/>
    </xf>
    <xf numFmtId="4" fontId="43" fillId="0" borderId="42" xfId="151" applyNumberFormat="1" applyFont="1" applyFill="1" applyBorder="1" applyAlignment="1">
      <alignment vertical="center"/>
    </xf>
    <xf numFmtId="164" fontId="37" fillId="0" borderId="11" xfId="152" applyFont="1" applyFill="1" applyBorder="1" applyAlignment="1">
      <alignment horizontal="right" vertical="center"/>
    </xf>
    <xf numFmtId="164" fontId="37" fillId="0" borderId="11" xfId="152" applyFont="1" applyFill="1" applyBorder="1" applyAlignment="1">
      <alignment vertical="center"/>
    </xf>
    <xf numFmtId="10" fontId="92" fillId="0" borderId="11" xfId="151" applyNumberFormat="1" applyFont="1" applyFill="1" applyBorder="1" applyAlignment="1">
      <alignment horizontal="right" vertical="center"/>
    </xf>
    <xf numFmtId="49" fontId="37" fillId="0" borderId="11" xfId="151" applyNumberFormat="1" applyFont="1" applyFill="1" applyBorder="1" applyAlignment="1">
      <alignment vertical="center"/>
    </xf>
    <xf numFmtId="0" fontId="41" fillId="0" borderId="10" xfId="65" applyFont="1" applyFill="1" applyBorder="1" applyAlignment="1">
      <alignment horizontal="left" vertical="center"/>
    </xf>
    <xf numFmtId="1" fontId="0" fillId="46" borderId="0" xfId="0" applyNumberFormat="1" applyFont="1" applyFill="1" applyAlignment="1">
      <alignment horizontal="center"/>
    </xf>
    <xf numFmtId="183" fontId="0" fillId="0" borderId="0" xfId="0" applyNumberFormat="1" applyAlignment="1">
      <alignment horizontal="left"/>
    </xf>
    <xf numFmtId="0" fontId="0" fillId="46" borderId="0" xfId="0" applyFill="1"/>
    <xf numFmtId="0" fontId="0" fillId="46" borderId="0" xfId="0" applyFill="1" applyAlignment="1">
      <alignment horizontal="right"/>
    </xf>
    <xf numFmtId="2" fontId="0" fillId="46" borderId="0" xfId="0" applyNumberFormat="1" applyFill="1"/>
    <xf numFmtId="0" fontId="71" fillId="37" borderId="73" xfId="0" applyFont="1" applyFill="1" applyBorder="1" applyAlignment="1">
      <alignment horizontal="center" vertical="center" wrapText="1"/>
    </xf>
    <xf numFmtId="0" fontId="71" fillId="37" borderId="73" xfId="0" applyFont="1" applyFill="1" applyBorder="1" applyAlignment="1">
      <alignment horizontal="center" vertical="center"/>
    </xf>
    <xf numFmtId="4" fontId="71" fillId="37" borderId="73" xfId="43" applyNumberFormat="1" applyFont="1" applyFill="1" applyBorder="1" applyAlignment="1">
      <alignment horizontal="right" vertical="center"/>
    </xf>
    <xf numFmtId="43" fontId="70" fillId="37" borderId="74" xfId="43" applyFont="1" applyFill="1" applyBorder="1" applyAlignment="1">
      <alignment horizontal="right" vertical="center"/>
    </xf>
    <xf numFmtId="2" fontId="71" fillId="0" borderId="73" xfId="0" applyNumberFormat="1" applyFont="1" applyFill="1" applyBorder="1" applyAlignment="1">
      <alignment horizontal="right" vertical="center"/>
    </xf>
    <xf numFmtId="0" fontId="71" fillId="0" borderId="84" xfId="0" applyFont="1" applyFill="1" applyBorder="1" applyAlignment="1">
      <alignment horizontal="center" vertical="center"/>
    </xf>
    <xf numFmtId="0" fontId="71" fillId="0" borderId="85" xfId="0" applyFont="1" applyFill="1" applyBorder="1" applyAlignment="1">
      <alignment horizontal="center" vertical="center"/>
    </xf>
    <xf numFmtId="4" fontId="71" fillId="0" borderId="85" xfId="0" applyNumberFormat="1" applyFont="1" applyFill="1" applyBorder="1" applyAlignment="1">
      <alignment horizontal="center" vertical="center"/>
    </xf>
    <xf numFmtId="2" fontId="71" fillId="0" borderId="85" xfId="0" applyNumberFormat="1" applyFont="1" applyFill="1" applyBorder="1" applyAlignment="1">
      <alignment horizontal="right" vertical="center"/>
    </xf>
    <xf numFmtId="0" fontId="71" fillId="0" borderId="80" xfId="0" applyFont="1" applyFill="1" applyBorder="1" applyAlignment="1">
      <alignment horizontal="center" vertical="center" wrapText="1"/>
    </xf>
    <xf numFmtId="0" fontId="71" fillId="0" borderId="80" xfId="0" applyFont="1" applyBorder="1" applyAlignment="1">
      <alignment horizontal="center" vertical="center" wrapText="1"/>
    </xf>
    <xf numFmtId="0" fontId="33" fillId="37" borderId="73" xfId="65" applyFont="1" applyFill="1" applyBorder="1" applyAlignment="1">
      <alignment horizontal="center" vertical="center" wrapText="1"/>
    </xf>
    <xf numFmtId="0" fontId="33" fillId="37" borderId="73" xfId="65" applyFont="1" applyFill="1" applyBorder="1" applyAlignment="1">
      <alignment horizontal="center" vertical="center"/>
    </xf>
    <xf numFmtId="164" fontId="33" fillId="0" borderId="73" xfId="142" applyFont="1" applyFill="1" applyBorder="1" applyAlignment="1">
      <alignment horizontal="center" vertical="center"/>
    </xf>
    <xf numFmtId="164" fontId="33" fillId="0" borderId="73" xfId="142" applyFont="1" applyFill="1" applyBorder="1" applyAlignment="1">
      <alignment horizontal="right" vertical="center"/>
    </xf>
    <xf numFmtId="43" fontId="71" fillId="37" borderId="73" xfId="43" applyFont="1" applyFill="1" applyBorder="1" applyAlignment="1">
      <alignment horizontal="right" vertical="center"/>
    </xf>
    <xf numFmtId="0" fontId="71" fillId="0" borderId="85" xfId="0" applyFont="1" applyBorder="1" applyAlignment="1">
      <alignment horizontal="center" vertical="center"/>
    </xf>
    <xf numFmtId="4" fontId="71" fillId="0" borderId="85" xfId="43" applyNumberFormat="1" applyFont="1" applyFill="1" applyBorder="1" applyAlignment="1">
      <alignment horizontal="center" vertical="center"/>
    </xf>
    <xf numFmtId="4" fontId="71" fillId="0" borderId="85" xfId="43" applyNumberFormat="1" applyFont="1" applyFill="1" applyBorder="1" applyAlignment="1">
      <alignment horizontal="right" vertical="center"/>
    </xf>
    <xf numFmtId="43" fontId="70" fillId="0" borderId="32" xfId="43" applyFont="1" applyBorder="1" applyAlignment="1">
      <alignment horizontal="right" vertical="center"/>
    </xf>
    <xf numFmtId="2" fontId="18" fillId="0" borderId="0" xfId="0" applyNumberFormat="1" applyFont="1" applyBorder="1" applyAlignment="1">
      <alignment horizontal="center"/>
    </xf>
    <xf numFmtId="0" fontId="21" fillId="0" borderId="19" xfId="0" applyFont="1" applyBorder="1" applyAlignment="1">
      <alignment horizontal="left" vertical="center" wrapText="1"/>
    </xf>
    <xf numFmtId="0" fontId="93" fillId="0" borderId="10" xfId="0" applyFont="1" applyFill="1" applyBorder="1" applyAlignment="1">
      <alignment horizontal="center" vertical="center" wrapText="1"/>
    </xf>
    <xf numFmtId="43" fontId="71" fillId="0" borderId="15" xfId="43" applyFont="1" applyBorder="1" applyAlignment="1">
      <alignment horizontal="center" vertical="top"/>
    </xf>
    <xf numFmtId="0" fontId="71" fillId="0" borderId="0" xfId="0" applyFont="1" applyAlignment="1">
      <alignment horizontal="right" vertical="top"/>
    </xf>
    <xf numFmtId="0" fontId="41" fillId="0" borderId="13" xfId="65" applyFont="1" applyBorder="1" applyAlignment="1">
      <alignment horizontal="left" vertical="center" wrapText="1"/>
    </xf>
    <xf numFmtId="0" fontId="41" fillId="0" borderId="10" xfId="65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 wrapText="1"/>
    </xf>
    <xf numFmtId="0" fontId="41" fillId="0" borderId="19" xfId="65" applyFont="1" applyBorder="1" applyAlignment="1">
      <alignment horizontal="left" vertical="center"/>
    </xf>
    <xf numFmtId="0" fontId="21" fillId="0" borderId="68" xfId="0" applyFont="1" applyBorder="1" applyAlignment="1">
      <alignment horizontal="left" vertical="center" wrapText="1"/>
    </xf>
    <xf numFmtId="0" fontId="40" fillId="0" borderId="0" xfId="65" applyFont="1" applyAlignment="1">
      <alignment horizontal="left" vertical="center" wrapText="1"/>
    </xf>
    <xf numFmtId="43" fontId="71" fillId="0" borderId="36" xfId="43" applyFont="1" applyBorder="1" applyAlignment="1">
      <alignment vertical="top"/>
    </xf>
    <xf numFmtId="43" fontId="71" fillId="0" borderId="15" xfId="43" applyFont="1" applyBorder="1" applyAlignment="1">
      <alignment vertical="top"/>
    </xf>
    <xf numFmtId="43" fontId="71" fillId="0" borderId="37" xfId="43" applyFont="1" applyBorder="1" applyAlignment="1">
      <alignment vertical="top"/>
    </xf>
    <xf numFmtId="43" fontId="79" fillId="0" borderId="15" xfId="43" applyFont="1" applyBorder="1" applyAlignment="1">
      <alignment horizontal="left" vertical="top"/>
    </xf>
    <xf numFmtId="4" fontId="41" fillId="0" borderId="0" xfId="65" applyNumberFormat="1" applyFont="1" applyAlignment="1">
      <alignment horizontal="left" vertical="center"/>
    </xf>
    <xf numFmtId="3" fontId="71" fillId="0" borderId="10" xfId="0" applyNumberFormat="1" applyFont="1" applyFill="1" applyBorder="1" applyAlignment="1">
      <alignment horizontal="center" vertical="center" wrapText="1"/>
    </xf>
    <xf numFmtId="43" fontId="79" fillId="0" borderId="15" xfId="43" applyFont="1" applyBorder="1" applyAlignment="1">
      <alignment vertical="top"/>
    </xf>
    <xf numFmtId="0" fontId="41" fillId="0" borderId="10" xfId="65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0" fontId="21" fillId="0" borderId="67" xfId="0" applyNumberFormat="1" applyFont="1" applyBorder="1" applyAlignment="1">
      <alignment horizontal="left" vertical="center"/>
    </xf>
    <xf numFmtId="0" fontId="41" fillId="0" borderId="19" xfId="65" applyFont="1" applyBorder="1" applyAlignment="1">
      <alignment horizontal="left" vertical="center"/>
    </xf>
    <xf numFmtId="0" fontId="64" fillId="0" borderId="0" xfId="0" applyNumberFormat="1" applyFont="1" applyAlignment="1">
      <alignment vertical="center"/>
    </xf>
    <xf numFmtId="0" fontId="21" fillId="0" borderId="0" xfId="0" applyNumberFormat="1" applyFont="1"/>
    <xf numFmtId="4" fontId="41" fillId="0" borderId="12" xfId="65" applyNumberFormat="1" applyFont="1" applyBorder="1" applyAlignment="1">
      <alignment horizontal="center" vertical="center"/>
    </xf>
    <xf numFmtId="0" fontId="41" fillId="0" borderId="0" xfId="65" applyFont="1" applyAlignment="1">
      <alignment horizontal="center"/>
    </xf>
    <xf numFmtId="185" fontId="70" fillId="0" borderId="0" xfId="0" applyNumberFormat="1" applyFont="1" applyAlignment="1">
      <alignment vertical="center"/>
    </xf>
    <xf numFmtId="0" fontId="65" fillId="40" borderId="10" xfId="194" applyNumberFormat="1" applyFont="1" applyFill="1" applyBorder="1" applyAlignment="1">
      <alignment horizontal="center" vertical="center"/>
    </xf>
    <xf numFmtId="2" fontId="21" fillId="0" borderId="0" xfId="0" applyNumberFormat="1" applyFont="1"/>
    <xf numFmtId="2" fontId="21" fillId="0" borderId="0" xfId="0" applyNumberFormat="1" applyFont="1" applyAlignment="1">
      <alignment horizontal="left"/>
    </xf>
    <xf numFmtId="0" fontId="71" fillId="0" borderId="31" xfId="0" applyFont="1" applyFill="1" applyBorder="1" applyAlignment="1">
      <alignment horizontal="center" vertical="center"/>
    </xf>
    <xf numFmtId="0" fontId="71" fillId="0" borderId="68" xfId="0" applyFont="1" applyFill="1" applyBorder="1" applyAlignment="1">
      <alignment horizontal="center" vertical="center" wrapText="1"/>
    </xf>
    <xf numFmtId="43" fontId="71" fillId="0" borderId="13" xfId="43" applyFont="1" applyFill="1" applyBorder="1" applyAlignment="1">
      <alignment vertical="center" wrapText="1"/>
    </xf>
    <xf numFmtId="43" fontId="71" fillId="0" borderId="32" xfId="43" applyFont="1" applyFill="1" applyBorder="1" applyAlignment="1">
      <alignment horizontal="right" vertical="center"/>
    </xf>
    <xf numFmtId="4" fontId="88" fillId="0" borderId="47" xfId="0" applyNumberFormat="1" applyFont="1" applyBorder="1" applyAlignment="1">
      <alignment horizontal="center" vertical="center" wrapText="1"/>
    </xf>
    <xf numFmtId="4" fontId="88" fillId="0" borderId="53" xfId="0" applyNumberFormat="1" applyFont="1" applyBorder="1" applyAlignment="1">
      <alignment horizontal="center" vertical="center" wrapText="1"/>
    </xf>
    <xf numFmtId="4" fontId="88" fillId="0" borderId="45" xfId="0" applyNumberFormat="1" applyFont="1" applyBorder="1" applyAlignment="1">
      <alignment horizontal="center" vertical="center" wrapText="1"/>
    </xf>
    <xf numFmtId="4" fontId="88" fillId="0" borderId="59" xfId="0" applyNumberFormat="1" applyFont="1" applyBorder="1" applyAlignment="1">
      <alignment horizontal="center" vertical="center" wrapText="1"/>
    </xf>
    <xf numFmtId="4" fontId="74" fillId="0" borderId="75" xfId="0" applyNumberFormat="1" applyFont="1" applyBorder="1" applyAlignment="1">
      <alignment horizontal="center" vertical="center" wrapText="1"/>
    </xf>
    <xf numFmtId="4" fontId="74" fillId="0" borderId="23" xfId="0" applyNumberFormat="1" applyFont="1" applyBorder="1" applyAlignment="1">
      <alignment horizontal="center" vertical="center" wrapText="1"/>
    </xf>
    <xf numFmtId="4" fontId="74" fillId="0" borderId="24" xfId="0" applyNumberFormat="1" applyFont="1" applyBorder="1" applyAlignment="1">
      <alignment horizontal="center" vertical="center" wrapText="1"/>
    </xf>
    <xf numFmtId="4" fontId="74" fillId="0" borderId="33" xfId="0" applyNumberFormat="1" applyFont="1" applyBorder="1" applyAlignment="1">
      <alignment horizontal="center" vertical="center" wrapText="1"/>
    </xf>
    <xf numFmtId="4" fontId="74" fillId="0" borderId="34" xfId="0" applyNumberFormat="1" applyFont="1" applyBorder="1" applyAlignment="1">
      <alignment horizontal="center" vertical="center" wrapText="1"/>
    </xf>
    <xf numFmtId="4" fontId="74" fillId="0" borderId="35" xfId="0" applyNumberFormat="1" applyFont="1" applyBorder="1" applyAlignment="1">
      <alignment horizontal="center" vertical="center" wrapText="1"/>
    </xf>
    <xf numFmtId="43" fontId="71" fillId="0" borderId="27" xfId="43" applyFont="1" applyBorder="1" applyAlignment="1">
      <alignment horizontal="center" vertical="center" wrapText="1"/>
    </xf>
    <xf numFmtId="43" fontId="71" fillId="0" borderId="18" xfId="43" applyFont="1" applyBorder="1" applyAlignment="1">
      <alignment horizontal="center" vertical="center" wrapText="1"/>
    </xf>
    <xf numFmtId="43" fontId="71" fillId="0" borderId="28" xfId="43" applyFont="1" applyBorder="1" applyAlignment="1">
      <alignment horizontal="center" vertical="center" wrapText="1"/>
    </xf>
    <xf numFmtId="4" fontId="71" fillId="0" borderId="75" xfId="0" applyNumberFormat="1" applyFont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5" xfId="0" applyBorder="1" applyAlignment="1">
      <alignment wrapText="1"/>
    </xf>
    <xf numFmtId="0" fontId="38" fillId="0" borderId="0" xfId="65" applyFont="1" applyBorder="1" applyAlignment="1">
      <alignment horizontal="center" vertical="center" wrapText="1"/>
    </xf>
    <xf numFmtId="43" fontId="70" fillId="36" borderId="73" xfId="43" applyFont="1" applyFill="1" applyBorder="1" applyAlignment="1">
      <alignment horizontal="left" vertical="center"/>
    </xf>
    <xf numFmtId="0" fontId="41" fillId="0" borderId="12" xfId="65" applyFont="1" applyBorder="1" applyAlignment="1">
      <alignment horizontal="center" vertical="center" wrapText="1"/>
    </xf>
    <xf numFmtId="0" fontId="41" fillId="0" borderId="13" xfId="65" applyFont="1" applyBorder="1" applyAlignment="1">
      <alignment horizontal="center" vertical="center" wrapText="1"/>
    </xf>
    <xf numFmtId="0" fontId="41" fillId="0" borderId="67" xfId="65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41" fillId="0" borderId="12" xfId="65" applyFont="1" applyBorder="1" applyAlignment="1">
      <alignment horizontal="left" vertical="center" wrapText="1"/>
    </xf>
    <xf numFmtId="0" fontId="41" fillId="0" borderId="13" xfId="65" applyFont="1" applyBorder="1" applyAlignment="1">
      <alignment horizontal="left" vertical="center" wrapText="1"/>
    </xf>
    <xf numFmtId="183" fontId="41" fillId="0" borderId="12" xfId="65" applyNumberFormat="1" applyFont="1" applyFill="1" applyBorder="1" applyAlignment="1">
      <alignment horizontal="center" vertical="center"/>
    </xf>
    <xf numFmtId="183" fontId="41" fillId="0" borderId="13" xfId="65" applyNumberFormat="1" applyFont="1" applyFill="1" applyBorder="1" applyAlignment="1">
      <alignment horizontal="center" vertical="center"/>
    </xf>
    <xf numFmtId="0" fontId="41" fillId="0" borderId="10" xfId="65" applyFont="1" applyBorder="1" applyAlignment="1">
      <alignment horizontal="center" vertical="center"/>
    </xf>
    <xf numFmtId="183" fontId="41" fillId="0" borderId="12" xfId="65" applyNumberFormat="1" applyFont="1" applyBorder="1" applyAlignment="1">
      <alignment horizontal="center" vertical="center"/>
    </xf>
    <xf numFmtId="183" fontId="41" fillId="0" borderId="13" xfId="65" applyNumberFormat="1" applyFont="1" applyBorder="1" applyAlignment="1">
      <alignment horizontal="center" vertical="center"/>
    </xf>
    <xf numFmtId="0" fontId="41" fillId="0" borderId="67" xfId="65" applyFont="1" applyFill="1" applyBorder="1" applyAlignment="1">
      <alignment horizontal="left" vertical="center"/>
    </xf>
    <xf numFmtId="0" fontId="41" fillId="0" borderId="68" xfId="65" applyFont="1" applyFill="1" applyBorder="1" applyAlignment="1">
      <alignment horizontal="left" vertical="center"/>
    </xf>
    <xf numFmtId="0" fontId="41" fillId="0" borderId="67" xfId="65" applyFont="1" applyFill="1" applyBorder="1" applyAlignment="1">
      <alignment horizontal="left" vertical="center" wrapText="1"/>
    </xf>
    <xf numFmtId="0" fontId="0" fillId="0" borderId="68" xfId="0" applyFill="1" applyBorder="1" applyAlignment="1">
      <alignment horizontal="left" vertical="center" wrapText="1"/>
    </xf>
    <xf numFmtId="188" fontId="41" fillId="0" borderId="12" xfId="65" applyNumberFormat="1" applyFont="1" applyFill="1" applyBorder="1" applyAlignment="1">
      <alignment horizontal="center" vertical="center"/>
    </xf>
    <xf numFmtId="188" fontId="41" fillId="0" borderId="13" xfId="65" applyNumberFormat="1" applyFont="1" applyFill="1" applyBorder="1" applyAlignment="1">
      <alignment horizontal="center" vertical="center"/>
    </xf>
    <xf numFmtId="2" fontId="21" fillId="0" borderId="12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0" fontId="64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65" fillId="0" borderId="67" xfId="194" applyNumberFormat="1" applyFont="1" applyBorder="1" applyAlignment="1">
      <alignment horizontal="left" vertical="center"/>
    </xf>
    <xf numFmtId="0" fontId="65" fillId="0" borderId="68" xfId="194" applyNumberFormat="1" applyFont="1" applyBorder="1" applyAlignment="1">
      <alignment horizontal="left" vertical="center"/>
    </xf>
    <xf numFmtId="0" fontId="65" fillId="0" borderId="12" xfId="194" applyNumberFormat="1" applyFont="1" applyBorder="1" applyAlignment="1">
      <alignment horizontal="left" vertical="center" wrapText="1"/>
    </xf>
    <xf numFmtId="0" fontId="65" fillId="0" borderId="13" xfId="194" applyNumberFormat="1" applyFont="1" applyBorder="1" applyAlignment="1">
      <alignment horizontal="left" vertical="center" wrapText="1"/>
    </xf>
    <xf numFmtId="0" fontId="65" fillId="0" borderId="12" xfId="194" applyNumberFormat="1" applyFont="1" applyBorder="1" applyAlignment="1">
      <alignment horizontal="center" vertical="center"/>
    </xf>
    <xf numFmtId="0" fontId="65" fillId="0" borderId="13" xfId="194" applyNumberFormat="1" applyFont="1" applyBorder="1" applyAlignment="1">
      <alignment horizontal="center" vertical="center"/>
    </xf>
    <xf numFmtId="183" fontId="65" fillId="0" borderId="12" xfId="194" applyNumberFormat="1" applyFont="1" applyBorder="1" applyAlignment="1">
      <alignment horizontal="center" vertical="center"/>
    </xf>
    <xf numFmtId="183" fontId="65" fillId="0" borderId="13" xfId="194" applyNumberFormat="1" applyFont="1" applyBorder="1" applyAlignment="1">
      <alignment horizontal="center" vertical="center"/>
    </xf>
    <xf numFmtId="0" fontId="64" fillId="0" borderId="0" xfId="194" applyNumberFormat="1" applyFont="1" applyAlignment="1">
      <alignment vertical="center"/>
    </xf>
    <xf numFmtId="0" fontId="65" fillId="0" borderId="0" xfId="194" applyNumberFormat="1" applyFont="1" applyAlignment="1">
      <alignment vertical="center"/>
    </xf>
    <xf numFmtId="0" fontId="64" fillId="0" borderId="80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67" xfId="0" applyNumberFormat="1" applyFont="1" applyBorder="1" applyAlignment="1">
      <alignment horizontal="left" vertical="center"/>
    </xf>
    <xf numFmtId="0" fontId="21" fillId="0" borderId="68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/>
    </xf>
    <xf numFmtId="190" fontId="21" fillId="0" borderId="12" xfId="0" applyNumberFormat="1" applyFont="1" applyBorder="1" applyAlignment="1">
      <alignment horizontal="center" vertical="center"/>
    </xf>
    <xf numFmtId="190" fontId="21" fillId="0" borderId="13" xfId="0" applyNumberFormat="1" applyFont="1" applyBorder="1" applyAlignment="1">
      <alignment horizontal="center" vertical="center"/>
    </xf>
    <xf numFmtId="0" fontId="41" fillId="0" borderId="67" xfId="65" applyFont="1" applyBorder="1" applyAlignment="1">
      <alignment horizontal="left" vertical="center"/>
    </xf>
    <xf numFmtId="0" fontId="41" fillId="0" borderId="68" xfId="65" applyFont="1" applyBorder="1" applyAlignment="1">
      <alignment horizontal="left" vertical="center"/>
    </xf>
    <xf numFmtId="0" fontId="64" fillId="0" borderId="80" xfId="194" applyNumberFormat="1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/>
    </xf>
    <xf numFmtId="0" fontId="41" fillId="0" borderId="12" xfId="65" applyFont="1" applyFill="1" applyBorder="1" applyAlignment="1">
      <alignment horizontal="left" vertical="center" wrapText="1"/>
    </xf>
    <xf numFmtId="0" fontId="41" fillId="0" borderId="13" xfId="65" applyFont="1" applyFill="1" applyBorder="1" applyAlignment="1">
      <alignment horizontal="left" vertical="center" wrapText="1"/>
    </xf>
    <xf numFmtId="188" fontId="41" fillId="0" borderId="12" xfId="65" applyNumberFormat="1" applyFont="1" applyBorder="1" applyAlignment="1">
      <alignment horizontal="center" vertical="center"/>
    </xf>
    <xf numFmtId="188" fontId="41" fillId="0" borderId="13" xfId="65" applyNumberFormat="1" applyFont="1" applyBorder="1" applyAlignment="1">
      <alignment horizontal="center" vertical="center"/>
    </xf>
    <xf numFmtId="0" fontId="64" fillId="0" borderId="80" xfId="194" applyNumberFormat="1" applyFont="1" applyFill="1" applyBorder="1" applyAlignment="1">
      <alignment horizontal="left" vertical="center" wrapText="1"/>
    </xf>
    <xf numFmtId="0" fontId="40" fillId="0" borderId="80" xfId="65" applyFont="1" applyBorder="1" applyAlignment="1">
      <alignment horizontal="left" vertical="center" wrapText="1"/>
    </xf>
    <xf numFmtId="0" fontId="65" fillId="0" borderId="12" xfId="194" applyNumberFormat="1" applyFont="1" applyFill="1" applyBorder="1" applyAlignment="1">
      <alignment horizontal="left" vertical="center" wrapText="1"/>
    </xf>
    <xf numFmtId="0" fontId="65" fillId="0" borderId="67" xfId="194" applyNumberFormat="1" applyFont="1" applyFill="1" applyBorder="1" applyAlignment="1">
      <alignment horizontal="left" vertical="center" wrapText="1"/>
    </xf>
    <xf numFmtId="0" fontId="65" fillId="0" borderId="12" xfId="194" applyNumberFormat="1" applyFont="1" applyFill="1" applyBorder="1" applyAlignment="1">
      <alignment horizontal="center" vertical="center"/>
    </xf>
    <xf numFmtId="0" fontId="65" fillId="0" borderId="13" xfId="194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0" fontId="65" fillId="0" borderId="12" xfId="194" applyNumberFormat="1" applyFont="1" applyFill="1" applyBorder="1" applyAlignment="1">
      <alignment horizontal="center" vertical="center"/>
    </xf>
    <xf numFmtId="190" fontId="65" fillId="0" borderId="13" xfId="194" applyNumberFormat="1" applyFont="1" applyFill="1" applyBorder="1" applyAlignment="1">
      <alignment horizontal="center" vertical="center"/>
    </xf>
    <xf numFmtId="0" fontId="41" fillId="0" borderId="12" xfId="65" applyFont="1" applyBorder="1" applyAlignment="1">
      <alignment horizontal="center" vertical="center"/>
    </xf>
    <xf numFmtId="0" fontId="41" fillId="0" borderId="13" xfId="65" applyFont="1" applyBorder="1" applyAlignment="1">
      <alignment horizontal="center" vertical="center"/>
    </xf>
    <xf numFmtId="0" fontId="65" fillId="0" borderId="67" xfId="194" applyNumberFormat="1" applyFont="1" applyFill="1" applyBorder="1" applyAlignment="1">
      <alignment horizontal="left" vertical="center"/>
    </xf>
    <xf numFmtId="0" fontId="65" fillId="0" borderId="68" xfId="194" applyNumberFormat="1" applyFont="1" applyFill="1" applyBorder="1" applyAlignment="1">
      <alignment horizontal="left" vertical="center"/>
    </xf>
    <xf numFmtId="0" fontId="41" fillId="0" borderId="19" xfId="65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1" fillId="0" borderId="10" xfId="6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90" fontId="65" fillId="0" borderId="12" xfId="196" applyNumberFormat="1" applyFont="1" applyBorder="1" applyAlignment="1">
      <alignment horizontal="center" vertical="center"/>
    </xf>
    <xf numFmtId="190" fontId="65" fillId="0" borderId="13" xfId="196" applyNumberFormat="1" applyFont="1" applyBorder="1" applyAlignment="1">
      <alignment horizontal="center" vertical="center"/>
    </xf>
    <xf numFmtId="0" fontId="65" fillId="0" borderId="12" xfId="196" applyNumberFormat="1" applyFont="1" applyFill="1" applyBorder="1" applyAlignment="1">
      <alignment horizontal="left" vertical="center" wrapText="1"/>
    </xf>
    <xf numFmtId="0" fontId="65" fillId="0" borderId="13" xfId="196" applyNumberFormat="1" applyFont="1" applyFill="1" applyBorder="1" applyAlignment="1">
      <alignment horizontal="left" vertical="center" wrapText="1"/>
    </xf>
    <xf numFmtId="190" fontId="65" fillId="0" borderId="12" xfId="194" applyNumberFormat="1" applyFont="1" applyBorder="1" applyAlignment="1">
      <alignment horizontal="center" vertical="center"/>
    </xf>
    <xf numFmtId="190" fontId="65" fillId="0" borderId="13" xfId="194" applyNumberFormat="1" applyFont="1" applyBorder="1" applyAlignment="1">
      <alignment horizontal="center" vertical="center"/>
    </xf>
    <xf numFmtId="2" fontId="41" fillId="0" borderId="12" xfId="65" applyNumberFormat="1" applyFont="1" applyBorder="1" applyAlignment="1">
      <alignment horizontal="center" vertical="center"/>
    </xf>
    <xf numFmtId="2" fontId="41" fillId="0" borderId="13" xfId="65" applyNumberFormat="1" applyFont="1" applyBorder="1" applyAlignment="1">
      <alignment horizontal="center" vertical="center"/>
    </xf>
    <xf numFmtId="0" fontId="41" fillId="0" borderId="68" xfId="65" applyFont="1" applyBorder="1" applyAlignment="1">
      <alignment horizontal="left" vertical="center" wrapText="1"/>
    </xf>
    <xf numFmtId="0" fontId="65" fillId="37" borderId="67" xfId="73" applyNumberFormat="1" applyFont="1" applyFill="1" applyBorder="1" applyAlignment="1">
      <alignment horizontal="left" vertical="center"/>
    </xf>
    <xf numFmtId="0" fontId="65" fillId="37" borderId="68" xfId="73" applyNumberFormat="1" applyFont="1" applyFill="1" applyBorder="1" applyAlignment="1">
      <alignment horizontal="left" vertical="center"/>
    </xf>
    <xf numFmtId="0" fontId="65" fillId="37" borderId="12" xfId="73" applyNumberFormat="1" applyFont="1" applyFill="1" applyBorder="1" applyAlignment="1">
      <alignment horizontal="left" vertical="center"/>
    </xf>
    <xf numFmtId="0" fontId="65" fillId="37" borderId="13" xfId="73" applyNumberFormat="1" applyFont="1" applyFill="1" applyBorder="1" applyAlignment="1">
      <alignment horizontal="left" vertical="center"/>
    </xf>
    <xf numFmtId="0" fontId="65" fillId="37" borderId="12" xfId="73" applyNumberFormat="1" applyFont="1" applyFill="1" applyBorder="1" applyAlignment="1">
      <alignment horizontal="center" vertical="center"/>
    </xf>
    <xf numFmtId="0" fontId="65" fillId="37" borderId="13" xfId="73" applyNumberFormat="1" applyFont="1" applyFill="1" applyBorder="1" applyAlignment="1">
      <alignment horizontal="center" vertical="center"/>
    </xf>
    <xf numFmtId="190" fontId="65" fillId="37" borderId="12" xfId="73" applyNumberFormat="1" applyFont="1" applyFill="1" applyBorder="1" applyAlignment="1">
      <alignment horizontal="center" vertical="center"/>
    </xf>
    <xf numFmtId="190" fontId="65" fillId="37" borderId="13" xfId="73" applyNumberFormat="1" applyFont="1" applyFill="1" applyBorder="1" applyAlignment="1">
      <alignment horizontal="center" vertical="center"/>
    </xf>
    <xf numFmtId="0" fontId="21" fillId="0" borderId="39" xfId="0" applyNumberFormat="1" applyFont="1" applyBorder="1" applyAlignment="1">
      <alignment horizontal="left" vertical="center"/>
    </xf>
    <xf numFmtId="0" fontId="21" fillId="0" borderId="13" xfId="0" applyNumberFormat="1" applyFont="1" applyBorder="1" applyAlignment="1">
      <alignment horizontal="left" vertical="center"/>
    </xf>
    <xf numFmtId="0" fontId="21" fillId="0" borderId="66" xfId="0" applyNumberFormat="1" applyFont="1" applyBorder="1" applyAlignment="1">
      <alignment horizontal="left" vertical="center"/>
    </xf>
    <xf numFmtId="0" fontId="21" fillId="0" borderId="39" xfId="0" applyNumberFormat="1" applyFont="1" applyBorder="1" applyAlignment="1">
      <alignment horizontal="center" vertical="center"/>
    </xf>
    <xf numFmtId="189" fontId="21" fillId="0" borderId="12" xfId="0" applyNumberFormat="1" applyFont="1" applyBorder="1" applyAlignment="1">
      <alignment horizontal="center" vertical="center"/>
    </xf>
    <xf numFmtId="189" fontId="21" fillId="0" borderId="13" xfId="0" applyNumberFormat="1" applyFont="1" applyBorder="1" applyAlignment="1">
      <alignment horizontal="center" vertical="center"/>
    </xf>
    <xf numFmtId="0" fontId="65" fillId="0" borderId="12" xfId="196" applyNumberFormat="1" applyFont="1" applyBorder="1" applyAlignment="1">
      <alignment horizontal="left" vertical="center" wrapText="1"/>
    </xf>
    <xf numFmtId="0" fontId="65" fillId="0" borderId="13" xfId="196" applyNumberFormat="1" applyFont="1" applyBorder="1" applyAlignment="1">
      <alignment horizontal="left" vertical="center" wrapText="1"/>
    </xf>
    <xf numFmtId="0" fontId="65" fillId="0" borderId="67" xfId="196" applyNumberFormat="1" applyFont="1" applyBorder="1" applyAlignment="1">
      <alignment horizontal="left" vertical="center"/>
    </xf>
    <xf numFmtId="0" fontId="65" fillId="0" borderId="68" xfId="196" applyNumberFormat="1" applyFont="1" applyBorder="1" applyAlignment="1">
      <alignment horizontal="left" vertical="center"/>
    </xf>
    <xf numFmtId="0" fontId="65" fillId="0" borderId="12" xfId="196" applyNumberFormat="1" applyFont="1" applyBorder="1" applyAlignment="1">
      <alignment horizontal="center" vertical="center"/>
    </xf>
    <xf numFmtId="0" fontId="65" fillId="0" borderId="13" xfId="196" applyNumberFormat="1" applyFont="1" applyBorder="1" applyAlignment="1">
      <alignment horizontal="center" vertical="center"/>
    </xf>
    <xf numFmtId="0" fontId="65" fillId="0" borderId="67" xfId="196" applyNumberFormat="1" applyFont="1" applyFill="1" applyBorder="1" applyAlignment="1">
      <alignment horizontal="left" vertical="center"/>
    </xf>
    <xf numFmtId="0" fontId="65" fillId="0" borderId="68" xfId="196" applyNumberFormat="1" applyFont="1" applyFill="1" applyBorder="1" applyAlignment="1">
      <alignment horizontal="left" vertical="center"/>
    </xf>
    <xf numFmtId="0" fontId="64" fillId="37" borderId="80" xfId="0" applyNumberFormat="1" applyFont="1" applyFill="1" applyBorder="1" applyAlignment="1">
      <alignment horizontal="left" vertical="center" wrapText="1"/>
    </xf>
    <xf numFmtId="0" fontId="65" fillId="37" borderId="12" xfId="73" applyNumberFormat="1" applyFont="1" applyFill="1" applyBorder="1" applyAlignment="1">
      <alignment horizontal="left" vertical="center" wrapText="1"/>
    </xf>
    <xf numFmtId="0" fontId="65" fillId="37" borderId="13" xfId="73" applyNumberFormat="1" applyFont="1" applyFill="1" applyBorder="1" applyAlignment="1">
      <alignment horizontal="left" vertical="center" wrapText="1"/>
    </xf>
    <xf numFmtId="0" fontId="75" fillId="36" borderId="0" xfId="0" applyNumberFormat="1" applyFont="1" applyFill="1"/>
    <xf numFmtId="0" fontId="1" fillId="36" borderId="0" xfId="0" applyNumberFormat="1" applyFont="1" applyFill="1"/>
    <xf numFmtId="0" fontId="21" fillId="0" borderId="67" xfId="0" applyNumberFormat="1" applyFont="1" applyBorder="1" applyAlignment="1">
      <alignment horizontal="left" vertical="center" wrapText="1"/>
    </xf>
    <xf numFmtId="0" fontId="21" fillId="0" borderId="68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64" fillId="0" borderId="0" xfId="194" applyNumberFormat="1" applyFont="1"/>
    <xf numFmtId="0" fontId="65" fillId="0" borderId="0" xfId="194" applyNumberFormat="1" applyFont="1"/>
    <xf numFmtId="0" fontId="41" fillId="0" borderId="12" xfId="65" applyFont="1" applyFill="1" applyBorder="1" applyAlignment="1">
      <alignment horizontal="center" vertical="center"/>
    </xf>
    <xf numFmtId="0" fontId="41" fillId="0" borderId="13" xfId="65" applyFont="1" applyFill="1" applyBorder="1" applyAlignment="1">
      <alignment horizontal="center" vertical="center"/>
    </xf>
    <xf numFmtId="183" fontId="41" fillId="0" borderId="10" xfId="65" applyNumberFormat="1" applyFont="1" applyBorder="1" applyAlignment="1">
      <alignment horizontal="center" vertical="center"/>
    </xf>
    <xf numFmtId="0" fontId="21" fillId="0" borderId="67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65" fillId="0" borderId="13" xfId="194" applyNumberFormat="1" applyFont="1" applyFill="1" applyBorder="1" applyAlignment="1">
      <alignment horizontal="left" vertical="center" wrapText="1"/>
    </xf>
    <xf numFmtId="0" fontId="40" fillId="0" borderId="80" xfId="65" applyFont="1" applyFill="1" applyBorder="1" applyAlignment="1">
      <alignment horizontal="left" vertical="center" wrapText="1"/>
    </xf>
    <xf numFmtId="0" fontId="41" fillId="0" borderId="19" xfId="65" applyFont="1" applyFill="1" applyBorder="1" applyAlignment="1">
      <alignment horizontal="left" vertical="center"/>
    </xf>
    <xf numFmtId="0" fontId="64" fillId="0" borderId="0" xfId="0" applyNumberFormat="1" applyFont="1" applyAlignment="1">
      <alignment horizontal="left" vertical="center" wrapText="1"/>
    </xf>
    <xf numFmtId="0" fontId="64" fillId="0" borderId="0" xfId="0" applyNumberFormat="1" applyFont="1"/>
    <xf numFmtId="0" fontId="21" fillId="0" borderId="0" xfId="0" applyNumberFormat="1" applyFont="1"/>
    <xf numFmtId="189" fontId="65" fillId="0" borderId="12" xfId="196" applyNumberFormat="1" applyFont="1" applyBorder="1" applyAlignment="1">
      <alignment horizontal="center" vertical="center"/>
    </xf>
    <xf numFmtId="189" fontId="65" fillId="0" borderId="13" xfId="196" applyNumberFormat="1" applyFont="1" applyBorder="1" applyAlignment="1">
      <alignment horizontal="center" vertical="center"/>
    </xf>
    <xf numFmtId="0" fontId="21" fillId="0" borderId="67" xfId="0" applyNumberFormat="1" applyFont="1" applyFill="1" applyBorder="1" applyAlignment="1">
      <alignment horizontal="left" vertical="center"/>
    </xf>
    <xf numFmtId="0" fontId="21" fillId="0" borderId="68" xfId="0" applyNumberFormat="1" applyFont="1" applyFill="1" applyBorder="1" applyAlignment="1">
      <alignment horizontal="left" vertical="center"/>
    </xf>
    <xf numFmtId="190" fontId="21" fillId="0" borderId="39" xfId="0" applyNumberFormat="1" applyFont="1" applyBorder="1" applyAlignment="1">
      <alignment horizontal="center" vertical="center"/>
    </xf>
    <xf numFmtId="183" fontId="65" fillId="0" borderId="12" xfId="194" applyNumberFormat="1" applyFont="1" applyFill="1" applyBorder="1" applyAlignment="1">
      <alignment horizontal="center" vertical="center"/>
    </xf>
    <xf numFmtId="183" fontId="65" fillId="0" borderId="13" xfId="194" applyNumberFormat="1" applyFont="1" applyFill="1" applyBorder="1" applyAlignment="1">
      <alignment horizontal="center" vertical="center"/>
    </xf>
    <xf numFmtId="190" fontId="41" fillId="0" borderId="12" xfId="65" applyNumberFormat="1" applyFont="1" applyFill="1" applyBorder="1" applyAlignment="1">
      <alignment horizontal="center" vertical="center"/>
    </xf>
    <xf numFmtId="190" fontId="41" fillId="0" borderId="13" xfId="65" applyNumberFormat="1" applyFont="1" applyFill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5" fillId="0" borderId="10" xfId="194" applyNumberFormat="1" applyFont="1" applyBorder="1" applyAlignment="1">
      <alignment horizontal="left" vertical="center" wrapText="1"/>
    </xf>
    <xf numFmtId="0" fontId="65" fillId="0" borderId="19" xfId="194" applyNumberFormat="1" applyFont="1" applyBorder="1" applyAlignment="1">
      <alignment horizontal="left" vertical="center"/>
    </xf>
    <xf numFmtId="0" fontId="65" fillId="0" borderId="10" xfId="194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8" fontId="65" fillId="0" borderId="10" xfId="194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183" fontId="21" fillId="0" borderId="12" xfId="0" applyNumberFormat="1" applyFont="1" applyBorder="1" applyAlignment="1">
      <alignment horizontal="center" vertical="center"/>
    </xf>
    <xf numFmtId="183" fontId="21" fillId="0" borderId="13" xfId="0" applyNumberFormat="1" applyFont="1" applyBorder="1" applyAlignment="1">
      <alignment horizontal="center" vertical="center"/>
    </xf>
    <xf numFmtId="0" fontId="65" fillId="0" borderId="67" xfId="194" applyNumberFormat="1" applyFont="1" applyBorder="1" applyAlignment="1">
      <alignment horizontal="left" vertical="center" wrapText="1"/>
    </xf>
    <xf numFmtId="0" fontId="65" fillId="0" borderId="10" xfId="194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2" fontId="65" fillId="0" borderId="12" xfId="194" applyNumberFormat="1" applyFont="1" applyBorder="1" applyAlignment="1">
      <alignment horizontal="center" vertical="center"/>
    </xf>
    <xf numFmtId="2" fontId="65" fillId="0" borderId="13" xfId="194" applyNumberFormat="1" applyFont="1" applyBorder="1" applyAlignment="1">
      <alignment horizontal="center" vertical="center"/>
    </xf>
    <xf numFmtId="0" fontId="65" fillId="0" borderId="12" xfId="194" applyNumberFormat="1" applyFont="1" applyBorder="1" applyAlignment="1">
      <alignment horizontal="center" vertical="center" wrapText="1"/>
    </xf>
    <xf numFmtId="0" fontId="64" fillId="0" borderId="80" xfId="0" applyNumberFormat="1" applyFont="1" applyBorder="1" applyAlignment="1">
      <alignment horizontal="left" vertical="top" wrapText="1"/>
    </xf>
    <xf numFmtId="0" fontId="65" fillId="0" borderId="19" xfId="196" applyNumberFormat="1" applyFont="1" applyBorder="1" applyAlignment="1">
      <alignment horizontal="left" vertical="center"/>
    </xf>
    <xf numFmtId="0" fontId="65" fillId="0" borderId="10" xfId="196" applyNumberFormat="1" applyFont="1" applyBorder="1" applyAlignment="1">
      <alignment horizontal="center" vertical="center" wrapText="1"/>
    </xf>
    <xf numFmtId="190" fontId="21" fillId="0" borderId="12" xfId="0" applyNumberFormat="1" applyFont="1" applyBorder="1" applyAlignment="1">
      <alignment horizontal="center" vertical="center" wrapText="1"/>
    </xf>
    <xf numFmtId="190" fontId="0" fillId="0" borderId="13" xfId="0" applyNumberFormat="1" applyBorder="1" applyAlignment="1">
      <alignment horizontal="center" vertical="center" wrapText="1"/>
    </xf>
    <xf numFmtId="0" fontId="64" fillId="0" borderId="80" xfId="196" applyNumberFormat="1" applyFont="1" applyBorder="1" applyAlignment="1">
      <alignment horizontal="left" vertical="center" wrapText="1"/>
    </xf>
    <xf numFmtId="0" fontId="40" fillId="0" borderId="0" xfId="65" applyFont="1" applyAlignment="1">
      <alignment horizontal="left" vertical="center" wrapText="1"/>
    </xf>
    <xf numFmtId="4" fontId="41" fillId="0" borderId="12" xfId="65" applyNumberFormat="1" applyFont="1" applyBorder="1" applyAlignment="1">
      <alignment horizontal="center" vertical="center"/>
    </xf>
    <xf numFmtId="4" fontId="41" fillId="0" borderId="13" xfId="65" applyNumberFormat="1" applyFont="1" applyBorder="1" applyAlignment="1">
      <alignment horizontal="center" vertical="center"/>
    </xf>
    <xf numFmtId="190" fontId="41" fillId="0" borderId="12" xfId="65" applyNumberFormat="1" applyFont="1" applyBorder="1" applyAlignment="1">
      <alignment horizontal="center" vertical="center" wrapText="1"/>
    </xf>
    <xf numFmtId="190" fontId="41" fillId="0" borderId="13" xfId="65" applyNumberFormat="1" applyFont="1" applyBorder="1" applyAlignment="1">
      <alignment horizontal="center" vertical="center" wrapText="1"/>
    </xf>
    <xf numFmtId="183" fontId="41" fillId="0" borderId="12" xfId="65" applyNumberFormat="1" applyFont="1" applyBorder="1" applyAlignment="1">
      <alignment horizontal="center" vertical="center" wrapText="1"/>
    </xf>
    <xf numFmtId="183" fontId="41" fillId="0" borderId="13" xfId="65" applyNumberFormat="1" applyFont="1" applyBorder="1" applyAlignment="1">
      <alignment horizontal="center" vertical="center" wrapText="1"/>
    </xf>
    <xf numFmtId="4" fontId="41" fillId="0" borderId="12" xfId="65" applyNumberFormat="1" applyFont="1" applyBorder="1" applyAlignment="1">
      <alignment horizontal="center" vertical="center" wrapText="1"/>
    </xf>
    <xf numFmtId="0" fontId="40" fillId="0" borderId="0" xfId="65" applyFont="1" applyFill="1" applyAlignment="1">
      <alignment horizontal="left" vertical="center" wrapText="1"/>
    </xf>
    <xf numFmtId="0" fontId="0" fillId="0" borderId="97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0" xfId="0" applyBorder="1" applyAlignment="1">
      <alignment horizontal="center"/>
    </xf>
    <xf numFmtId="2" fontId="0" fillId="45" borderId="0" xfId="0" applyNumberFormat="1" applyFill="1" applyAlignment="1">
      <alignment horizontal="right" vertical="center"/>
    </xf>
    <xf numFmtId="0" fontId="42" fillId="0" borderId="47" xfId="151" applyFont="1" applyFill="1" applyBorder="1" applyAlignment="1">
      <alignment horizontal="center" vertical="center" wrapText="1"/>
    </xf>
    <xf numFmtId="0" fontId="42" fillId="0" borderId="15" xfId="151" applyFont="1" applyFill="1" applyBorder="1" applyAlignment="1">
      <alignment horizontal="center" vertical="center" wrapText="1"/>
    </xf>
    <xf numFmtId="0" fontId="42" fillId="0" borderId="48" xfId="151" applyFont="1" applyFill="1" applyBorder="1" applyAlignment="1">
      <alignment horizontal="center" vertical="center" wrapText="1"/>
    </xf>
    <xf numFmtId="0" fontId="43" fillId="0" borderId="52" xfId="151" applyFont="1" applyFill="1" applyBorder="1" applyAlignment="1">
      <alignment horizontal="center" vertical="center" wrapText="1"/>
    </xf>
    <xf numFmtId="0" fontId="43" fillId="0" borderId="53" xfId="151" applyFont="1" applyFill="1" applyBorder="1" applyAlignment="1">
      <alignment horizontal="center" vertical="center" wrapText="1"/>
    </xf>
    <xf numFmtId="0" fontId="43" fillId="0" borderId="54" xfId="151" applyFont="1" applyFill="1" applyBorder="1" applyAlignment="1">
      <alignment horizontal="center" vertical="center" wrapText="1"/>
    </xf>
    <xf numFmtId="0" fontId="43" fillId="0" borderId="55" xfId="151" applyFont="1" applyFill="1" applyBorder="1" applyAlignment="1">
      <alignment horizontal="center" vertical="center" wrapText="1"/>
    </xf>
    <xf numFmtId="0" fontId="42" fillId="0" borderId="16" xfId="151" applyFont="1" applyFill="1" applyBorder="1" applyAlignment="1">
      <alignment horizontal="center" vertical="center"/>
    </xf>
    <xf numFmtId="0" fontId="42" fillId="0" borderId="17" xfId="151" applyFont="1" applyFill="1" applyBorder="1" applyAlignment="1">
      <alignment horizontal="center" vertical="center"/>
    </xf>
    <xf numFmtId="0" fontId="42" fillId="0" borderId="49" xfId="151" applyFont="1" applyFill="1" applyBorder="1" applyAlignment="1">
      <alignment horizontal="center" vertical="center"/>
    </xf>
    <xf numFmtId="4" fontId="40" fillId="0" borderId="44" xfId="151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41" fillId="0" borderId="43" xfId="151" applyFont="1" applyFill="1" applyBorder="1" applyAlignment="1">
      <alignment horizontal="center" vertical="center"/>
    </xf>
    <xf numFmtId="0" fontId="41" fillId="0" borderId="46" xfId="151" applyFont="1" applyFill="1" applyBorder="1" applyAlignment="1">
      <alignment horizontal="center" vertical="center"/>
    </xf>
    <xf numFmtId="0" fontId="82" fillId="0" borderId="43" xfId="151" applyFont="1" applyFill="1" applyBorder="1" applyAlignment="1">
      <alignment horizontal="center" vertical="center" wrapText="1"/>
    </xf>
    <xf numFmtId="0" fontId="82" fillId="0" borderId="46" xfId="151" applyFont="1" applyFill="1" applyBorder="1" applyAlignment="1">
      <alignment horizontal="center" vertical="center" wrapText="1"/>
    </xf>
    <xf numFmtId="4" fontId="41" fillId="0" borderId="44" xfId="151" applyNumberFormat="1" applyFont="1" applyFill="1" applyBorder="1" applyAlignment="1">
      <alignment horizontal="center" vertical="center" wrapText="1"/>
    </xf>
    <xf numFmtId="172" fontId="41" fillId="0" borderId="43" xfId="151" applyNumberFormat="1" applyFont="1" applyFill="1" applyBorder="1" applyAlignment="1">
      <alignment horizontal="center" vertical="center" wrapText="1"/>
    </xf>
    <xf numFmtId="0" fontId="70" fillId="36" borderId="92" xfId="0" applyFont="1" applyFill="1" applyBorder="1" applyAlignment="1">
      <alignment horizontal="center" vertical="center"/>
    </xf>
    <xf numFmtId="0" fontId="70" fillId="36" borderId="93" xfId="0" applyFont="1" applyFill="1" applyBorder="1" applyAlignment="1">
      <alignment horizontal="center" vertical="center"/>
    </xf>
    <xf numFmtId="0" fontId="70" fillId="36" borderId="93" xfId="0" applyFont="1" applyFill="1" applyBorder="1" applyAlignment="1">
      <alignment horizontal="center" vertical="center" wrapText="1"/>
    </xf>
    <xf numFmtId="4" fontId="70" fillId="36" borderId="96" xfId="0" applyNumberFormat="1" applyFont="1" applyFill="1" applyBorder="1" applyAlignment="1">
      <alignment horizontal="center" vertical="center" wrapText="1"/>
    </xf>
    <xf numFmtId="4" fontId="70" fillId="36" borderId="15" xfId="0" applyNumberFormat="1" applyFont="1" applyFill="1" applyBorder="1" applyAlignment="1">
      <alignment horizontal="center" vertical="center" wrapText="1"/>
    </xf>
    <xf numFmtId="4" fontId="70" fillId="36" borderId="95" xfId="0" applyNumberFormat="1" applyFont="1" applyFill="1" applyBorder="1" applyAlignment="1">
      <alignment horizontal="center" vertical="center" wrapText="1"/>
    </xf>
    <xf numFmtId="4" fontId="70" fillId="36" borderId="94" xfId="0" applyNumberFormat="1" applyFont="1" applyFill="1" applyBorder="1" applyAlignment="1">
      <alignment horizontal="center" vertical="center"/>
    </xf>
    <xf numFmtId="0" fontId="70" fillId="36" borderId="69" xfId="0" applyFont="1" applyFill="1" applyBorder="1" applyAlignment="1">
      <alignment horizontal="center" vertical="center"/>
    </xf>
    <xf numFmtId="0" fontId="70" fillId="36" borderId="70" xfId="0" applyFont="1" applyFill="1" applyBorder="1" applyAlignment="1">
      <alignment horizontal="center" vertical="center"/>
    </xf>
    <xf numFmtId="4" fontId="70" fillId="36" borderId="91" xfId="0" applyNumberFormat="1" applyFont="1" applyFill="1" applyBorder="1" applyAlignment="1">
      <alignment horizontal="center" vertical="center"/>
    </xf>
    <xf numFmtId="4" fontId="70" fillId="36" borderId="71" xfId="0" applyNumberFormat="1" applyFont="1" applyFill="1" applyBorder="1" applyAlignment="1">
      <alignment horizontal="center" vertical="center"/>
    </xf>
    <xf numFmtId="0" fontId="70" fillId="0" borderId="70" xfId="0" applyFont="1" applyBorder="1" applyAlignment="1">
      <alignment horizontal="center" vertical="center" wrapText="1"/>
    </xf>
    <xf numFmtId="196" fontId="70" fillId="36" borderId="93" xfId="43" applyNumberFormat="1" applyFont="1" applyFill="1" applyBorder="1" applyAlignment="1">
      <alignment horizontal="center" vertical="center" wrapText="1"/>
    </xf>
    <xf numFmtId="4" fontId="70" fillId="36" borderId="93" xfId="0" applyNumberFormat="1" applyFont="1" applyFill="1" applyBorder="1" applyAlignment="1">
      <alignment horizontal="center" vertical="center" wrapText="1"/>
    </xf>
    <xf numFmtId="196" fontId="70" fillId="36" borderId="70" xfId="43" applyNumberFormat="1" applyFont="1" applyFill="1" applyBorder="1" applyAlignment="1">
      <alignment horizontal="center" vertical="center" wrapText="1"/>
    </xf>
    <xf numFmtId="4" fontId="70" fillId="36" borderId="70" xfId="0" applyNumberFormat="1" applyFont="1" applyFill="1" applyBorder="1" applyAlignment="1">
      <alignment horizontal="center" vertical="center" wrapText="1"/>
    </xf>
    <xf numFmtId="0" fontId="94" fillId="0" borderId="0" xfId="0" applyFont="1" applyFill="1"/>
    <xf numFmtId="0" fontId="94" fillId="0" borderId="0" xfId="0" applyFont="1" applyFill="1" applyBorder="1"/>
    <xf numFmtId="10" fontId="95" fillId="37" borderId="46" xfId="0" applyNumberFormat="1" applyFont="1" applyFill="1" applyBorder="1" applyAlignment="1">
      <alignment horizontal="center" vertical="center"/>
    </xf>
    <xf numFmtId="44" fontId="94" fillId="37" borderId="44" xfId="0" applyNumberFormat="1" applyFont="1" applyFill="1" applyBorder="1" applyAlignment="1">
      <alignment horizontal="center" vertical="top"/>
    </xf>
    <xf numFmtId="0" fontId="95" fillId="37" borderId="55" xfId="0" applyFont="1" applyFill="1" applyBorder="1" applyAlignment="1">
      <alignment vertical="top"/>
    </xf>
    <xf numFmtId="0" fontId="95" fillId="37" borderId="17" xfId="0" applyFont="1" applyFill="1" applyBorder="1" applyAlignment="1">
      <alignment vertical="top"/>
    </xf>
    <xf numFmtId="0" fontId="95" fillId="37" borderId="16" xfId="0" applyFont="1" applyFill="1" applyBorder="1" applyAlignment="1">
      <alignment vertical="top"/>
    </xf>
    <xf numFmtId="0" fontId="95" fillId="37" borderId="44" xfId="0" applyFont="1" applyFill="1" applyBorder="1"/>
    <xf numFmtId="0" fontId="95" fillId="37" borderId="59" xfId="0" applyFont="1" applyFill="1" applyBorder="1" applyAlignment="1">
      <alignment vertical="top"/>
    </xf>
    <xf numFmtId="0" fontId="95" fillId="37" borderId="0" xfId="0" applyFont="1" applyFill="1" applyBorder="1" applyAlignment="1">
      <alignment vertical="top"/>
    </xf>
    <xf numFmtId="0" fontId="95" fillId="37" borderId="45" xfId="0" applyFont="1" applyFill="1" applyBorder="1" applyAlignment="1">
      <alignment vertical="top"/>
    </xf>
    <xf numFmtId="7" fontId="95" fillId="0" borderId="43" xfId="0" applyNumberFormat="1" applyFont="1" applyFill="1" applyBorder="1" applyAlignment="1">
      <alignment horizontal="center"/>
    </xf>
    <xf numFmtId="0" fontId="95" fillId="37" borderId="53" xfId="0" applyFont="1" applyFill="1" applyBorder="1" applyAlignment="1">
      <alignment vertical="top"/>
    </xf>
    <xf numFmtId="0" fontId="95" fillId="37" borderId="15" xfId="0" applyFont="1" applyFill="1" applyBorder="1" applyAlignment="1">
      <alignment vertical="top"/>
    </xf>
    <xf numFmtId="0" fontId="95" fillId="37" borderId="47" xfId="0" applyFont="1" applyFill="1" applyBorder="1" applyAlignment="1">
      <alignment vertical="top"/>
    </xf>
    <xf numFmtId="10" fontId="94" fillId="37" borderId="0" xfId="0" applyNumberFormat="1" applyFont="1" applyFill="1" applyBorder="1" applyAlignment="1">
      <alignment horizontal="center"/>
    </xf>
    <xf numFmtId="44" fontId="94" fillId="37" borderId="0" xfId="0" applyNumberFormat="1" applyFont="1" applyFill="1" applyBorder="1" applyAlignment="1">
      <alignment horizontal="center" vertical="top"/>
    </xf>
    <xf numFmtId="44" fontId="94" fillId="37" borderId="0" xfId="0" applyNumberFormat="1" applyFont="1" applyFill="1" applyAlignment="1">
      <alignment horizontal="center" vertical="top"/>
    </xf>
    <xf numFmtId="0" fontId="94" fillId="37" borderId="0" xfId="0" applyFont="1" applyFill="1" applyAlignment="1">
      <alignment horizontal="left" vertical="top"/>
    </xf>
    <xf numFmtId="0" fontId="94" fillId="37" borderId="0" xfId="0" applyFont="1" applyFill="1" applyAlignment="1">
      <alignment horizontal="center" vertical="top"/>
    </xf>
    <xf numFmtId="0" fontId="94" fillId="37" borderId="44" xfId="0" applyFont="1" applyFill="1" applyBorder="1"/>
    <xf numFmtId="7" fontId="95" fillId="0" borderId="11" xfId="0" applyNumberFormat="1" applyFont="1" applyFill="1" applyBorder="1" applyAlignment="1">
      <alignment horizontal="center"/>
    </xf>
    <xf numFmtId="44" fontId="95" fillId="0" borderId="11" xfId="0" applyNumberFormat="1" applyFont="1" applyFill="1" applyBorder="1" applyAlignment="1">
      <alignment horizontal="center"/>
    </xf>
    <xf numFmtId="0" fontId="95" fillId="0" borderId="42" xfId="0" applyFont="1" applyFill="1" applyBorder="1" applyAlignment="1">
      <alignment horizontal="left"/>
    </xf>
    <xf numFmtId="0" fontId="95" fillId="0" borderId="41" xfId="0" applyFont="1" applyFill="1" applyBorder="1" applyAlignment="1">
      <alignment horizontal="left"/>
    </xf>
    <xf numFmtId="10" fontId="94" fillId="0" borderId="46" xfId="0" applyNumberFormat="1" applyFont="1" applyFill="1" applyBorder="1" applyAlignment="1">
      <alignment horizontal="center" vertical="center"/>
    </xf>
    <xf numFmtId="44" fontId="94" fillId="0" borderId="44" xfId="0" applyNumberFormat="1" applyFont="1" applyFill="1" applyBorder="1" applyAlignment="1">
      <alignment horizontal="center" vertical="top"/>
    </xf>
    <xf numFmtId="44" fontId="94" fillId="0" borderId="46" xfId="0" applyNumberFormat="1" applyFont="1" applyFill="1" applyBorder="1" applyAlignment="1">
      <alignment horizontal="center" vertical="top"/>
    </xf>
    <xf numFmtId="0" fontId="94" fillId="0" borderId="46" xfId="0" applyFont="1" applyFill="1" applyBorder="1" applyAlignment="1">
      <alignment horizontal="left" vertical="top"/>
    </xf>
    <xf numFmtId="0" fontId="94" fillId="0" borderId="46" xfId="0" applyFont="1" applyFill="1" applyBorder="1" applyAlignment="1">
      <alignment horizontal="center" vertical="top"/>
    </xf>
    <xf numFmtId="0" fontId="94" fillId="0" borderId="44" xfId="0" applyFont="1" applyFill="1" applyBorder="1"/>
    <xf numFmtId="44" fontId="94" fillId="0" borderId="44" xfId="0" applyNumberFormat="1" applyFont="1" applyFill="1" applyBorder="1" applyAlignment="1">
      <alignment horizontal="center" vertical="top"/>
    </xf>
    <xf numFmtId="0" fontId="94" fillId="0" borderId="44" xfId="0" applyFont="1" applyFill="1" applyBorder="1" applyAlignment="1">
      <alignment horizontal="left" vertical="top"/>
    </xf>
    <xf numFmtId="0" fontId="94" fillId="0" borderId="44" xfId="0" applyFont="1" applyFill="1" applyBorder="1" applyAlignment="1">
      <alignment horizontal="center" vertical="top"/>
    </xf>
    <xf numFmtId="7" fontId="94" fillId="0" borderId="43" xfId="0" applyNumberFormat="1" applyFont="1" applyFill="1" applyBorder="1" applyAlignment="1">
      <alignment horizontal="center" vertical="center"/>
    </xf>
    <xf numFmtId="44" fontId="94" fillId="0" borderId="43" xfId="0" applyNumberFormat="1" applyFont="1" applyFill="1" applyBorder="1" applyAlignment="1">
      <alignment horizontal="center" vertical="top"/>
    </xf>
    <xf numFmtId="0" fontId="94" fillId="0" borderId="43" xfId="0" applyFont="1" applyFill="1" applyBorder="1" applyAlignment="1">
      <alignment horizontal="left" vertical="top"/>
    </xf>
    <xf numFmtId="0" fontId="94" fillId="0" borderId="43" xfId="0" applyFont="1" applyFill="1" applyBorder="1" applyAlignment="1">
      <alignment horizontal="center" vertical="top"/>
    </xf>
    <xf numFmtId="0" fontId="96" fillId="47" borderId="11" xfId="0" applyFont="1" applyFill="1" applyBorder="1" applyAlignment="1">
      <alignment horizontal="center"/>
    </xf>
  </cellXfs>
  <cellStyles count="198">
    <cellStyle name="12" xfId="49"/>
    <cellStyle name="12 2" xfId="50"/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ABEÇALHO" xfId="153"/>
    <cellStyle name="Cabeçalho 1" xfId="154"/>
    <cellStyle name="Cabeçalho 2" xfId="155"/>
    <cellStyle name="Cálculo" xfId="11" builtinId="22" customBuiltin="1"/>
    <cellStyle name="Célula de Verificação" xfId="13" builtinId="23" customBuiltin="1"/>
    <cellStyle name="Célula Vinculada" xfId="12" builtinId="24" customBuiltin="1"/>
    <cellStyle name="Comma" xfId="156"/>
    <cellStyle name="Comma0" xfId="157"/>
    <cellStyle name="Currency" xfId="158"/>
    <cellStyle name="Currency0" xfId="159"/>
    <cellStyle name="Data" xfId="160"/>
    <cellStyle name="Date" xfId="16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Estilo 1" xfId="51"/>
    <cellStyle name="Euro" xfId="52"/>
    <cellStyle name="Euro 2" xfId="53"/>
    <cellStyle name="Fixed" xfId="162"/>
    <cellStyle name="Fixo" xfId="163"/>
    <cellStyle name="Heading 1" xfId="164"/>
    <cellStyle name="Heading 2" xfId="165"/>
    <cellStyle name="Hiperlink" xfId="197" builtinId="8"/>
    <cellStyle name="Hyperlink 2" xfId="166"/>
    <cellStyle name="Incorreto" xfId="7" builtinId="27" customBuiltin="1"/>
    <cellStyle name="Indefinido" xfId="54"/>
    <cellStyle name="Moeda 2" xfId="55"/>
    <cellStyle name="Moeda 2 2" xfId="56"/>
    <cellStyle name="Moeda 3" xfId="57"/>
    <cellStyle name="Moeda 3 2" xfId="58"/>
    <cellStyle name="Moeda 4" xfId="59"/>
    <cellStyle name="Moeda 4 2" xfId="60"/>
    <cellStyle name="Moeda 5" xfId="61"/>
    <cellStyle name="Moeda 5 2" xfId="62"/>
    <cellStyle name="Moeda0" xfId="167"/>
    <cellStyle name="Moneda [0]_Caixa_exterior" xfId="168"/>
    <cellStyle name="Moneda_Caixa_exterior" xfId="169"/>
    <cellStyle name="Neutra" xfId="8" builtinId="28" customBuiltin="1"/>
    <cellStyle name="Normal" xfId="0" builtinId="0"/>
    <cellStyle name="Normal 10" xfId="63"/>
    <cellStyle name="Normal 11" xfId="170"/>
    <cellStyle name="Normal 12" xfId="194"/>
    <cellStyle name="Normal 13" xfId="47"/>
    <cellStyle name="Normal 13 2" xfId="64"/>
    <cellStyle name="Normal 14" xfId="195"/>
    <cellStyle name="Normal 15" xfId="196"/>
    <cellStyle name="Normal 2" xfId="44"/>
    <cellStyle name="Normal 2 2" xfId="65"/>
    <cellStyle name="Normal 2 2 2" xfId="66"/>
    <cellStyle name="Normal 2 3" xfId="67"/>
    <cellStyle name="Normal 2 4" xfId="68"/>
    <cellStyle name="Normal 2 5" xfId="151"/>
    <cellStyle name="Normal 3" xfId="69"/>
    <cellStyle name="Normal 3 2" xfId="70"/>
    <cellStyle name="Normal 3 2 2" xfId="171"/>
    <cellStyle name="Normal 3 3" xfId="71"/>
    <cellStyle name="Normal 3 4" xfId="72"/>
    <cellStyle name="Normal 3 5" xfId="172"/>
    <cellStyle name="Normal 4" xfId="73"/>
    <cellStyle name="Normal 4 2" xfId="74"/>
    <cellStyle name="Normal 4 3" xfId="75"/>
    <cellStyle name="Normal 5" xfId="76"/>
    <cellStyle name="Normal 5 2" xfId="77"/>
    <cellStyle name="Normal 6" xfId="46"/>
    <cellStyle name="Normal 6 2" xfId="48"/>
    <cellStyle name="Normal 7" xfId="78"/>
    <cellStyle name="Normal 7 2" xfId="173"/>
    <cellStyle name="Normal 8" xfId="79"/>
    <cellStyle name="Normal 8 2" xfId="174"/>
    <cellStyle name="Normal 9" xfId="148"/>
    <cellStyle name="Nota" xfId="15" builtinId="10" customBuiltin="1"/>
    <cellStyle name="Nota 2" xfId="80"/>
    <cellStyle name="Percent" xfId="175"/>
    <cellStyle name="Percentual" xfId="176"/>
    <cellStyle name="Ponto" xfId="177"/>
    <cellStyle name="Porcentagem" xfId="147" builtinId="5"/>
    <cellStyle name="Porcentagem 2" xfId="81"/>
    <cellStyle name="Porcentagem 2 2" xfId="82"/>
    <cellStyle name="Porcentagem 2 2 2" xfId="178"/>
    <cellStyle name="Porcentagem 2 3" xfId="83"/>
    <cellStyle name="Porcentagem 2 4" xfId="179"/>
    <cellStyle name="Porcentagem 3" xfId="84"/>
    <cellStyle name="Porcentagem 3 2" xfId="180"/>
    <cellStyle name="Porcentagem 3 3" xfId="181"/>
    <cellStyle name="Porcentagem 3 4" xfId="182"/>
    <cellStyle name="Porcentagem 4" xfId="85"/>
    <cellStyle name="Porcentagem 4 2" xfId="86"/>
    <cellStyle name="Porcentagem 5" xfId="87"/>
    <cellStyle name="Saída" xfId="10" builtinId="21" customBuiltin="1"/>
    <cellStyle name="Sep. milhar [0]" xfId="183"/>
    <cellStyle name="Separador de m" xfId="184"/>
    <cellStyle name="Separador de milhares 10" xfId="88"/>
    <cellStyle name="Separador de milhares 11" xfId="89"/>
    <cellStyle name="Separador de milhares 12" xfId="90"/>
    <cellStyle name="Separador de milhares 13" xfId="91"/>
    <cellStyle name="Separador de milhares 14" xfId="92"/>
    <cellStyle name="Separador de milhares 14 2" xfId="93"/>
    <cellStyle name="Separador de milhares 15" xfId="94"/>
    <cellStyle name="Separador de milhares 15 2" xfId="95"/>
    <cellStyle name="Separador de milhares 15 3" xfId="96"/>
    <cellStyle name="Separador de milhares 16" xfId="97"/>
    <cellStyle name="Separador de milhares 17" xfId="98"/>
    <cellStyle name="Separador de milhares 18" xfId="99"/>
    <cellStyle name="Separador de milhares 19" xfId="100"/>
    <cellStyle name="Separador de milhares 2" xfId="101"/>
    <cellStyle name="Separador de milhares 2 2" xfId="102"/>
    <cellStyle name="Separador de milhares 2 2 2" xfId="185"/>
    <cellStyle name="Separador de milhares 2 2 3" xfId="186"/>
    <cellStyle name="Separador de milhares 2 3" xfId="103"/>
    <cellStyle name="Separador de milhares 2 4" xfId="187"/>
    <cellStyle name="Separador de milhares 20" xfId="104"/>
    <cellStyle name="Separador de milhares 21" xfId="105"/>
    <cellStyle name="Separador de milhares 22" xfId="106"/>
    <cellStyle name="Separador de milhares 23" xfId="107"/>
    <cellStyle name="Separador de milhares 23 2" xfId="149"/>
    <cellStyle name="Separador de milhares 24" xfId="150"/>
    <cellStyle name="Separador de milhares 25" xfId="152"/>
    <cellStyle name="Separador de milhares 3" xfId="108"/>
    <cellStyle name="Separador de milhares 3 2" xfId="109"/>
    <cellStyle name="Separador de milhares 3 2 2" xfId="110"/>
    <cellStyle name="Separador de milhares 3 3" xfId="111"/>
    <cellStyle name="Separador de milhares 3 3 2" xfId="112"/>
    <cellStyle name="Separador de milhares 3 4" xfId="113"/>
    <cellStyle name="Separador de milhares 4" xfId="114"/>
    <cellStyle name="Separador de milhares 4 2" xfId="115"/>
    <cellStyle name="Separador de milhares 4 2 2" xfId="188"/>
    <cellStyle name="Separador de milhares 4 3" xfId="116"/>
    <cellStyle name="Separador de milhares 5" xfId="117"/>
    <cellStyle name="Separador de milhares 5 2" xfId="118"/>
    <cellStyle name="Separador de milhares 5 3" xfId="193"/>
    <cellStyle name="Separador de milhares 6" xfId="119"/>
    <cellStyle name="Separador de milhares 6 2" xfId="120"/>
    <cellStyle name="Separador de milhares 6 3" xfId="121"/>
    <cellStyle name="Separador de milhares 7" xfId="122"/>
    <cellStyle name="Separador de milhares 7 2" xfId="123"/>
    <cellStyle name="Separador de milhares 8" xfId="124"/>
    <cellStyle name="Separador de milhares 9" xfId="125"/>
    <cellStyle name="SUMA PARCIAL" xfId="189"/>
    <cellStyle name="Texto de Aviso" xfId="14" builtinId="11" customBuiltin="1"/>
    <cellStyle name="Texto Explicativo" xfId="16" builtinId="53" customBuiltin="1"/>
    <cellStyle name="Título" xfId="1" builtinId="15" customBuiltin="1"/>
    <cellStyle name="Titulo 1" xfId="126"/>
    <cellStyle name="Título 1" xfId="2" builtinId="16" customBuiltin="1"/>
    <cellStyle name="Título 1 1" xfId="127"/>
    <cellStyle name="Titulo 1 2" xfId="128"/>
    <cellStyle name="Titulo 2" xfId="129"/>
    <cellStyle name="Título 2" xfId="3" builtinId="17" customBuiltin="1"/>
    <cellStyle name="Titulo 2 2" xfId="130"/>
    <cellStyle name="Título 3" xfId="4" builtinId="18" customBuiltin="1"/>
    <cellStyle name="Título 4" xfId="5" builtinId="19" customBuiltin="1"/>
    <cellStyle name="Titulo1" xfId="131"/>
    <cellStyle name="Titulo2" xfId="190"/>
    <cellStyle name="Total" xfId="17" builtinId="25" customBuiltin="1"/>
    <cellStyle name="un" xfId="132"/>
    <cellStyle name="Vírgula" xfId="43" builtinId="3"/>
    <cellStyle name="Vírgula 2" xfId="42"/>
    <cellStyle name="Vírgula 2 2" xfId="133"/>
    <cellStyle name="Vírgula 2 2 2" xfId="134"/>
    <cellStyle name="Vírgula 2 3" xfId="135"/>
    <cellStyle name="Vírgula 2 3 2" xfId="136"/>
    <cellStyle name="Vírgula 2 4" xfId="137"/>
    <cellStyle name="Vírgula 2 4 2" xfId="138"/>
    <cellStyle name="Vírgula 2 5" xfId="139"/>
    <cellStyle name="Vírgula 3" xfId="45"/>
    <cellStyle name="Vírgula 4" xfId="140"/>
    <cellStyle name="Vírgula 4 2" xfId="141"/>
    <cellStyle name="Vírgula 5" xfId="142"/>
    <cellStyle name="Vírgula 5 2" xfId="143"/>
    <cellStyle name="Vírgula 6" xfId="144"/>
    <cellStyle name="Vírgula 6 2" xfId="145"/>
    <cellStyle name="Vírgula 7" xfId="146"/>
    <cellStyle name="Vírgula0" xfId="191"/>
    <cellStyle name="Währung" xfId="192"/>
  </cellStyles>
  <dxfs count="10"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  <dxf>
      <fill>
        <patternFill patternType="gray125">
          <fgColor rgb="FF0033CC"/>
        </patternFill>
      </fill>
      <border>
        <left style="thin">
          <color rgb="FF0033CC"/>
        </left>
        <right style="thin">
          <color rgb="FF0033CC"/>
        </right>
        <top style="thin">
          <color rgb="FF0033CC"/>
        </top>
        <bottom style="thin">
          <color rgb="FF0033CC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185162</xdr:colOff>
      <xdr:row>1</xdr:row>
      <xdr:rowOff>1184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890" b="-8265"/>
        <a:stretch/>
      </xdr:blipFill>
      <xdr:spPr>
        <a:xfrm>
          <a:off x="66675" y="47625"/>
          <a:ext cx="909062" cy="458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413893</xdr:colOff>
      <xdr:row>0</xdr:row>
      <xdr:rowOff>258033</xdr:rowOff>
    </xdr:from>
    <xdr:to>
      <xdr:col>1</xdr:col>
      <xdr:colOff>790575</xdr:colOff>
      <xdr:row>1</xdr:row>
      <xdr:rowOff>228600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890" b="-8265"/>
        <a:stretch/>
      </xdr:blipFill>
      <xdr:spPr>
        <a:xfrm>
          <a:off x="1023493" y="258033"/>
          <a:ext cx="910082" cy="465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323491</xdr:colOff>
      <xdr:row>1993</xdr:row>
      <xdr:rowOff>116816</xdr:rowOff>
    </xdr:from>
    <xdr:to>
      <xdr:col>6</xdr:col>
      <xdr:colOff>305518</xdr:colOff>
      <xdr:row>2003</xdr:row>
      <xdr:rowOff>143774</xdr:rowOff>
    </xdr:to>
    <xdr:cxnSp macro="">
      <xdr:nvCxnSpPr>
        <xdr:cNvPr id="3" name="Conector reto 2"/>
        <xdr:cNvCxnSpPr/>
      </xdr:nvCxnSpPr>
      <xdr:spPr>
        <a:xfrm>
          <a:off x="323491" y="401451792"/>
          <a:ext cx="7089834" cy="218356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350448</xdr:colOff>
      <xdr:row>1995</xdr:row>
      <xdr:rowOff>107830</xdr:rowOff>
    </xdr:from>
    <xdr:to>
      <xdr:col>5</xdr:col>
      <xdr:colOff>1734269</xdr:colOff>
      <xdr:row>2005</xdr:row>
      <xdr:rowOff>44930</xdr:rowOff>
    </xdr:to>
    <xdr:cxnSp macro="">
      <xdr:nvCxnSpPr>
        <xdr:cNvPr id="5" name="Conector reto 4"/>
        <xdr:cNvCxnSpPr/>
      </xdr:nvCxnSpPr>
      <xdr:spPr>
        <a:xfrm flipV="1">
          <a:off x="350448" y="401730354"/>
          <a:ext cx="6748373" cy="214761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107830</xdr:colOff>
      <xdr:row>2109</xdr:row>
      <xdr:rowOff>98844</xdr:rowOff>
    </xdr:from>
    <xdr:to>
      <xdr:col>7</xdr:col>
      <xdr:colOff>251604</xdr:colOff>
      <xdr:row>2124</xdr:row>
      <xdr:rowOff>98844</xdr:rowOff>
    </xdr:to>
    <xdr:cxnSp macro="">
      <xdr:nvCxnSpPr>
        <xdr:cNvPr id="7" name="Conector reto 6"/>
        <xdr:cNvCxnSpPr/>
      </xdr:nvCxnSpPr>
      <xdr:spPr>
        <a:xfrm flipV="1">
          <a:off x="107830" y="423736698"/>
          <a:ext cx="7880590" cy="3136061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296533</xdr:colOff>
      <xdr:row>2107</xdr:row>
      <xdr:rowOff>80872</xdr:rowOff>
    </xdr:from>
    <xdr:to>
      <xdr:col>6</xdr:col>
      <xdr:colOff>242618</xdr:colOff>
      <xdr:row>2123</xdr:row>
      <xdr:rowOff>89858</xdr:rowOff>
    </xdr:to>
    <xdr:cxnSp macro="">
      <xdr:nvCxnSpPr>
        <xdr:cNvPr id="9" name="Conector reto 8"/>
        <xdr:cNvCxnSpPr/>
      </xdr:nvCxnSpPr>
      <xdr:spPr>
        <a:xfrm>
          <a:off x="296533" y="423431179"/>
          <a:ext cx="7053892" cy="3261863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533400</xdr:colOff>
      <xdr:row>116</xdr:row>
      <xdr:rowOff>76200</xdr:rowOff>
    </xdr:from>
    <xdr:to>
      <xdr:col>8</xdr:col>
      <xdr:colOff>85725</xdr:colOff>
      <xdr:row>118</xdr:row>
      <xdr:rowOff>38100</xdr:rowOff>
    </xdr:to>
    <xdr:sp macro="" textlink="">
      <xdr:nvSpPr>
        <xdr:cNvPr id="2" name="Chave direita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495925" y="12268200"/>
          <a:ext cx="161925" cy="3429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104775</xdr:colOff>
      <xdr:row>222</xdr:row>
      <xdr:rowOff>9525</xdr:rowOff>
    </xdr:from>
    <xdr:to>
      <xdr:col>10</xdr:col>
      <xdr:colOff>171450</xdr:colOff>
      <xdr:row>223</xdr:row>
      <xdr:rowOff>123825</xdr:rowOff>
    </xdr:to>
    <xdr:sp macro="" textlink="">
      <xdr:nvSpPr>
        <xdr:cNvPr id="4" name="Chave direita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5915025" y="17154525"/>
          <a:ext cx="676275" cy="304800"/>
        </a:xfrm>
        <a:prstGeom prst="rightBrace">
          <a:avLst>
            <a:gd name="adj1" fmla="val 8333"/>
            <a:gd name="adj2" fmla="val 71875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20</xdr:col>
      <xdr:colOff>142875</xdr:colOff>
      <xdr:row>175</xdr:row>
      <xdr:rowOff>76200</xdr:rowOff>
    </xdr:from>
    <xdr:to>
      <xdr:col>20</xdr:col>
      <xdr:colOff>142875</xdr:colOff>
      <xdr:row>181</xdr:row>
      <xdr:rowOff>76200</xdr:rowOff>
    </xdr:to>
    <xdr:cxnSp macro="">
      <xdr:nvCxnSpPr>
        <xdr:cNvPr id="14" name="Conector ret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CxnSpPr/>
      </xdr:nvCxnSpPr>
      <xdr:spPr>
        <a:xfrm>
          <a:off x="11277600" y="15887700"/>
          <a:ext cx="0" cy="1190625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180</xdr:row>
      <xdr:rowOff>0</xdr:rowOff>
    </xdr:from>
    <xdr:to>
      <xdr:col>20</xdr:col>
      <xdr:colOff>361950</xdr:colOff>
      <xdr:row>180</xdr:row>
      <xdr:rowOff>0</xdr:rowOff>
    </xdr:to>
    <xdr:cxnSp macro="">
      <xdr:nvCxnSpPr>
        <xdr:cNvPr id="15" name="Conector ret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9867900" y="2705100"/>
          <a:ext cx="2857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76200</xdr:colOff>
      <xdr:row>181</xdr:row>
      <xdr:rowOff>0</xdr:rowOff>
    </xdr:from>
    <xdr:to>
      <xdr:col>20</xdr:col>
      <xdr:colOff>361950</xdr:colOff>
      <xdr:row>181</xdr:row>
      <xdr:rowOff>0</xdr:rowOff>
    </xdr:to>
    <xdr:cxnSp macro="">
      <xdr:nvCxnSpPr>
        <xdr:cNvPr id="16" name="Conector ret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9867900" y="2905125"/>
          <a:ext cx="2857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176</xdr:row>
      <xdr:rowOff>0</xdr:rowOff>
    </xdr:from>
    <xdr:to>
      <xdr:col>20</xdr:col>
      <xdr:colOff>295275</xdr:colOff>
      <xdr:row>176</xdr:row>
      <xdr:rowOff>0</xdr:rowOff>
    </xdr:to>
    <xdr:cxnSp macro="">
      <xdr:nvCxnSpPr>
        <xdr:cNvPr id="18" name="Conector ret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11144250" y="16011525"/>
          <a:ext cx="28575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66675</xdr:colOff>
      <xdr:row>180</xdr:row>
      <xdr:rowOff>152400</xdr:rowOff>
    </xdr:from>
    <xdr:to>
      <xdr:col>20</xdr:col>
      <xdr:colOff>209550</xdr:colOff>
      <xdr:row>181</xdr:row>
      <xdr:rowOff>95251</xdr:rowOff>
    </xdr:to>
    <xdr:cxnSp macro="">
      <xdr:nvCxnSpPr>
        <xdr:cNvPr id="19" name="Conector ret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CxnSpPr/>
      </xdr:nvCxnSpPr>
      <xdr:spPr>
        <a:xfrm flipV="1">
          <a:off x="11201400" y="16954500"/>
          <a:ext cx="142875" cy="142876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85725</xdr:colOff>
      <xdr:row>179</xdr:row>
      <xdr:rowOff>123825</xdr:rowOff>
    </xdr:from>
    <xdr:to>
      <xdr:col>20</xdr:col>
      <xdr:colOff>228600</xdr:colOff>
      <xdr:row>180</xdr:row>
      <xdr:rowOff>57151</xdr:rowOff>
    </xdr:to>
    <xdr:cxnSp macro="">
      <xdr:nvCxnSpPr>
        <xdr:cNvPr id="22" name="Conector reto 21">
          <a:extLst>
            <a:ext uri="{FF2B5EF4-FFF2-40B4-BE49-F238E27FC236}">
              <a16:creationId xmlns="" xmlns:a16="http://schemas.microsoft.com/office/drawing/2014/main" id="{00000000-0008-0000-0400-000016000000}"/>
            </a:ext>
          </a:extLst>
        </xdr:cNvPr>
        <xdr:cNvCxnSpPr/>
      </xdr:nvCxnSpPr>
      <xdr:spPr>
        <a:xfrm flipV="1">
          <a:off x="11220450" y="16725900"/>
          <a:ext cx="142875" cy="133351"/>
        </a:xfrm>
        <a:prstGeom prst="line">
          <a:avLst/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</xdr:cxnSp>
    <xdr:clientData/>
  </xdr:twoCellAnchor>
  <xdr:twoCellAnchor>
    <xdr:from>
      <xdr:col>20</xdr:col>
      <xdr:colOff>47625</xdr:colOff>
      <xdr:row>177</xdr:row>
      <xdr:rowOff>114300</xdr:rowOff>
    </xdr:from>
    <xdr:to>
      <xdr:col>20</xdr:col>
      <xdr:colOff>228600</xdr:colOff>
      <xdr:row>178</xdr:row>
      <xdr:rowOff>76201</xdr:rowOff>
    </xdr:to>
    <xdr:cxnSp macro="">
      <xdr:nvCxnSpPr>
        <xdr:cNvPr id="23" name="Conector reto 22">
          <a:extLst>
            <a:ext uri="{FF2B5EF4-FFF2-40B4-BE49-F238E27FC236}">
              <a16:creationId xmlns="" xmlns:a16="http://schemas.microsoft.com/office/drawing/2014/main" id="{00000000-0008-0000-0400-000017000000}"/>
            </a:ext>
          </a:extLst>
        </xdr:cNvPr>
        <xdr:cNvCxnSpPr/>
      </xdr:nvCxnSpPr>
      <xdr:spPr>
        <a:xfrm flipV="1">
          <a:off x="11182350" y="16335375"/>
          <a:ext cx="180975" cy="152401"/>
        </a:xfrm>
        <a:prstGeom prst="line">
          <a:avLst/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</xdr:cxnSp>
    <xdr:clientData/>
  </xdr:twoCellAnchor>
  <xdr:twoCellAnchor>
    <xdr:from>
      <xdr:col>20</xdr:col>
      <xdr:colOff>57150</xdr:colOff>
      <xdr:row>175</xdr:row>
      <xdr:rowOff>123825</xdr:rowOff>
    </xdr:from>
    <xdr:to>
      <xdr:col>20</xdr:col>
      <xdr:colOff>247650</xdr:colOff>
      <xdr:row>176</xdr:row>
      <xdr:rowOff>85726</xdr:rowOff>
    </xdr:to>
    <xdr:cxnSp macro="">
      <xdr:nvCxnSpPr>
        <xdr:cNvPr id="24" name="Conector reto 23">
          <a:extLst>
            <a:ext uri="{FF2B5EF4-FFF2-40B4-BE49-F238E27FC236}">
              <a16:creationId xmlns="" xmlns:a16="http://schemas.microsoft.com/office/drawing/2014/main" id="{00000000-0008-0000-0400-000018000000}"/>
            </a:ext>
          </a:extLst>
        </xdr:cNvPr>
        <xdr:cNvCxnSpPr/>
      </xdr:nvCxnSpPr>
      <xdr:spPr>
        <a:xfrm flipV="1">
          <a:off x="11191875" y="15935325"/>
          <a:ext cx="190500" cy="161926"/>
        </a:xfrm>
        <a:prstGeom prst="line">
          <a:avLst/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</xdr:cxnSp>
    <xdr:clientData/>
  </xdr:twoCellAnchor>
  <xdr:twoCellAnchor>
    <xdr:from>
      <xdr:col>20</xdr:col>
      <xdr:colOff>66675</xdr:colOff>
      <xdr:row>176</xdr:row>
      <xdr:rowOff>85725</xdr:rowOff>
    </xdr:from>
    <xdr:to>
      <xdr:col>20</xdr:col>
      <xdr:colOff>257175</xdr:colOff>
      <xdr:row>177</xdr:row>
      <xdr:rowOff>38101</xdr:rowOff>
    </xdr:to>
    <xdr:cxnSp macro="">
      <xdr:nvCxnSpPr>
        <xdr:cNvPr id="29" name="Conector reto 28">
          <a:extLst>
            <a:ext uri="{FF2B5EF4-FFF2-40B4-BE49-F238E27FC236}">
              <a16:creationId xmlns="" xmlns:a16="http://schemas.microsoft.com/office/drawing/2014/main" id="{00000000-0008-0000-0400-00001D000000}"/>
            </a:ext>
          </a:extLst>
        </xdr:cNvPr>
        <xdr:cNvCxnSpPr/>
      </xdr:nvCxnSpPr>
      <xdr:spPr>
        <a:xfrm flipV="1">
          <a:off x="11201400" y="16097250"/>
          <a:ext cx="190500" cy="161926"/>
        </a:xfrm>
        <a:prstGeom prst="line">
          <a:avLst/>
        </a:prstGeom>
        <a:noFill/>
        <a:ln w="9525" cap="flat" cmpd="sng" algn="ctr">
          <a:solidFill>
            <a:srgbClr val="FF0000"/>
          </a:solidFill>
          <a:prstDash val="solid"/>
        </a:ln>
        <a:effectLst/>
      </xdr:spPr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0</xdr:rowOff>
    </xdr:from>
    <xdr:to>
      <xdr:col>0</xdr:col>
      <xdr:colOff>269367</xdr:colOff>
      <xdr:row>1</xdr:row>
      <xdr:rowOff>2286</xdr:rowOff>
    </xdr:to>
    <xdr:pic>
      <xdr:nvPicPr>
        <xdr:cNvPr id="3" name="Picture 261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495300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1</xdr:row>
      <xdr:rowOff>0</xdr:rowOff>
    </xdr:from>
    <xdr:to>
      <xdr:col>1</xdr:col>
      <xdr:colOff>228981</xdr:colOff>
      <xdr:row>1</xdr:row>
      <xdr:rowOff>1143</xdr:rowOff>
    </xdr:to>
    <xdr:pic>
      <xdr:nvPicPr>
        <xdr:cNvPr id="4" name="Picture 261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495300"/>
          <a:ext cx="590931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7</xdr:row>
      <xdr:rowOff>0</xdr:rowOff>
    </xdr:from>
    <xdr:to>
      <xdr:col>0</xdr:col>
      <xdr:colOff>269367</xdr:colOff>
      <xdr:row>7</xdr:row>
      <xdr:rowOff>2286</xdr:rowOff>
    </xdr:to>
    <xdr:pic>
      <xdr:nvPicPr>
        <xdr:cNvPr id="5" name="Picture 261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562100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7</xdr:row>
      <xdr:rowOff>0</xdr:rowOff>
    </xdr:from>
    <xdr:to>
      <xdr:col>1</xdr:col>
      <xdr:colOff>228981</xdr:colOff>
      <xdr:row>7</xdr:row>
      <xdr:rowOff>1143</xdr:rowOff>
    </xdr:to>
    <xdr:pic>
      <xdr:nvPicPr>
        <xdr:cNvPr id="6" name="Picture 261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562100"/>
          <a:ext cx="590931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148160</xdr:colOff>
      <xdr:row>0</xdr:row>
      <xdr:rowOff>84665</xdr:rowOff>
    </xdr:from>
    <xdr:to>
      <xdr:col>1</xdr:col>
      <xdr:colOff>338659</xdr:colOff>
      <xdr:row>0</xdr:row>
      <xdr:rowOff>523457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0" y="84665"/>
          <a:ext cx="867832" cy="438792"/>
        </a:xfrm>
        <a:prstGeom prst="rect">
          <a:avLst/>
        </a:prstGeom>
      </xdr:spPr>
    </xdr:pic>
    <xdr:clientData/>
  </xdr:twoCellAnchor>
  <xdr:oneCellAnchor>
    <xdr:from>
      <xdr:col>0</xdr:col>
      <xdr:colOff>133350</xdr:colOff>
      <xdr:row>26</xdr:row>
      <xdr:rowOff>0</xdr:rowOff>
    </xdr:from>
    <xdr:ext cx="136017" cy="2286"/>
    <xdr:pic>
      <xdr:nvPicPr>
        <xdr:cNvPr id="8" name="Picture 261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1672167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314325</xdr:colOff>
      <xdr:row>26</xdr:row>
      <xdr:rowOff>0</xdr:rowOff>
    </xdr:from>
    <xdr:ext cx="591989" cy="1143"/>
    <xdr:pic>
      <xdr:nvPicPr>
        <xdr:cNvPr id="9" name="Picture 261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1672167"/>
          <a:ext cx="591989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133350</xdr:colOff>
      <xdr:row>33</xdr:row>
      <xdr:rowOff>0</xdr:rowOff>
    </xdr:from>
    <xdr:ext cx="136017" cy="2286"/>
    <xdr:pic>
      <xdr:nvPicPr>
        <xdr:cNvPr id="10" name="Picture 261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" y="5566833"/>
          <a:ext cx="136017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314325</xdr:colOff>
      <xdr:row>33</xdr:row>
      <xdr:rowOff>0</xdr:rowOff>
    </xdr:from>
    <xdr:ext cx="591989" cy="1143"/>
    <xdr:pic>
      <xdr:nvPicPr>
        <xdr:cNvPr id="11" name="Picture 261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4325" y="5566833"/>
          <a:ext cx="591989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g_001\c\Meus%20documentos\Excel\DVOP\8_97%20-%20S&#227;o%20Vicente\Prod.%20Equip.%20Mec.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RQ\projeto\WINDOWS\Temporary%20Internet%20Files\Content.IE5\Q9YZIJ83\file:\A:\TERCIO\BR%2520163%2520REST%2520set%25202003\DEISI\Or%25C3%25A7amento%2520Sta%2520Helena%2520Guarant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WINDOWS\Temporary%20Internet%20Files\Content.IE5\Q9YZIJ83\file:\A:\TERCIO\BR%2520163%2520REST%2520set%25202003\DEISI\Or%25C3%25A7amento%2520Sta%2520Helena%2520Guarant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ARQ\projeto\WINDOWS\Temporary%20Internet%20Files\Content.IE5\Q9YZIJ83\file:\A:\TEMP\Or%25C3%25A7amento%2520Sta%2520Helena%2520Guarant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WINDOWS\Temporary%20Internet%20Files\Content.IE5\Q9YZIJ83\file:\A:\TEMP\Or%25C3%25A7amento%2520Sta%2520Helena%2520Guaran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6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1&#170;%20ME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uriney\c\Meus%20documentos\geosolo\Medi&#231;&#227;o%20n&#186;%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ELEANDRO\Meus%20documentos\LICITA&#199;&#213;ES\DNIT\CP%20220-2006-MT\Edital\ANEXOS%20-%20BR_364_MT_2006%20CONSERVA&#199;&#195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mail.terra.com.br/cgi-bin/webmail.exe/Meus%20documentos/ANAST%C3%81CIO/SERCEL/BR2629908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ptop%20-%20Arquivos\DNIT\PATOs\Rondon&#243;polis\PATO_BR-364_km_000_ao_km_11290_LICITA&#199;&#195;O%20MAIO%20DE%20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stema6\SISTEMA%20(C)\Laptop%20-%20Arquivos\DNIT\PATOs\Rondon&#243;polis\PATO_BR-364_km_000_ao_km_11290_LICITA&#199;&#195;O%20MAIO%20DE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JOS&#201;%20RENATO%20-%20ASSESSOR%20T&#201;CNICO\SESC%20SERRA%20AZUL%20-%20estrada\planilhas%20revisadas%20-%20Eron\Or&#231;amento%20-%20tra&#231;ado%20-%20%20SESC%20Serra%20Az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,13"/>
      <sheetName val="1,14"/>
      <sheetName val="1.15"/>
      <sheetName val="1,16"/>
      <sheetName val="1,17"/>
      <sheetName val="aux1"/>
      <sheetName val="1,19"/>
      <sheetName val="1,20"/>
      <sheetName val="1,21"/>
      <sheetName val="1,22"/>
      <sheetName val="1,23"/>
      <sheetName val="1.24"/>
      <sheetName val="1.25"/>
      <sheetName val="1.26"/>
      <sheetName val="1.28"/>
      <sheetName val="1.29"/>
      <sheetName val="3.4"/>
      <sheetName val="D"/>
      <sheetName val="2.1"/>
      <sheetName val="H"/>
      <sheetName val="I"/>
      <sheetName val="J"/>
      <sheetName val="K"/>
      <sheetName val="L"/>
      <sheetName val="M"/>
      <sheetName val="N"/>
      <sheetName val="O"/>
      <sheetName val="aux. 2"/>
      <sheetName val="Q"/>
      <sheetName val="R"/>
      <sheetName val="S"/>
      <sheetName val="T"/>
      <sheetName val="U"/>
      <sheetName val="B"/>
      <sheetName val="G"/>
      <sheetName val="P"/>
      <sheetName val="RESUMO"/>
      <sheetName val="REAJU"/>
    </sheetNames>
    <sheetDataSet>
      <sheetData sheetId="0"/>
      <sheetData sheetId="1"/>
      <sheetData sheetId="2"/>
      <sheetData sheetId="3"/>
      <sheetData sheetId="4"/>
      <sheetData sheetId="5">
        <row r="11">
          <cell r="A11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MED"/>
      <sheetName val="Relatório-1ª med."/>
      <sheetName val="DRENA"/>
      <sheetName val="ESCAVOCAR"/>
      <sheetName val="TRANSPTERR"/>
      <sheetName val="REG SUBLEITO"/>
      <sheetName val="SUBBASE"/>
      <sheetName val="BASE"/>
      <sheetName val="TRANSPBASE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  <sheetName val="Relatório_1ª med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-5ª med."/>
      <sheetName val="RESUMO-DVOP"/>
      <sheetName val="REAJUSTE "/>
      <sheetName val="Rem. e limpeza "/>
      <sheetName val="Cubação - Teórica"/>
      <sheetName val="DMT - TEORICO "/>
      <sheetName val="Cub.-Med 5"/>
      <sheetName val="DMT-5ª MEDIÇÃO "/>
      <sheetName val="Cronograma Físico-Financeiro"/>
      <sheetName val="Cronograma Semanal"/>
      <sheetName val="Bueiros"/>
      <sheetName val="Regula"/>
      <sheetName val="Sub-base"/>
      <sheetName val="Base"/>
      <sheetName val="Imprimação"/>
      <sheetName val="CBUQ"/>
      <sheetName val="Colchão drenante"/>
      <sheetName val="TSS"/>
      <sheetName val="TSD-FOG"/>
      <sheetName val="AGREGADOS"/>
      <sheetName val="Pintura"/>
      <sheetName val="Grama"/>
      <sheetName val="Transporte de brita"/>
      <sheetName val="DRENO"/>
      <sheetName val="DRENO SALDO"/>
      <sheetName val="AÇO CA-50"/>
      <sheetName val="AÇO CA-50 (2)"/>
      <sheetName val="DMT - TEORICO 2"/>
      <sheetName val="Acumulado"/>
      <sheetName val="Sub_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6">
          <cell r="U36">
            <v>228419.09999999998</v>
          </cell>
        </row>
      </sheetData>
      <sheetData sheetId="13">
        <row r="39">
          <cell r="U39">
            <v>263049.59999999998</v>
          </cell>
        </row>
        <row r="40">
          <cell r="U40">
            <v>13152.48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qui"/>
      <sheetName val="Pato"/>
      <sheetName val="CALCULOS AUXILIARES"/>
      <sheetName val="Q Custo"/>
      <sheetName val="Cronog"/>
      <sheetName val="Transp"/>
      <sheetName val="Memorial"/>
      <sheetName val="Memorial II"/>
      <sheetName val="SERV MAT BET"/>
      <sheetName val="TRANSP FRIO E QUENTE"/>
      <sheetName val="Comp P Unit "/>
      <sheetName val="C MÃO OBRA"/>
      <sheetName val="CUSTO MATERIAL"/>
      <sheetName val="CUSTO EQUIP"/>
      <sheetName val="MOBIL_INST_CANT"/>
      <sheetName val="COMP TRANSP EQUIP"/>
      <sheetName val="Plan1"/>
    </sheetNames>
    <sheetDataSet>
      <sheetData sheetId="0">
        <row r="3">
          <cell r="B3" t="str">
            <v>: BR-364/MT</v>
          </cell>
        </row>
        <row r="4">
          <cell r="I4" t="str">
            <v>SR/DNIT/MT</v>
          </cell>
        </row>
        <row r="5">
          <cell r="B5" t="str">
            <v>: DIV. GO/MT - DIV. MT/RO</v>
          </cell>
        </row>
        <row r="6">
          <cell r="B6" t="str">
            <v>: ENTR. MT-461(A) (Km 112,90) - ENTR. MT-270(B) (Km 215,90)</v>
          </cell>
          <cell r="I6" t="str">
            <v>Lote 02</v>
          </cell>
        </row>
        <row r="7">
          <cell r="A7" t="str">
            <v>EXTENSÃO</v>
          </cell>
          <cell r="B7" t="str">
            <v>: 103,00 Km</v>
          </cell>
        </row>
      </sheetData>
      <sheetData sheetId="1">
        <row r="1">
          <cell r="A1" t="str">
            <v>MT - DNIT - Superintendencia Regional no Estado do Mato Grosso</v>
          </cell>
        </row>
      </sheetData>
      <sheetData sheetId="2">
        <row r="12">
          <cell r="E12">
            <v>2916.8777473920004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ORÇAMENTO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"/>
      <sheetName val="Pato "/>
      <sheetName val="Memorial "/>
      <sheetName val="Q Custo"/>
      <sheetName val="Transp"/>
      <sheetName val="Cronog"/>
      <sheetName val="reg_mec_fx_dm_"/>
      <sheetName val="rec_cam_pav_"/>
      <sheetName val="solo_cimento"/>
      <sheetName val="imprimação"/>
      <sheetName val="aquis_ CM_30 impri"/>
      <sheetName val="tr_CM_30 impr"/>
      <sheetName val="pint_lig"/>
      <sheetName val="aquis_ RR_1C pl"/>
      <sheetName val="tr_RR_1C pl"/>
      <sheetName val="capa selan_pedrisco"/>
      <sheetName val="aquis_RR_2C"/>
      <sheetName val="tr_RR_2C"/>
      <sheetName val="rec_rev_frio"/>
      <sheetName val="mbuf"/>
      <sheetName val="aquis_RM_1C"/>
      <sheetName val="tr_RM_1C"/>
      <sheetName val="rec_rev_quente"/>
      <sheetName val="mbuq"/>
      <sheetName val="aquis_CAP_20"/>
      <sheetName val="tr_CAP_20"/>
      <sheetName val="rem_man_rev_bet_"/>
      <sheetName val="rem_mec_cam_gran_pav_"/>
      <sheetName val="rem_man_cam_gran_pav_"/>
      <sheetName val="con_ciclp_"/>
      <sheetName val="con_cim_"/>
      <sheetName val="arg_cim_areia"/>
      <sheetName val="drobragem"/>
      <sheetName val="forma"/>
      <sheetName val="ret_com_bueiro"/>
      <sheetName val="reat_apil_"/>
      <sheetName val="limp_ponte"/>
      <sheetName val="esc_man_1ªcat"/>
      <sheetName val="esc_mec_vala_mat_1ªcat"/>
      <sheetName val="enroc_pd_arrum_"/>
      <sheetName val="enroc_pd_jogada"/>
      <sheetName val="tapa buraco"/>
      <sheetName val="aquis_CM_30 tp"/>
      <sheetName val="tr_CM_30 tp"/>
      <sheetName val="rem_pro_dem_mn_"/>
      <sheetName val="aquis_ CM_30 rmendo"/>
      <sheetName val="tr_CM_30 remendo"/>
      <sheetName val="selagem trinca"/>
      <sheetName val="aquis_RR_1C selagem"/>
      <sheetName val="tr_RR_1C selagem"/>
      <sheetName val="correção"/>
      <sheetName val="aquis_ RR_1C pl (2)"/>
      <sheetName val="tr_RR_1C pl (2)"/>
      <sheetName val="fresagem"/>
      <sheetName val="rec_guad_corpo"/>
      <sheetName val="limp_sarj_meio_fio"/>
      <sheetName val="limp_vala_dren_"/>
      <sheetName val="limp_desc_d_água"/>
      <sheetName val="limp_bueiro"/>
      <sheetName val="assent_ D_1_00m"/>
      <sheetName val="limp_pc_sinal_"/>
      <sheetName val="rec_pc_sinal_"/>
      <sheetName val="rec_def_met_"/>
      <sheetName val="caiação"/>
      <sheetName val="renov_sin_horiz_"/>
      <sheetName val="rec_manual aterro"/>
      <sheetName val="rma"/>
      <sheetName val="rem_manual barr_solo"/>
      <sheetName val="rem_manual barr_rocha"/>
      <sheetName val="roç_man_"/>
      <sheetName val="roç_cap_col_"/>
      <sheetName val="roç_mec_"/>
      <sheetName val="capina man_"/>
      <sheetName val="tr_lc_basc_5m3"/>
      <sheetName val="tr_remendo"/>
      <sheetName val="tr_lc_carroc_4t"/>
      <sheetName val="tr_com_carroc_"/>
      <sheetName val="tr_com_basc_10m³"/>
      <sheetName val="tr_loc_mat_bet"/>
      <sheetName val="micro"/>
      <sheetName val="aquis_pilim_"/>
      <sheetName val="tr_polim_"/>
      <sheetName val="veic_"/>
      <sheetName val="mobilização"/>
      <sheetName val="prancha"/>
      <sheetName val="instalação"/>
      <sheetName val="cerca"/>
      <sheetName val="trans_frio"/>
      <sheetName val="trans_quen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"/>
      <sheetName val="res"/>
      <sheetName val="orç"/>
      <sheetName val="Cronograma"/>
      <sheetName val="memorial"/>
      <sheetName val="materiais drenagem"/>
      <sheetName val="trasnp"/>
      <sheetName val="QR DMT indiv"/>
    </sheetNames>
    <sheetDataSet>
      <sheetData sheetId="0"/>
      <sheetData sheetId="1">
        <row r="6">
          <cell r="B6" t="str">
            <v>Serviços preliminares</v>
          </cell>
        </row>
      </sheetData>
      <sheetData sheetId="2">
        <row r="6">
          <cell r="B6" t="str">
            <v>Serviços preliminares</v>
          </cell>
        </row>
      </sheetData>
      <sheetData sheetId="3"/>
      <sheetData sheetId="4"/>
      <sheetData sheetId="5">
        <row r="14">
          <cell r="C14">
            <v>36.799999999999997</v>
          </cell>
        </row>
      </sheetData>
      <sheetData sheetId="6">
        <row r="9">
          <cell r="I9">
            <v>5.1630000000000003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hoyleno@gmail.com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33"/>
  <sheetViews>
    <sheetView showGridLines="0" view="pageBreakPreview" topLeftCell="A19" zoomScaleSheetLayoutView="100" workbookViewId="0">
      <selection activeCell="D26" sqref="D26"/>
    </sheetView>
  </sheetViews>
  <sheetFormatPr defaultColWidth="9.140625" defaultRowHeight="12.75"/>
  <cols>
    <col min="1" max="1" width="11.85546875" style="1" customWidth="1"/>
    <col min="2" max="2" width="54.7109375" style="1" customWidth="1"/>
    <col min="3" max="3" width="19" style="1" customWidth="1"/>
    <col min="4" max="4" width="24.85546875" style="1" customWidth="1"/>
    <col min="5" max="5" width="9.140625" style="1"/>
    <col min="6" max="6" width="12.28515625" style="1" bestFit="1" customWidth="1"/>
    <col min="7" max="16384" width="9.140625" style="1"/>
  </cols>
  <sheetData>
    <row r="1" spans="1:4" ht="39.950000000000003" customHeight="1">
      <c r="A1" s="154" t="s">
        <v>419</v>
      </c>
      <c r="B1" s="155" t="s">
        <v>2019</v>
      </c>
      <c r="C1" s="1287" t="s">
        <v>2020</v>
      </c>
      <c r="D1" s="1288"/>
    </row>
    <row r="2" spans="1:4" ht="27.6" customHeight="1">
      <c r="A2" s="89" t="s">
        <v>73</v>
      </c>
      <c r="B2" s="90"/>
      <c r="C2" s="1289"/>
      <c r="D2" s="1290"/>
    </row>
    <row r="3" spans="1:4" s="92" customFormat="1" ht="4.5" customHeight="1">
      <c r="A3" s="91"/>
      <c r="B3" s="91"/>
      <c r="C3" s="91"/>
      <c r="D3" s="91"/>
    </row>
    <row r="4" spans="1:4" ht="25.9" customHeight="1">
      <c r="A4" s="93" t="s">
        <v>18</v>
      </c>
      <c r="B4" s="94" t="s">
        <v>74</v>
      </c>
      <c r="C4" s="95" t="s">
        <v>75</v>
      </c>
      <c r="D4" s="96" t="s">
        <v>76</v>
      </c>
    </row>
    <row r="5" spans="1:4" s="92" customFormat="1" ht="4.5" customHeight="1">
      <c r="A5" s="91"/>
      <c r="B5" s="91"/>
      <c r="C5" s="91"/>
      <c r="D5" s="91"/>
    </row>
    <row r="6" spans="1:4" ht="25.9" customHeight="1">
      <c r="A6" s="97" t="str">
        <f>Orçamento!A7</f>
        <v>1.</v>
      </c>
      <c r="B6" s="98" t="str">
        <f>Orçamento!C7</f>
        <v>SERVIÇOS PRELIMINARES</v>
      </c>
      <c r="C6" s="99">
        <f>Orçamento!Q45</f>
        <v>400173.28</v>
      </c>
      <c r="D6" s="100">
        <f>C6/$C$26</f>
        <v>7.9050198971692506E-2</v>
      </c>
    </row>
    <row r="7" spans="1:4" ht="25.9" customHeight="1">
      <c r="A7" s="101"/>
      <c r="B7" s="102"/>
      <c r="C7" s="103"/>
      <c r="D7" s="104"/>
    </row>
    <row r="8" spans="1:4" ht="25.9" customHeight="1">
      <c r="A8" s="101" t="str">
        <f>Orçamento!A47</f>
        <v>2.</v>
      </c>
      <c r="B8" s="102" t="str">
        <f>Orçamento!C47</f>
        <v>INFRAESTRUTURA</v>
      </c>
      <c r="C8" s="105">
        <f>Orçamento!Q73</f>
        <v>195174.75</v>
      </c>
      <c r="D8" s="104">
        <f>C8/$C$26</f>
        <v>3.8554805112800988E-2</v>
      </c>
    </row>
    <row r="9" spans="1:4" ht="25.9" customHeight="1">
      <c r="A9" s="101"/>
      <c r="B9" s="102"/>
      <c r="C9" s="105"/>
      <c r="D9" s="104"/>
    </row>
    <row r="10" spans="1:4" ht="25.9" customHeight="1">
      <c r="A10" s="101" t="str">
        <f>Orçamento!A75</f>
        <v>3.</v>
      </c>
      <c r="B10" s="102" t="str">
        <f>Orçamento!C75</f>
        <v>SUPRAESTRUTURA</v>
      </c>
      <c r="C10" s="105">
        <f>Orçamento!Q77</f>
        <v>1673539.53</v>
      </c>
      <c r="D10" s="104">
        <f>C10/$C$26</f>
        <v>0.3305908701187964</v>
      </c>
    </row>
    <row r="11" spans="1:4" ht="25.9" customHeight="1">
      <c r="A11" s="101"/>
      <c r="B11" s="102"/>
      <c r="C11" s="105"/>
      <c r="D11" s="104"/>
    </row>
    <row r="12" spans="1:4" ht="25.9" customHeight="1">
      <c r="A12" s="101" t="str">
        <f>Orçamento!A79</f>
        <v>4.</v>
      </c>
      <c r="B12" s="102" t="str">
        <f>Orçamento!C79</f>
        <v>FECHAMENTOS: PAINÉIS, ESQUADRIAS E VIDROS</v>
      </c>
      <c r="C12" s="105">
        <f>Orçamento!Q96</f>
        <v>530176.68000000005</v>
      </c>
      <c r="D12" s="104">
        <f>C12/$C$26</f>
        <v>0.10473106061491999</v>
      </c>
    </row>
    <row r="13" spans="1:4" ht="25.9" customHeight="1">
      <c r="A13" s="101"/>
      <c r="B13" s="102"/>
      <c r="C13" s="105"/>
      <c r="D13" s="104"/>
    </row>
    <row r="14" spans="1:4" ht="25.9" customHeight="1">
      <c r="A14" s="101" t="str">
        <f>Orçamento!A98</f>
        <v>5.</v>
      </c>
      <c r="B14" s="102" t="str">
        <f>Orçamento!C98</f>
        <v>COBERTURAS E PROTEÇÕES</v>
      </c>
      <c r="C14" s="105">
        <f>Orçamento!Q107</f>
        <v>568504.99</v>
      </c>
      <c r="D14" s="104">
        <f>C14/$C$26</f>
        <v>0.11230243202619639</v>
      </c>
    </row>
    <row r="15" spans="1:4" ht="25.9" customHeight="1">
      <c r="A15" s="101"/>
      <c r="B15" s="102"/>
      <c r="C15" s="105"/>
      <c r="D15" s="104"/>
    </row>
    <row r="16" spans="1:4" ht="25.9" customHeight="1">
      <c r="A16" s="101" t="str">
        <f>Orçamento!A109</f>
        <v>6.</v>
      </c>
      <c r="B16" s="102" t="str">
        <f>Orçamento!C109</f>
        <v>PAREDE:  REVESTIMENTOS, ELEMENTOS DECORATIVOS, PINTURA</v>
      </c>
      <c r="C16" s="105">
        <f>Orçamento!Q118</f>
        <v>79755.61</v>
      </c>
      <c r="D16" s="104">
        <f>C16/$C$26</f>
        <v>1.5754917068947501E-2</v>
      </c>
    </row>
    <row r="17" spans="1:7" ht="25.9" customHeight="1">
      <c r="A17" s="101"/>
      <c r="B17" s="102"/>
      <c r="C17" s="106"/>
      <c r="D17" s="104"/>
    </row>
    <row r="18" spans="1:7" ht="25.9" customHeight="1">
      <c r="A18" s="101" t="s">
        <v>109</v>
      </c>
      <c r="B18" s="102" t="str">
        <f>Orçamento!C120</f>
        <v>PISOS, RODAPÉS E SOLEIRAS</v>
      </c>
      <c r="C18" s="105">
        <f>Orçamento!Q129</f>
        <v>692810.71</v>
      </c>
      <c r="D18" s="104">
        <f>C18/$C$26</f>
        <v>0.13685777440017871</v>
      </c>
    </row>
    <row r="19" spans="1:7" ht="25.9" customHeight="1">
      <c r="A19" s="101"/>
      <c r="B19" s="102"/>
      <c r="C19" s="106"/>
      <c r="D19" s="104"/>
    </row>
    <row r="20" spans="1:7" ht="25.9" customHeight="1">
      <c r="A20" s="101" t="s">
        <v>418</v>
      </c>
      <c r="B20" s="136" t="s">
        <v>2018</v>
      </c>
      <c r="C20" s="105">
        <f>Orçamento!Q281</f>
        <v>679620.28</v>
      </c>
      <c r="D20" s="104">
        <f>C20/$C$26</f>
        <v>0.13425213787186732</v>
      </c>
    </row>
    <row r="21" spans="1:7" ht="25.9" customHeight="1">
      <c r="A21" s="101"/>
      <c r="B21" s="102"/>
      <c r="C21" s="106"/>
      <c r="D21" s="107"/>
    </row>
    <row r="22" spans="1:7" ht="25.9" customHeight="1">
      <c r="A22" s="101" t="str">
        <f>Orçamento!A283</f>
        <v>9.</v>
      </c>
      <c r="B22" s="102" t="str">
        <f>Orçamento!C283</f>
        <v>COMPLEMENTAÇÃO DA OBRA</v>
      </c>
      <c r="C22" s="105">
        <f>Orçamento!Q361</f>
        <v>242512.01000000004</v>
      </c>
      <c r="D22" s="104">
        <f>C22/$C$26</f>
        <v>4.7905803814600224E-2</v>
      </c>
    </row>
    <row r="23" spans="1:7" ht="25.9" customHeight="1">
      <c r="A23" s="101"/>
      <c r="B23" s="102"/>
      <c r="C23" s="106"/>
      <c r="D23" s="107"/>
    </row>
    <row r="24" spans="1:7" ht="25.9" customHeight="1">
      <c r="A24" s="108"/>
      <c r="B24" s="109"/>
      <c r="C24" s="109"/>
      <c r="D24" s="110"/>
    </row>
    <row r="25" spans="1:7" s="92" customFormat="1" ht="4.5" customHeight="1">
      <c r="A25" s="91"/>
      <c r="B25" s="91"/>
      <c r="C25" s="91"/>
      <c r="D25" s="91"/>
    </row>
    <row r="26" spans="1:7" s="92" customFormat="1" ht="40.15" customHeight="1">
      <c r="A26" s="111"/>
      <c r="B26" s="1000" t="s">
        <v>77</v>
      </c>
      <c r="C26" s="1001">
        <f>SUM(C6:C23)</f>
        <v>5062267.84</v>
      </c>
      <c r="D26" s="1002">
        <f>C26/$C$26</f>
        <v>1</v>
      </c>
    </row>
    <row r="27" spans="1:7">
      <c r="A27" s="112"/>
      <c r="B27" s="113"/>
      <c r="C27" s="113"/>
      <c r="D27" s="114"/>
    </row>
    <row r="28" spans="1:7">
      <c r="A28" s="115"/>
      <c r="B28" s="116"/>
      <c r="C28" s="116"/>
      <c r="D28" s="117"/>
    </row>
    <row r="29" spans="1:7">
      <c r="A29" s="115"/>
      <c r="B29" s="116"/>
      <c r="C29" s="116"/>
      <c r="D29" s="117"/>
    </row>
    <row r="30" spans="1:7">
      <c r="A30" s="115"/>
      <c r="B30" s="116"/>
      <c r="C30" s="116"/>
      <c r="D30" s="117"/>
    </row>
    <row r="31" spans="1:7" s="122" customFormat="1" ht="12" customHeight="1">
      <c r="A31" s="118"/>
      <c r="B31" s="119"/>
      <c r="C31" s="119"/>
      <c r="D31" s="120"/>
      <c r="E31" s="121"/>
      <c r="F31" s="121"/>
      <c r="G31" s="121"/>
    </row>
    <row r="32" spans="1:7" ht="12.75" customHeight="1">
      <c r="A32" s="123"/>
      <c r="B32" s="124"/>
      <c r="C32" s="124"/>
      <c r="D32" s="125"/>
      <c r="E32" s="126"/>
      <c r="F32" s="126"/>
      <c r="G32" s="126"/>
    </row>
    <row r="33" spans="1:4">
      <c r="A33" s="127"/>
      <c r="B33" s="128"/>
      <c r="C33" s="128"/>
      <c r="D33" s="129"/>
    </row>
  </sheetData>
  <mergeCells count="1">
    <mergeCell ref="C1:D2"/>
  </mergeCells>
  <printOptions horizontalCentered="1"/>
  <pageMargins left="0.9055118110236221" right="0.51181102362204722" top="0.78740157480314965" bottom="0.78740157480314965" header="0.31496062992125984" footer="0.31496062992125984"/>
  <pageSetup paperSize="9" scale="7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509"/>
  <sheetViews>
    <sheetView showGridLines="0" zoomScaleNormal="100" zoomScaleSheetLayoutView="76" workbookViewId="0">
      <pane ySplit="5" topLeftCell="A356" activePane="bottomLeft" state="frozen"/>
      <selection activeCell="A5" sqref="A5"/>
      <selection pane="bottomLeft" activeCell="A4" sqref="A4:Q363"/>
    </sheetView>
  </sheetViews>
  <sheetFormatPr defaultColWidth="9.140625" defaultRowHeight="63" customHeight="1"/>
  <cols>
    <col min="1" max="1" width="8" style="240" customWidth="1"/>
    <col min="2" max="2" width="18.140625" style="213" customWidth="1"/>
    <col min="3" max="3" width="68.140625" style="214" customWidth="1"/>
    <col min="4" max="4" width="9" style="213" customWidth="1"/>
    <col min="5" max="5" width="13.28515625" style="754" hidden="1" customWidth="1"/>
    <col min="6" max="13" width="13.28515625" style="215" hidden="1" customWidth="1"/>
    <col min="14" max="14" width="14.42578125" style="215" hidden="1" customWidth="1"/>
    <col min="15" max="15" width="13.28515625" style="215" customWidth="1"/>
    <col min="16" max="16" width="14.5703125" style="215" customWidth="1"/>
    <col min="17" max="17" width="19.7109375" style="215" customWidth="1"/>
    <col min="18" max="18" width="17.28515625" style="201" customWidth="1"/>
    <col min="19" max="19" width="14.5703125" style="201" bestFit="1" customWidth="1"/>
    <col min="20" max="23" width="9.140625" style="201"/>
    <col min="24" max="24" width="10.7109375" style="201" bestFit="1" customWidth="1"/>
    <col min="25" max="16384" width="9.140625" style="201"/>
  </cols>
  <sheetData>
    <row r="1" spans="1:25" s="157" customFormat="1" ht="39" customHeight="1">
      <c r="A1" s="1300" t="s">
        <v>430</v>
      </c>
      <c r="B1" s="1301"/>
      <c r="C1" s="234" t="s">
        <v>435</v>
      </c>
      <c r="D1" s="1183"/>
      <c r="E1" s="1291" t="s">
        <v>434</v>
      </c>
      <c r="F1" s="1292"/>
      <c r="G1" s="1292"/>
      <c r="H1" s="1292"/>
      <c r="I1" s="1292"/>
      <c r="J1" s="1292"/>
      <c r="K1" s="1292"/>
      <c r="L1" s="1292"/>
      <c r="M1" s="1292"/>
      <c r="N1" s="1292"/>
      <c r="O1" s="1292"/>
      <c r="P1" s="1292"/>
      <c r="Q1" s="1293"/>
    </row>
    <row r="2" spans="1:25" s="157" customFormat="1" ht="42" customHeight="1" thickBot="1">
      <c r="A2" s="1302"/>
      <c r="B2" s="1303"/>
      <c r="C2" s="235" t="s">
        <v>958</v>
      </c>
      <c r="D2" s="1184"/>
      <c r="E2" s="1294"/>
      <c r="F2" s="1295"/>
      <c r="G2" s="1295"/>
      <c r="H2" s="1295"/>
      <c r="I2" s="1295"/>
      <c r="J2" s="1295"/>
      <c r="K2" s="1295"/>
      <c r="L2" s="1295"/>
      <c r="M2" s="1295"/>
      <c r="N2" s="1295"/>
      <c r="O2" s="1295"/>
      <c r="P2" s="1295"/>
      <c r="Q2" s="1296"/>
    </row>
    <row r="3" spans="1:25" s="158" customFormat="1" ht="21" customHeight="1">
      <c r="A3" s="236"/>
      <c r="B3" s="230"/>
      <c r="C3" s="229"/>
      <c r="D3" s="230"/>
      <c r="E3" s="727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2"/>
      <c r="Q3" s="233"/>
      <c r="R3" s="771"/>
    </row>
    <row r="4" spans="1:25" s="159" customFormat="1" ht="46.5" customHeight="1">
      <c r="A4" s="1488" t="s">
        <v>18</v>
      </c>
      <c r="B4" s="1489" t="s">
        <v>30</v>
      </c>
      <c r="C4" s="1500" t="s">
        <v>19</v>
      </c>
      <c r="D4" s="1490" t="s">
        <v>1155</v>
      </c>
      <c r="E4" s="1491" t="s">
        <v>1156</v>
      </c>
      <c r="F4" s="1492"/>
      <c r="G4" s="1492"/>
      <c r="H4" s="1492"/>
      <c r="I4" s="1492"/>
      <c r="J4" s="1492"/>
      <c r="K4" s="1492"/>
      <c r="L4" s="1492"/>
      <c r="M4" s="1492"/>
      <c r="N4" s="1493"/>
      <c r="O4" s="1501" t="s">
        <v>2491</v>
      </c>
      <c r="P4" s="1501" t="s">
        <v>1204</v>
      </c>
      <c r="Q4" s="1494" t="s">
        <v>1205</v>
      </c>
      <c r="R4" s="201"/>
    </row>
    <row r="5" spans="1:25" s="158" customFormat="1" ht="29.25" customHeight="1">
      <c r="A5" s="1495"/>
      <c r="B5" s="1496"/>
      <c r="C5" s="1502"/>
      <c r="D5" s="1499"/>
      <c r="E5" s="1497" t="s">
        <v>1157</v>
      </c>
      <c r="F5" s="1497" t="s">
        <v>1158</v>
      </c>
      <c r="G5" s="1497" t="s">
        <v>1159</v>
      </c>
      <c r="H5" s="1497" t="s">
        <v>1160</v>
      </c>
      <c r="I5" s="1497" t="s">
        <v>1161</v>
      </c>
      <c r="J5" s="1497" t="s">
        <v>1162</v>
      </c>
      <c r="K5" s="1497" t="s">
        <v>1163</v>
      </c>
      <c r="L5" s="1497" t="s">
        <v>1164</v>
      </c>
      <c r="M5" s="1497" t="s">
        <v>1189</v>
      </c>
      <c r="N5" s="1497" t="s">
        <v>1664</v>
      </c>
      <c r="O5" s="1503"/>
      <c r="P5" s="1503"/>
      <c r="Q5" s="1498"/>
      <c r="R5" s="771"/>
    </row>
    <row r="6" spans="1:25" s="158" customFormat="1" ht="19.5" customHeight="1">
      <c r="A6" s="257"/>
      <c r="B6" s="258"/>
      <c r="C6" s="680"/>
      <c r="D6" s="258"/>
      <c r="E6" s="728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1"/>
      <c r="Q6" s="681"/>
      <c r="R6" s="771"/>
    </row>
    <row r="7" spans="1:25" s="159" customFormat="1" ht="28.5" hidden="1" customHeight="1">
      <c r="A7" s="223" t="s">
        <v>24</v>
      </c>
      <c r="B7" s="224"/>
      <c r="C7" s="225" t="s">
        <v>117</v>
      </c>
      <c r="D7" s="224"/>
      <c r="E7" s="729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7" t="s">
        <v>0</v>
      </c>
      <c r="Q7" s="228"/>
      <c r="R7" s="201"/>
    </row>
    <row r="8" spans="1:25" s="159" customFormat="1" ht="30" hidden="1" customHeight="1">
      <c r="A8" s="222" t="s">
        <v>6</v>
      </c>
      <c r="B8" s="217"/>
      <c r="C8" s="218" t="s">
        <v>431</v>
      </c>
      <c r="D8" s="217"/>
      <c r="E8" s="730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20"/>
      <c r="Q8" s="221"/>
      <c r="R8" s="201"/>
    </row>
    <row r="9" spans="1:25" s="159" customFormat="1" ht="33" hidden="1" customHeight="1">
      <c r="A9" s="270" t="s">
        <v>20</v>
      </c>
      <c r="B9" s="985" t="s">
        <v>2014</v>
      </c>
      <c r="C9" s="272" t="s">
        <v>1717</v>
      </c>
      <c r="D9" s="273" t="s">
        <v>822</v>
      </c>
      <c r="E9" s="904"/>
      <c r="F9" s="905"/>
      <c r="G9" s="905"/>
      <c r="H9" s="905"/>
      <c r="I9" s="907"/>
      <c r="J9" s="907"/>
      <c r="K9" s="907"/>
      <c r="L9" s="907"/>
      <c r="M9" s="907"/>
      <c r="N9" s="274">
        <v>1</v>
      </c>
      <c r="O9" s="274">
        <f t="shared" ref="O9:O12" si="0">SUM(E9:N9)</f>
        <v>1</v>
      </c>
      <c r="P9" s="275">
        <f>(2762.87+1006.39)*1.245</f>
        <v>4692.7286999999997</v>
      </c>
      <c r="Q9" s="796">
        <f t="shared" ref="Q9:Q10" si="1">TRUNC(O9*P9,2)</f>
        <v>4692.72</v>
      </c>
      <c r="R9" s="201" t="s">
        <v>1940</v>
      </c>
    </row>
    <row r="10" spans="1:25" s="159" customFormat="1" ht="36" hidden="1" customHeight="1">
      <c r="A10" s="270" t="s">
        <v>23</v>
      </c>
      <c r="B10" s="277" t="s">
        <v>1719</v>
      </c>
      <c r="C10" s="272" t="s">
        <v>2420</v>
      </c>
      <c r="D10" s="273" t="s">
        <v>822</v>
      </c>
      <c r="E10" s="904"/>
      <c r="F10" s="905"/>
      <c r="G10" s="905"/>
      <c r="H10" s="905"/>
      <c r="I10" s="907"/>
      <c r="J10" s="907"/>
      <c r="K10" s="907"/>
      <c r="L10" s="907"/>
      <c r="M10" s="907"/>
      <c r="N10" s="274">
        <v>1</v>
      </c>
      <c r="O10" s="274">
        <f t="shared" si="0"/>
        <v>1</v>
      </c>
      <c r="P10" s="275">
        <f>COMPOSIÇÕES!B92</f>
        <v>1664.7393000000002</v>
      </c>
      <c r="Q10" s="796">
        <f t="shared" si="1"/>
        <v>1664.73</v>
      </c>
      <c r="R10" s="201" t="s">
        <v>886</v>
      </c>
    </row>
    <row r="11" spans="1:25" s="167" customFormat="1" ht="39" hidden="1" customHeight="1">
      <c r="A11" s="270" t="s">
        <v>1463</v>
      </c>
      <c r="B11" s="277" t="s">
        <v>120</v>
      </c>
      <c r="C11" s="216" t="s">
        <v>2410</v>
      </c>
      <c r="D11" s="163" t="s">
        <v>12</v>
      </c>
      <c r="E11" s="736"/>
      <c r="F11" s="175"/>
      <c r="G11" s="175"/>
      <c r="H11" s="175"/>
      <c r="I11" s="175"/>
      <c r="J11" s="175"/>
      <c r="K11" s="175"/>
      <c r="L11" s="175"/>
      <c r="M11" s="175"/>
      <c r="N11" s="175">
        <v>6</v>
      </c>
      <c r="O11" s="175">
        <f t="shared" si="0"/>
        <v>6</v>
      </c>
      <c r="P11" s="618">
        <f>COMPOSIÇÕES!B44</f>
        <v>597.69959999999992</v>
      </c>
      <c r="Q11" s="177">
        <f>TRUNC(O11*P11,2)</f>
        <v>3586.19</v>
      </c>
      <c r="R11" s="167" t="s">
        <v>886</v>
      </c>
      <c r="Y11" s="172"/>
    </row>
    <row r="12" spans="1:25" s="167" customFormat="1" ht="36" hidden="1" customHeight="1">
      <c r="A12" s="270" t="s">
        <v>1718</v>
      </c>
      <c r="B12" s="906" t="s">
        <v>2419</v>
      </c>
      <c r="C12" s="162" t="s">
        <v>2421</v>
      </c>
      <c r="D12" s="163" t="s">
        <v>12</v>
      </c>
      <c r="E12" s="699"/>
      <c r="F12" s="164"/>
      <c r="G12" s="164"/>
      <c r="H12" s="164"/>
      <c r="I12" s="164"/>
      <c r="J12" s="164"/>
      <c r="K12" s="164"/>
      <c r="L12" s="164"/>
      <c r="M12" s="175"/>
      <c r="N12" s="175">
        <f>(43+56)*2</f>
        <v>198</v>
      </c>
      <c r="O12" s="175">
        <f t="shared" si="0"/>
        <v>198</v>
      </c>
      <c r="P12" s="275">
        <f>COMPOSIÇÕES!B21</f>
        <v>70.404749999999993</v>
      </c>
      <c r="Q12" s="177">
        <f t="shared" ref="Q12:Q43" si="2">TRUNC(O12*P12,2)</f>
        <v>13940.14</v>
      </c>
      <c r="R12" s="167" t="s">
        <v>886</v>
      </c>
    </row>
    <row r="13" spans="1:25" s="167" customFormat="1" ht="25.5" hidden="1" customHeight="1">
      <c r="A13" s="270"/>
      <c r="B13" s="1166"/>
      <c r="C13" s="1153" t="s">
        <v>2343</v>
      </c>
      <c r="D13" s="304"/>
      <c r="E13" s="735"/>
      <c r="F13" s="245"/>
      <c r="G13" s="245"/>
      <c r="H13" s="245"/>
      <c r="I13" s="245"/>
      <c r="J13" s="245"/>
      <c r="K13" s="245"/>
      <c r="L13" s="245"/>
      <c r="M13" s="305"/>
      <c r="N13" s="305"/>
      <c r="O13" s="305"/>
      <c r="P13" s="286"/>
      <c r="Q13" s="1172">
        <f>SUM(Q9:Q12)</f>
        <v>23883.78</v>
      </c>
    </row>
    <row r="14" spans="1:25" s="167" customFormat="1" ht="30" hidden="1" customHeight="1">
      <c r="A14" s="241" t="s">
        <v>7</v>
      </c>
      <c r="B14" s="242"/>
      <c r="C14" s="243" t="s">
        <v>432</v>
      </c>
      <c r="D14" s="244"/>
      <c r="E14" s="731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6"/>
      <c r="Q14" s="307"/>
    </row>
    <row r="15" spans="1:25" s="167" customFormat="1" ht="66.75" hidden="1" customHeight="1">
      <c r="A15" s="160" t="s">
        <v>21</v>
      </c>
      <c r="B15" s="161" t="s">
        <v>865</v>
      </c>
      <c r="C15" s="162" t="s">
        <v>1710</v>
      </c>
      <c r="D15" s="168" t="s">
        <v>17</v>
      </c>
      <c r="E15" s="699"/>
      <c r="F15" s="274"/>
      <c r="G15" s="274"/>
      <c r="H15" s="274"/>
      <c r="I15" s="274"/>
      <c r="J15" s="274"/>
      <c r="K15" s="274"/>
      <c r="L15" s="274"/>
      <c r="M15" s="274"/>
      <c r="N15" s="274">
        <v>4</v>
      </c>
      <c r="O15" s="274">
        <f t="shared" ref="O15:O19" si="3">SUM(E15:N15)</f>
        <v>4</v>
      </c>
      <c r="P15" s="275">
        <f>COMPOSIÇÕES!B58</f>
        <v>628.72500000000002</v>
      </c>
      <c r="Q15" s="177">
        <f t="shared" si="2"/>
        <v>2514.9</v>
      </c>
      <c r="R15" s="167" t="s">
        <v>886</v>
      </c>
    </row>
    <row r="16" spans="1:25" s="167" customFormat="1" ht="66.75" hidden="1" customHeight="1">
      <c r="A16" s="160" t="s">
        <v>2404</v>
      </c>
      <c r="B16" s="161" t="s">
        <v>865</v>
      </c>
      <c r="C16" s="162" t="s">
        <v>1712</v>
      </c>
      <c r="D16" s="168" t="s">
        <v>17</v>
      </c>
      <c r="E16" s="699"/>
      <c r="F16" s="274"/>
      <c r="G16" s="274"/>
      <c r="H16" s="274"/>
      <c r="I16" s="274"/>
      <c r="J16" s="274"/>
      <c r="K16" s="274"/>
      <c r="L16" s="274"/>
      <c r="M16" s="274"/>
      <c r="N16" s="274">
        <f>2*4</f>
        <v>8</v>
      </c>
      <c r="O16" s="274">
        <f t="shared" ref="O16:O17" si="4">SUM(E16:N16)</f>
        <v>8</v>
      </c>
      <c r="P16" s="275">
        <f>COMPOSIÇÕES!B58</f>
        <v>628.72500000000002</v>
      </c>
      <c r="Q16" s="177">
        <f t="shared" ref="Q16" si="5">TRUNC(O16*P16,2)</f>
        <v>5029.8</v>
      </c>
      <c r="R16" s="167" t="s">
        <v>886</v>
      </c>
    </row>
    <row r="17" spans="1:18" s="167" customFormat="1" ht="66.75" hidden="1" customHeight="1">
      <c r="A17" s="160" t="s">
        <v>433</v>
      </c>
      <c r="B17" s="161" t="s">
        <v>865</v>
      </c>
      <c r="C17" s="162" t="s">
        <v>1714</v>
      </c>
      <c r="D17" s="168" t="s">
        <v>17</v>
      </c>
      <c r="E17" s="699"/>
      <c r="F17" s="274"/>
      <c r="G17" s="274"/>
      <c r="H17" s="274"/>
      <c r="I17" s="274"/>
      <c r="J17" s="274"/>
      <c r="K17" s="274"/>
      <c r="L17" s="274"/>
      <c r="M17" s="274"/>
      <c r="N17" s="274">
        <v>4</v>
      </c>
      <c r="O17" s="274">
        <f t="shared" si="4"/>
        <v>4</v>
      </c>
      <c r="P17" s="275">
        <f>COMPOSIÇÕES!B58</f>
        <v>628.72500000000002</v>
      </c>
      <c r="Q17" s="177">
        <f t="shared" ref="Q17" si="6">TRUNC(O17*P17,2)</f>
        <v>2514.9</v>
      </c>
      <c r="R17" s="167" t="s">
        <v>886</v>
      </c>
    </row>
    <row r="18" spans="1:18" s="167" customFormat="1" ht="66.75" hidden="1" customHeight="1">
      <c r="A18" s="160" t="s">
        <v>1715</v>
      </c>
      <c r="B18" s="161" t="s">
        <v>865</v>
      </c>
      <c r="C18" s="162" t="s">
        <v>1713</v>
      </c>
      <c r="D18" s="168" t="s">
        <v>17</v>
      </c>
      <c r="E18" s="699"/>
      <c r="F18" s="274"/>
      <c r="G18" s="274"/>
      <c r="H18" s="274"/>
      <c r="I18" s="274"/>
      <c r="J18" s="274"/>
      <c r="K18" s="274"/>
      <c r="L18" s="274"/>
      <c r="M18" s="274"/>
      <c r="N18" s="274">
        <v>4</v>
      </c>
      <c r="O18" s="274">
        <f t="shared" ref="O18" si="7">SUM(E18:N18)</f>
        <v>4</v>
      </c>
      <c r="P18" s="275">
        <f>COMPOSIÇÕES!B58</f>
        <v>628.72500000000002</v>
      </c>
      <c r="Q18" s="177">
        <f t="shared" ref="Q18" si="8">TRUNC(O18*P18,2)</f>
        <v>2514.9</v>
      </c>
      <c r="R18" s="167" t="s">
        <v>886</v>
      </c>
    </row>
    <row r="19" spans="1:18" s="167" customFormat="1" ht="66" hidden="1" customHeight="1">
      <c r="A19" s="160" t="s">
        <v>1716</v>
      </c>
      <c r="B19" s="161" t="s">
        <v>865</v>
      </c>
      <c r="C19" s="162" t="s">
        <v>1711</v>
      </c>
      <c r="D19" s="168" t="s">
        <v>17</v>
      </c>
      <c r="E19" s="699"/>
      <c r="F19" s="274"/>
      <c r="G19" s="274"/>
      <c r="H19" s="274"/>
      <c r="I19" s="274"/>
      <c r="J19" s="274"/>
      <c r="K19" s="274"/>
      <c r="L19" s="274"/>
      <c r="M19" s="274"/>
      <c r="N19" s="274">
        <f>4</f>
        <v>4</v>
      </c>
      <c r="O19" s="274">
        <f t="shared" si="3"/>
        <v>4</v>
      </c>
      <c r="P19" s="275">
        <f>COMPOSIÇÕES!B58</f>
        <v>628.72500000000002</v>
      </c>
      <c r="Q19" s="177">
        <f t="shared" si="2"/>
        <v>2514.9</v>
      </c>
      <c r="R19" s="167" t="s">
        <v>886</v>
      </c>
    </row>
    <row r="20" spans="1:18" s="167" customFormat="1" ht="24.75" hidden="1" customHeight="1">
      <c r="A20" s="1155"/>
      <c r="B20" s="1160"/>
      <c r="C20" s="1153" t="s">
        <v>2342</v>
      </c>
      <c r="D20" s="244"/>
      <c r="E20" s="73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6"/>
      <c r="Q20" s="1250">
        <f>SUM(Q15:Q19)</f>
        <v>15089.4</v>
      </c>
    </row>
    <row r="21" spans="1:18" s="167" customFormat="1" ht="30" hidden="1" customHeight="1">
      <c r="A21" s="241" t="s">
        <v>8</v>
      </c>
      <c r="B21" s="242"/>
      <c r="C21" s="243" t="s">
        <v>108</v>
      </c>
      <c r="D21" s="244"/>
      <c r="E21" s="731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6"/>
      <c r="Q21" s="177"/>
    </row>
    <row r="22" spans="1:18" s="167" customFormat="1" ht="36" hidden="1" customHeight="1">
      <c r="A22" s="160" t="s">
        <v>22</v>
      </c>
      <c r="B22" s="170" t="s">
        <v>81</v>
      </c>
      <c r="C22" s="171" t="s">
        <v>129</v>
      </c>
      <c r="D22" s="169" t="s">
        <v>1493</v>
      </c>
      <c r="E22" s="732"/>
      <c r="F22" s="164"/>
      <c r="G22" s="164"/>
      <c r="H22" s="164"/>
      <c r="I22" s="164"/>
      <c r="J22" s="164"/>
      <c r="K22" s="164"/>
      <c r="L22" s="164"/>
      <c r="M22" s="164"/>
      <c r="N22" s="164">
        <v>1</v>
      </c>
      <c r="O22" s="164">
        <f t="shared" ref="O22:O27" si="9">SUM(E22:N22)</f>
        <v>1</v>
      </c>
      <c r="P22" s="275">
        <v>8055.36</v>
      </c>
      <c r="Q22" s="177">
        <f t="shared" si="2"/>
        <v>8055.36</v>
      </c>
    </row>
    <row r="23" spans="1:18" s="167" customFormat="1" ht="20.100000000000001" hidden="1" customHeight="1">
      <c r="A23" s="160" t="s">
        <v>52</v>
      </c>
      <c r="B23" s="170" t="s">
        <v>81</v>
      </c>
      <c r="C23" s="171" t="s">
        <v>2170</v>
      </c>
      <c r="D23" s="189" t="s">
        <v>822</v>
      </c>
      <c r="E23" s="745"/>
      <c r="F23" s="190"/>
      <c r="G23" s="190"/>
      <c r="H23" s="190"/>
      <c r="I23" s="190"/>
      <c r="J23" s="190"/>
      <c r="K23" s="190"/>
      <c r="L23" s="190"/>
      <c r="M23" s="190"/>
      <c r="N23" s="190">
        <v>1</v>
      </c>
      <c r="O23" s="164">
        <f t="shared" si="9"/>
        <v>1</v>
      </c>
      <c r="P23" s="1069">
        <f>1500*3</f>
        <v>4500</v>
      </c>
      <c r="Q23" s="177">
        <f t="shared" si="2"/>
        <v>4500</v>
      </c>
    </row>
    <row r="24" spans="1:18" s="167" customFormat="1" ht="20.100000000000001" hidden="1" customHeight="1">
      <c r="A24" s="160" t="s">
        <v>55</v>
      </c>
      <c r="B24" s="170" t="s">
        <v>81</v>
      </c>
      <c r="C24" s="171" t="s">
        <v>2178</v>
      </c>
      <c r="D24" s="189" t="s">
        <v>863</v>
      </c>
      <c r="E24" s="745"/>
      <c r="F24" s="190"/>
      <c r="G24" s="190"/>
      <c r="H24" s="190"/>
      <c r="I24" s="190"/>
      <c r="J24" s="190"/>
      <c r="K24" s="190"/>
      <c r="L24" s="190"/>
      <c r="M24" s="190"/>
      <c r="N24" s="190">
        <v>4</v>
      </c>
      <c r="O24" s="164">
        <f t="shared" si="9"/>
        <v>4</v>
      </c>
      <c r="P24" s="1069">
        <f>'Administração da Obra'!I68</f>
        <v>34767.259377228962</v>
      </c>
      <c r="Q24" s="177">
        <f t="shared" si="2"/>
        <v>139069.03</v>
      </c>
    </row>
    <row r="25" spans="1:18" s="167" customFormat="1" ht="20.100000000000001" hidden="1" customHeight="1">
      <c r="A25" s="160" t="s">
        <v>56</v>
      </c>
      <c r="B25" s="170" t="s">
        <v>81</v>
      </c>
      <c r="C25" s="171" t="s">
        <v>2274</v>
      </c>
      <c r="D25" s="189" t="s">
        <v>863</v>
      </c>
      <c r="E25" s="700"/>
      <c r="F25" s="687"/>
      <c r="G25" s="687"/>
      <c r="H25" s="687"/>
      <c r="I25" s="687"/>
      <c r="J25" s="687"/>
      <c r="K25" s="687"/>
      <c r="L25" s="687"/>
      <c r="M25" s="687"/>
      <c r="N25" s="687">
        <v>4</v>
      </c>
      <c r="O25" s="164">
        <f t="shared" si="9"/>
        <v>4</v>
      </c>
      <c r="P25" s="1069">
        <f>'Administração da Obra'!O25</f>
        <v>6512.9</v>
      </c>
      <c r="Q25" s="177">
        <f t="shared" si="2"/>
        <v>26051.599999999999</v>
      </c>
    </row>
    <row r="26" spans="1:18" s="167" customFormat="1" ht="20.100000000000001" hidden="1" customHeight="1">
      <c r="A26" s="160" t="s">
        <v>2179</v>
      </c>
      <c r="B26" s="170" t="s">
        <v>81</v>
      </c>
      <c r="C26" s="171" t="s">
        <v>2402</v>
      </c>
      <c r="D26" s="189" t="s">
        <v>2403</v>
      </c>
      <c r="E26" s="700"/>
      <c r="F26" s="687"/>
      <c r="G26" s="687"/>
      <c r="H26" s="687"/>
      <c r="I26" s="687"/>
      <c r="J26" s="687"/>
      <c r="K26" s="687"/>
      <c r="L26" s="687"/>
      <c r="M26" s="687"/>
      <c r="N26" s="687">
        <v>4</v>
      </c>
      <c r="O26" s="164">
        <f t="shared" si="9"/>
        <v>4</v>
      </c>
      <c r="P26" s="1069">
        <v>5644</v>
      </c>
      <c r="Q26" s="177">
        <f t="shared" si="2"/>
        <v>22576</v>
      </c>
    </row>
    <row r="27" spans="1:18" s="167" customFormat="1" ht="20.100000000000001" hidden="1" customHeight="1">
      <c r="A27" s="160" t="s">
        <v>2296</v>
      </c>
      <c r="B27" s="170" t="s">
        <v>81</v>
      </c>
      <c r="C27" s="1150" t="s">
        <v>2396</v>
      </c>
      <c r="D27" s="189" t="s">
        <v>863</v>
      </c>
      <c r="E27" s="700"/>
      <c r="F27" s="616"/>
      <c r="G27" s="616"/>
      <c r="H27" s="616"/>
      <c r="I27" s="616"/>
      <c r="J27" s="616"/>
      <c r="K27" s="616"/>
      <c r="L27" s="616"/>
      <c r="M27" s="616"/>
      <c r="N27" s="687">
        <v>4</v>
      </c>
      <c r="O27" s="164">
        <f t="shared" si="9"/>
        <v>4</v>
      </c>
      <c r="P27" s="275">
        <f>'Administração da Obra'!O44</f>
        <v>33182.730000000003</v>
      </c>
      <c r="Q27" s="177">
        <f t="shared" si="2"/>
        <v>132730.92000000001</v>
      </c>
    </row>
    <row r="28" spans="1:18" s="167" customFormat="1" ht="21.75" hidden="1" customHeight="1">
      <c r="A28" s="1155"/>
      <c r="B28" s="1247"/>
      <c r="C28" s="1153" t="s">
        <v>2341</v>
      </c>
      <c r="D28" s="1247"/>
      <c r="E28" s="1248"/>
      <c r="F28" s="1245"/>
      <c r="G28" s="1245"/>
      <c r="H28" s="1245"/>
      <c r="I28" s="1245"/>
      <c r="J28" s="1245"/>
      <c r="K28" s="1245"/>
      <c r="L28" s="1245"/>
      <c r="M28" s="1245"/>
      <c r="N28" s="1249"/>
      <c r="O28" s="245"/>
      <c r="P28" s="286"/>
      <c r="Q28" s="1250">
        <f>SUM(Q22:Q27)</f>
        <v>332982.91000000003</v>
      </c>
    </row>
    <row r="29" spans="1:18" s="167" customFormat="1" ht="24.75" hidden="1" customHeight="1">
      <c r="A29" s="241" t="s">
        <v>911</v>
      </c>
      <c r="B29" s="242"/>
      <c r="C29" s="243" t="s">
        <v>912</v>
      </c>
      <c r="D29" s="244"/>
      <c r="E29" s="731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6"/>
      <c r="Q29" s="177"/>
    </row>
    <row r="30" spans="1:18" s="167" customFormat="1" ht="52.5" hidden="1" customHeight="1">
      <c r="A30" s="160" t="s">
        <v>939</v>
      </c>
      <c r="B30" s="161" t="s">
        <v>923</v>
      </c>
      <c r="C30" s="252" t="s">
        <v>1757</v>
      </c>
      <c r="D30" s="251" t="s">
        <v>682</v>
      </c>
      <c r="E30" s="880"/>
      <c r="F30" s="616"/>
      <c r="G30" s="616"/>
      <c r="H30" s="616"/>
      <c r="I30" s="616"/>
      <c r="J30" s="616"/>
      <c r="K30" s="616"/>
      <c r="L30" s="616"/>
      <c r="M30" s="616"/>
      <c r="N30" s="616">
        <v>13.6</v>
      </c>
      <c r="O30" s="616">
        <f t="shared" ref="O30:O43" si="10">SUM(E30:N30)</f>
        <v>13.6</v>
      </c>
      <c r="P30" s="275">
        <f>COMPOSIÇÕES!B129</f>
        <v>50.758650000000003</v>
      </c>
      <c r="Q30" s="177">
        <f t="shared" si="2"/>
        <v>690.31</v>
      </c>
      <c r="R30" s="167" t="s">
        <v>886</v>
      </c>
    </row>
    <row r="31" spans="1:18" s="167" customFormat="1" ht="31.5" hidden="1" customHeight="1">
      <c r="A31" s="160" t="s">
        <v>940</v>
      </c>
      <c r="B31" s="161" t="s">
        <v>2319</v>
      </c>
      <c r="C31" s="1150" t="s">
        <v>1685</v>
      </c>
      <c r="D31" s="251" t="s">
        <v>346</v>
      </c>
      <c r="E31" s="880"/>
      <c r="F31" s="616"/>
      <c r="G31" s="616"/>
      <c r="H31" s="616"/>
      <c r="I31" s="616"/>
      <c r="J31" s="616"/>
      <c r="K31" s="616"/>
      <c r="L31" s="616"/>
      <c r="M31" s="616"/>
      <c r="N31" s="616">
        <f>84+60+17+5+5</f>
        <v>171</v>
      </c>
      <c r="O31" s="616">
        <f t="shared" si="10"/>
        <v>171</v>
      </c>
      <c r="P31" s="275">
        <f>COMPOSIÇÕES!B178</f>
        <v>46.787099999999995</v>
      </c>
      <c r="Q31" s="177">
        <f t="shared" si="2"/>
        <v>8000.59</v>
      </c>
      <c r="R31" s="167" t="s">
        <v>886</v>
      </c>
    </row>
    <row r="32" spans="1:18" s="167" customFormat="1" ht="31.5" hidden="1" customHeight="1">
      <c r="A32" s="160" t="s">
        <v>941</v>
      </c>
      <c r="B32" s="161" t="s">
        <v>1681</v>
      </c>
      <c r="C32" s="252" t="s">
        <v>1679</v>
      </c>
      <c r="D32" s="251" t="s">
        <v>858</v>
      </c>
      <c r="E32" s="880"/>
      <c r="F32" s="616"/>
      <c r="G32" s="616"/>
      <c r="H32" s="616"/>
      <c r="I32" s="616"/>
      <c r="J32" s="616"/>
      <c r="K32" s="616"/>
      <c r="L32" s="616"/>
      <c r="M32" s="616"/>
      <c r="N32" s="616">
        <v>154</v>
      </c>
      <c r="O32" s="616">
        <f t="shared" si="10"/>
        <v>154</v>
      </c>
      <c r="P32" s="275">
        <f>COMPOSIÇÕES!B146</f>
        <v>28.485600000000005</v>
      </c>
      <c r="Q32" s="177">
        <f t="shared" si="2"/>
        <v>4386.78</v>
      </c>
      <c r="R32" s="167" t="s">
        <v>886</v>
      </c>
    </row>
    <row r="33" spans="1:18" s="167" customFormat="1" ht="31.5" hidden="1" customHeight="1">
      <c r="A33" s="160" t="s">
        <v>942</v>
      </c>
      <c r="B33" s="161" t="s">
        <v>2318</v>
      </c>
      <c r="C33" s="252" t="s">
        <v>1680</v>
      </c>
      <c r="D33" s="251" t="s">
        <v>858</v>
      </c>
      <c r="E33" s="880"/>
      <c r="F33" s="616"/>
      <c r="G33" s="616"/>
      <c r="H33" s="616"/>
      <c r="I33" s="616"/>
      <c r="J33" s="616"/>
      <c r="K33" s="616"/>
      <c r="L33" s="616"/>
      <c r="M33" s="616"/>
      <c r="N33" s="616">
        <v>225</v>
      </c>
      <c r="O33" s="616">
        <f t="shared" si="10"/>
        <v>225</v>
      </c>
      <c r="P33" s="275">
        <f>COMPOSIÇÕES!B163</f>
        <v>63.059250000000006</v>
      </c>
      <c r="Q33" s="177">
        <f t="shared" si="2"/>
        <v>14188.33</v>
      </c>
      <c r="R33" s="167" t="s">
        <v>886</v>
      </c>
    </row>
    <row r="34" spans="1:18" s="167" customFormat="1" ht="31.5" hidden="1" customHeight="1">
      <c r="A34" s="160" t="s">
        <v>943</v>
      </c>
      <c r="B34" s="161" t="s">
        <v>1689</v>
      </c>
      <c r="C34" s="252" t="s">
        <v>1756</v>
      </c>
      <c r="D34" s="251" t="s">
        <v>822</v>
      </c>
      <c r="E34" s="880"/>
      <c r="F34" s="616"/>
      <c r="G34" s="616"/>
      <c r="H34" s="616"/>
      <c r="I34" s="616"/>
      <c r="J34" s="616"/>
      <c r="K34" s="616"/>
      <c r="L34" s="616"/>
      <c r="M34" s="616"/>
      <c r="N34" s="616">
        <v>20</v>
      </c>
      <c r="O34" s="616">
        <f t="shared" si="10"/>
        <v>20</v>
      </c>
      <c r="P34" s="275">
        <f>COMPOSIÇÕES!B193</f>
        <v>47.558999999999997</v>
      </c>
      <c r="Q34" s="177">
        <f t="shared" si="2"/>
        <v>951.18</v>
      </c>
      <c r="R34" s="167" t="s">
        <v>886</v>
      </c>
    </row>
    <row r="35" spans="1:18" s="167" customFormat="1" ht="29.25" hidden="1" customHeight="1">
      <c r="A35" s="160" t="s">
        <v>940</v>
      </c>
      <c r="B35" s="474" t="s">
        <v>926</v>
      </c>
      <c r="C35" s="252" t="s">
        <v>925</v>
      </c>
      <c r="D35" s="251" t="s">
        <v>950</v>
      </c>
      <c r="E35" s="880"/>
      <c r="F35" s="616"/>
      <c r="G35" s="616"/>
      <c r="H35" s="616"/>
      <c r="I35" s="616"/>
      <c r="J35" s="616"/>
      <c r="K35" s="616"/>
      <c r="L35" s="616"/>
      <c r="M35" s="616"/>
      <c r="N35" s="879"/>
      <c r="O35" s="616">
        <f t="shared" si="10"/>
        <v>0</v>
      </c>
      <c r="P35" s="195" t="e">
        <f>COMPOSIÇÕES!#REF!</f>
        <v>#REF!</v>
      </c>
      <c r="Q35" s="177" t="e">
        <f t="shared" si="2"/>
        <v>#REF!</v>
      </c>
      <c r="R35" s="167" t="s">
        <v>886</v>
      </c>
    </row>
    <row r="36" spans="1:18" s="167" customFormat="1" ht="29.25" hidden="1" customHeight="1">
      <c r="A36" s="160" t="s">
        <v>941</v>
      </c>
      <c r="B36" s="474" t="s">
        <v>955</v>
      </c>
      <c r="C36" s="252" t="s">
        <v>956</v>
      </c>
      <c r="D36" s="251" t="s">
        <v>950</v>
      </c>
      <c r="E36" s="880"/>
      <c r="F36" s="616"/>
      <c r="G36" s="616"/>
      <c r="H36" s="616"/>
      <c r="I36" s="616"/>
      <c r="J36" s="616"/>
      <c r="K36" s="616"/>
      <c r="L36" s="616"/>
      <c r="M36" s="616"/>
      <c r="N36" s="879"/>
      <c r="O36" s="616">
        <f t="shared" si="10"/>
        <v>0</v>
      </c>
      <c r="P36" s="195"/>
      <c r="Q36" s="177">
        <f t="shared" si="2"/>
        <v>0</v>
      </c>
      <c r="R36" s="167" t="s">
        <v>957</v>
      </c>
    </row>
    <row r="37" spans="1:18" s="167" customFormat="1" ht="34.5" hidden="1" customHeight="1">
      <c r="A37" s="160" t="s">
        <v>942</v>
      </c>
      <c r="B37" s="474" t="s">
        <v>928</v>
      </c>
      <c r="C37" s="252" t="s">
        <v>927</v>
      </c>
      <c r="D37" s="251" t="s">
        <v>822</v>
      </c>
      <c r="E37" s="880"/>
      <c r="F37" s="616"/>
      <c r="G37" s="616"/>
      <c r="H37" s="616"/>
      <c r="I37" s="616"/>
      <c r="J37" s="616"/>
      <c r="K37" s="616"/>
      <c r="L37" s="616"/>
      <c r="M37" s="616"/>
      <c r="N37" s="879"/>
      <c r="O37" s="616">
        <f t="shared" si="10"/>
        <v>0</v>
      </c>
      <c r="P37" s="195" t="e">
        <f>COMPOSIÇÕES!#REF!</f>
        <v>#REF!</v>
      </c>
      <c r="Q37" s="177" t="e">
        <f t="shared" si="2"/>
        <v>#REF!</v>
      </c>
      <c r="R37" s="167" t="s">
        <v>886</v>
      </c>
    </row>
    <row r="38" spans="1:18" s="167" customFormat="1" ht="33" hidden="1" customHeight="1">
      <c r="A38" s="160" t="s">
        <v>943</v>
      </c>
      <c r="B38" s="474" t="s">
        <v>930</v>
      </c>
      <c r="C38" s="252" t="s">
        <v>929</v>
      </c>
      <c r="D38" s="251" t="s">
        <v>950</v>
      </c>
      <c r="E38" s="880"/>
      <c r="F38" s="616"/>
      <c r="G38" s="616"/>
      <c r="H38" s="616"/>
      <c r="I38" s="616"/>
      <c r="J38" s="616"/>
      <c r="K38" s="616"/>
      <c r="L38" s="616"/>
      <c r="M38" s="616"/>
      <c r="N38" s="879"/>
      <c r="O38" s="616">
        <f t="shared" si="10"/>
        <v>0</v>
      </c>
      <c r="P38" s="195" t="e">
        <f>COMPOSIÇÕES!#REF!</f>
        <v>#REF!</v>
      </c>
      <c r="Q38" s="177" t="e">
        <f t="shared" si="2"/>
        <v>#REF!</v>
      </c>
      <c r="R38" s="167" t="s">
        <v>886</v>
      </c>
    </row>
    <row r="39" spans="1:18" s="167" customFormat="1" ht="51.75" hidden="1" customHeight="1">
      <c r="A39" s="160" t="s">
        <v>944</v>
      </c>
      <c r="B39" s="474" t="s">
        <v>932</v>
      </c>
      <c r="C39" s="252" t="s">
        <v>931</v>
      </c>
      <c r="D39" s="251" t="s">
        <v>950</v>
      </c>
      <c r="E39" s="880"/>
      <c r="F39" s="616"/>
      <c r="G39" s="616"/>
      <c r="H39" s="616"/>
      <c r="I39" s="616"/>
      <c r="J39" s="616"/>
      <c r="K39" s="616"/>
      <c r="L39" s="616"/>
      <c r="M39" s="616"/>
      <c r="N39" s="879"/>
      <c r="O39" s="616">
        <f t="shared" si="10"/>
        <v>0</v>
      </c>
      <c r="P39" s="195" t="e">
        <f>COMPOSIÇÕES!#REF!</f>
        <v>#REF!</v>
      </c>
      <c r="Q39" s="177" t="e">
        <f t="shared" si="2"/>
        <v>#REF!</v>
      </c>
      <c r="R39" s="167" t="s">
        <v>886</v>
      </c>
    </row>
    <row r="40" spans="1:18" s="167" customFormat="1" ht="37.5" hidden="1" customHeight="1">
      <c r="A40" s="160" t="s">
        <v>945</v>
      </c>
      <c r="B40" s="474" t="s">
        <v>935</v>
      </c>
      <c r="C40" s="252" t="s">
        <v>934</v>
      </c>
      <c r="D40" s="251" t="s">
        <v>950</v>
      </c>
      <c r="E40" s="880"/>
      <c r="F40" s="616"/>
      <c r="G40" s="616"/>
      <c r="H40" s="616"/>
      <c r="I40" s="616"/>
      <c r="J40" s="616"/>
      <c r="K40" s="616"/>
      <c r="L40" s="616"/>
      <c r="M40" s="616"/>
      <c r="N40" s="879"/>
      <c r="O40" s="616">
        <f t="shared" si="10"/>
        <v>0</v>
      </c>
      <c r="P40" s="195" t="e">
        <f>COMPOSIÇÕES!#REF!</f>
        <v>#REF!</v>
      </c>
      <c r="Q40" s="177" t="e">
        <f t="shared" si="2"/>
        <v>#REF!</v>
      </c>
      <c r="R40" s="167" t="s">
        <v>886</v>
      </c>
    </row>
    <row r="41" spans="1:18" s="167" customFormat="1" ht="36" hidden="1" customHeight="1">
      <c r="A41" s="160" t="s">
        <v>946</v>
      </c>
      <c r="B41" s="474" t="s">
        <v>937</v>
      </c>
      <c r="C41" s="252" t="s">
        <v>936</v>
      </c>
      <c r="D41" s="251" t="s">
        <v>950</v>
      </c>
      <c r="E41" s="880"/>
      <c r="F41" s="616"/>
      <c r="G41" s="616"/>
      <c r="H41" s="616"/>
      <c r="I41" s="616"/>
      <c r="J41" s="616"/>
      <c r="K41" s="616"/>
      <c r="L41" s="616"/>
      <c r="M41" s="616"/>
      <c r="N41" s="879"/>
      <c r="O41" s="616">
        <f t="shared" si="10"/>
        <v>0</v>
      </c>
      <c r="P41" s="195" t="e">
        <f>COMPOSIÇÕES!#REF!</f>
        <v>#REF!</v>
      </c>
      <c r="Q41" s="177" t="e">
        <f t="shared" si="2"/>
        <v>#REF!</v>
      </c>
      <c r="R41" s="167" t="s">
        <v>886</v>
      </c>
    </row>
    <row r="42" spans="1:18" s="167" customFormat="1" ht="24" hidden="1" customHeight="1">
      <c r="A42" s="160" t="s">
        <v>947</v>
      </c>
      <c r="B42" s="474" t="s">
        <v>953</v>
      </c>
      <c r="C42" s="252" t="s">
        <v>951</v>
      </c>
      <c r="D42" s="251" t="s">
        <v>822</v>
      </c>
      <c r="E42" s="880"/>
      <c r="F42" s="616"/>
      <c r="G42" s="616"/>
      <c r="H42" s="616"/>
      <c r="I42" s="616"/>
      <c r="J42" s="616"/>
      <c r="K42" s="616"/>
      <c r="L42" s="616"/>
      <c r="M42" s="616"/>
      <c r="N42" s="879"/>
      <c r="O42" s="616">
        <f t="shared" si="10"/>
        <v>0</v>
      </c>
      <c r="P42" s="195"/>
      <c r="Q42" s="177">
        <f t="shared" si="2"/>
        <v>0</v>
      </c>
      <c r="R42" s="167" t="s">
        <v>957</v>
      </c>
    </row>
    <row r="43" spans="1:18" s="167" customFormat="1" ht="27" hidden="1" customHeight="1">
      <c r="A43" s="160" t="s">
        <v>948</v>
      </c>
      <c r="B43" s="474" t="s">
        <v>954</v>
      </c>
      <c r="C43" s="252" t="s">
        <v>952</v>
      </c>
      <c r="D43" s="251" t="s">
        <v>822</v>
      </c>
      <c r="E43" s="880"/>
      <c r="F43" s="616"/>
      <c r="G43" s="616"/>
      <c r="H43" s="616"/>
      <c r="I43" s="616"/>
      <c r="J43" s="616"/>
      <c r="K43" s="616"/>
      <c r="L43" s="616"/>
      <c r="M43" s="616"/>
      <c r="N43" s="879"/>
      <c r="O43" s="616">
        <f t="shared" si="10"/>
        <v>0</v>
      </c>
      <c r="P43" s="195"/>
      <c r="Q43" s="177">
        <f t="shared" si="2"/>
        <v>0</v>
      </c>
      <c r="R43" s="167" t="s">
        <v>957</v>
      </c>
    </row>
    <row r="44" spans="1:18" s="167" customFormat="1" ht="24" hidden="1" customHeight="1">
      <c r="A44" s="1155"/>
      <c r="B44" s="1242"/>
      <c r="C44" s="1153" t="s">
        <v>2340</v>
      </c>
      <c r="D44" s="1243"/>
      <c r="E44" s="1244"/>
      <c r="F44" s="1245"/>
      <c r="G44" s="1245"/>
      <c r="H44" s="1245"/>
      <c r="I44" s="1245"/>
      <c r="J44" s="1245"/>
      <c r="K44" s="1245"/>
      <c r="L44" s="1245"/>
      <c r="M44" s="1245"/>
      <c r="N44" s="1245"/>
      <c r="O44" s="1245"/>
      <c r="P44" s="1246"/>
      <c r="Q44" s="1172">
        <f>SUM(Q30:Q34)</f>
        <v>28217.190000000002</v>
      </c>
    </row>
    <row r="45" spans="1:18" s="172" customFormat="1" ht="19.5" hidden="1" customHeight="1">
      <c r="A45" s="223"/>
      <c r="B45" s="253"/>
      <c r="C45" s="263" t="s">
        <v>11</v>
      </c>
      <c r="D45" s="253" t="s">
        <v>2</v>
      </c>
      <c r="E45" s="73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5"/>
      <c r="Q45" s="256">
        <f>Q44+Q28+Q20+Q13</f>
        <v>400173.28</v>
      </c>
      <c r="R45" s="167"/>
    </row>
    <row r="46" spans="1:18" s="158" customFormat="1" ht="15" hidden="1" customHeight="1">
      <c r="A46" s="257"/>
      <c r="B46" s="258"/>
      <c r="C46" s="259"/>
      <c r="D46" s="258"/>
      <c r="E46" s="728"/>
      <c r="F46" s="260"/>
      <c r="G46" s="260"/>
      <c r="H46" s="260"/>
      <c r="I46" s="260"/>
      <c r="J46" s="260"/>
      <c r="K46" s="260"/>
      <c r="L46" s="260"/>
      <c r="M46" s="260"/>
      <c r="N46" s="260"/>
      <c r="O46" s="260"/>
      <c r="P46" s="261"/>
      <c r="Q46" s="262"/>
      <c r="R46" s="771"/>
    </row>
    <row r="47" spans="1:18" s="172" customFormat="1" ht="34.5" hidden="1" customHeight="1">
      <c r="A47" s="223" t="s">
        <v>25</v>
      </c>
      <c r="B47" s="253"/>
      <c r="C47" s="225" t="s">
        <v>440</v>
      </c>
      <c r="D47" s="253" t="s">
        <v>2</v>
      </c>
      <c r="E47" s="73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5" t="s">
        <v>0</v>
      </c>
      <c r="Q47" s="256"/>
      <c r="R47" s="167"/>
    </row>
    <row r="48" spans="1:18" s="172" customFormat="1" ht="27" hidden="1" customHeight="1">
      <c r="A48" s="278" t="s">
        <v>14</v>
      </c>
      <c r="B48" s="279"/>
      <c r="C48" s="280" t="s">
        <v>1210</v>
      </c>
      <c r="D48" s="279"/>
      <c r="E48" s="734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2"/>
      <c r="Q48" s="283"/>
      <c r="R48" s="167"/>
    </row>
    <row r="49" spans="1:19" s="167" customFormat="1" ht="33" hidden="1" customHeight="1">
      <c r="A49" s="1283" t="s">
        <v>465</v>
      </c>
      <c r="B49" s="1284" t="s">
        <v>2270</v>
      </c>
      <c r="C49" s="1285" t="s">
        <v>2452</v>
      </c>
      <c r="D49" s="930" t="s">
        <v>12</v>
      </c>
      <c r="E49" s="736"/>
      <c r="F49" s="617"/>
      <c r="G49" s="617"/>
      <c r="H49" s="617"/>
      <c r="I49" s="617"/>
      <c r="J49" s="617"/>
      <c r="K49" s="617"/>
      <c r="L49" s="617"/>
      <c r="M49" s="617"/>
      <c r="N49" s="617">
        <v>4567.4000999999998</v>
      </c>
      <c r="O49" s="617">
        <f t="shared" ref="O49:O54" si="11">SUM(E49:N49)</f>
        <v>4567.4000999999998</v>
      </c>
      <c r="P49" s="618">
        <f>COMPOSIÇÕES!B220</f>
        <v>9.9350999999999985</v>
      </c>
      <c r="Q49" s="1286">
        <f t="shared" ref="Q49:Q71" si="12">TRUNC(O49*P49,2)</f>
        <v>45377.57</v>
      </c>
      <c r="R49" s="167" t="s">
        <v>886</v>
      </c>
      <c r="S49" s="179"/>
    </row>
    <row r="50" spans="1:19" s="167" customFormat="1" ht="24" hidden="1" customHeight="1">
      <c r="A50" s="1168"/>
      <c r="B50" s="1241"/>
      <c r="C50" s="1153" t="s">
        <v>2338</v>
      </c>
      <c r="D50" s="304"/>
      <c r="E50" s="793"/>
      <c r="F50" s="794"/>
      <c r="G50" s="794"/>
      <c r="H50" s="794"/>
      <c r="I50" s="794"/>
      <c r="J50" s="794"/>
      <c r="K50" s="794"/>
      <c r="L50" s="794"/>
      <c r="M50" s="794"/>
      <c r="N50" s="794"/>
      <c r="O50" s="794"/>
      <c r="P50" s="795"/>
      <c r="Q50" s="1172">
        <f>Q49</f>
        <v>45377.57</v>
      </c>
    </row>
    <row r="51" spans="1:19" s="167" customFormat="1" ht="28.5" hidden="1" customHeight="1">
      <c r="A51" s="278" t="s">
        <v>15</v>
      </c>
      <c r="B51" s="279"/>
      <c r="C51" s="280" t="s">
        <v>441</v>
      </c>
      <c r="D51" s="279"/>
      <c r="E51" s="734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2"/>
      <c r="Q51" s="283"/>
      <c r="S51" s="179"/>
    </row>
    <row r="52" spans="1:19" s="167" customFormat="1" ht="28.5" hidden="1" customHeight="1">
      <c r="A52" s="270" t="s">
        <v>466</v>
      </c>
      <c r="B52" s="277" t="s">
        <v>1209</v>
      </c>
      <c r="C52" s="272" t="s">
        <v>2309</v>
      </c>
      <c r="D52" s="273" t="s">
        <v>3</v>
      </c>
      <c r="E52" s="738"/>
      <c r="F52" s="290"/>
      <c r="G52" s="290"/>
      <c r="H52" s="290"/>
      <c r="I52" s="290"/>
      <c r="J52" s="290"/>
      <c r="K52" s="290"/>
      <c r="L52" s="290"/>
      <c r="M52" s="290"/>
      <c r="N52" s="274">
        <f>40*80*0.5</f>
        <v>1600</v>
      </c>
      <c r="O52" s="274">
        <f t="shared" si="11"/>
        <v>1600</v>
      </c>
      <c r="P52" s="275">
        <f>5.22*1.245</f>
        <v>6.4988999999999999</v>
      </c>
      <c r="Q52" s="288">
        <f t="shared" ref="Q52" si="13">TRUNC(O52*P52,2)</f>
        <v>10398.24</v>
      </c>
      <c r="R52" s="167" t="s">
        <v>1940</v>
      </c>
    </row>
    <row r="53" spans="1:19" s="167" customFormat="1" ht="27" hidden="1" customHeight="1">
      <c r="A53" s="270" t="s">
        <v>467</v>
      </c>
      <c r="B53" s="277" t="s">
        <v>437</v>
      </c>
      <c r="C53" s="1185" t="s">
        <v>2407</v>
      </c>
      <c r="D53" s="169" t="s">
        <v>3</v>
      </c>
      <c r="E53" s="699">
        <f>11.62*11</f>
        <v>127.82</v>
      </c>
      <c r="F53" s="274"/>
      <c r="G53" s="274"/>
      <c r="H53" s="274">
        <v>40.659999999999997</v>
      </c>
      <c r="I53" s="274"/>
      <c r="J53" s="274">
        <v>7.13</v>
      </c>
      <c r="K53" s="274">
        <v>12.47</v>
      </c>
      <c r="L53" s="274"/>
      <c r="M53" s="274">
        <v>9.8000000000000007</v>
      </c>
      <c r="N53" s="274"/>
      <c r="O53" s="274">
        <f t="shared" si="11"/>
        <v>197.88</v>
      </c>
      <c r="P53" s="275">
        <f>COMPOSIÇÕES!B252</f>
        <v>88.357650000000007</v>
      </c>
      <c r="Q53" s="166">
        <f t="shared" si="12"/>
        <v>17484.21</v>
      </c>
      <c r="R53" s="167" t="s">
        <v>886</v>
      </c>
    </row>
    <row r="54" spans="1:19" s="167" customFormat="1" ht="33.75" hidden="1" customHeight="1">
      <c r="A54" s="270" t="s">
        <v>468</v>
      </c>
      <c r="B54" s="277" t="s">
        <v>439</v>
      </c>
      <c r="C54" s="178" t="s">
        <v>2462</v>
      </c>
      <c r="D54" s="169" t="s">
        <v>3</v>
      </c>
      <c r="E54" s="699">
        <f>15.1*11</f>
        <v>166.1</v>
      </c>
      <c r="F54" s="274"/>
      <c r="G54" s="274"/>
      <c r="H54" s="274">
        <v>52.85</v>
      </c>
      <c r="I54" s="274"/>
      <c r="J54" s="274">
        <v>9.27</v>
      </c>
      <c r="K54" s="274">
        <v>16.22</v>
      </c>
      <c r="L54" s="274"/>
      <c r="M54" s="274">
        <v>12.74</v>
      </c>
      <c r="N54" s="274"/>
      <c r="O54" s="164">
        <f t="shared" si="11"/>
        <v>257.18</v>
      </c>
      <c r="P54" s="275">
        <f>COMPOSIÇÕES!B284</f>
        <v>23.094749999999998</v>
      </c>
      <c r="Q54" s="166">
        <f t="shared" si="12"/>
        <v>5939.5</v>
      </c>
      <c r="R54" s="167" t="s">
        <v>886</v>
      </c>
    </row>
    <row r="55" spans="1:19" s="167" customFormat="1" ht="23.25" hidden="1" customHeight="1">
      <c r="A55" s="270"/>
      <c r="B55" s="1241"/>
      <c r="C55" s="1153" t="s">
        <v>2339</v>
      </c>
      <c r="D55" s="244"/>
      <c r="E55" s="735"/>
      <c r="F55" s="285"/>
      <c r="G55" s="285"/>
      <c r="H55" s="285"/>
      <c r="I55" s="285"/>
      <c r="J55" s="285"/>
      <c r="K55" s="285"/>
      <c r="L55" s="285"/>
      <c r="M55" s="285"/>
      <c r="N55" s="285"/>
      <c r="O55" s="245"/>
      <c r="P55" s="286"/>
      <c r="Q55" s="1171">
        <f>SUM(Q52:Q54)</f>
        <v>33821.949999999997</v>
      </c>
    </row>
    <row r="56" spans="1:19" s="167" customFormat="1" ht="23.25" hidden="1" customHeight="1">
      <c r="A56" s="278" t="s">
        <v>913</v>
      </c>
      <c r="B56" s="279"/>
      <c r="C56" s="280" t="s">
        <v>442</v>
      </c>
      <c r="D56" s="284"/>
      <c r="E56" s="73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6"/>
      <c r="Q56" s="276"/>
    </row>
    <row r="57" spans="1:19" s="167" customFormat="1" ht="39.950000000000003" hidden="1" customHeight="1">
      <c r="A57" s="270" t="s">
        <v>915</v>
      </c>
      <c r="B57" s="273" t="s">
        <v>443</v>
      </c>
      <c r="C57" s="272" t="s">
        <v>909</v>
      </c>
      <c r="D57" s="273" t="s">
        <v>682</v>
      </c>
      <c r="E57" s="699">
        <v>1.06</v>
      </c>
      <c r="F57" s="274"/>
      <c r="G57" s="274"/>
      <c r="H57" s="274">
        <v>3.7</v>
      </c>
      <c r="I57" s="274"/>
      <c r="J57" s="274">
        <v>0.65</v>
      </c>
      <c r="K57" s="274">
        <v>1.1299999999999999</v>
      </c>
      <c r="L57" s="274"/>
      <c r="M57" s="274">
        <v>0.89</v>
      </c>
      <c r="N57" s="274"/>
      <c r="O57" s="274">
        <f t="shared" ref="O57:O71" si="14">SUM(E57:N57)</f>
        <v>7.43</v>
      </c>
      <c r="P57" s="275">
        <f>COMPOSIÇÕES!B347</f>
        <v>354.82499999999999</v>
      </c>
      <c r="Q57" s="288">
        <f t="shared" si="12"/>
        <v>2636.34</v>
      </c>
      <c r="R57" s="167" t="s">
        <v>886</v>
      </c>
    </row>
    <row r="58" spans="1:19" s="167" customFormat="1" ht="36.75" hidden="1" customHeight="1">
      <c r="A58" s="270" t="s">
        <v>916</v>
      </c>
      <c r="B58" s="273" t="s">
        <v>444</v>
      </c>
      <c r="C58" s="272" t="s">
        <v>922</v>
      </c>
      <c r="D58" s="273" t="s">
        <v>685</v>
      </c>
      <c r="E58" s="699">
        <v>226.26</v>
      </c>
      <c r="F58" s="274"/>
      <c r="G58" s="274"/>
      <c r="H58" s="274">
        <v>811.24</v>
      </c>
      <c r="I58" s="274"/>
      <c r="J58" s="274">
        <v>161.54</v>
      </c>
      <c r="K58" s="274">
        <v>282.69</v>
      </c>
      <c r="L58" s="274"/>
      <c r="M58" s="274">
        <v>222.12</v>
      </c>
      <c r="N58" s="274"/>
      <c r="O58" s="274">
        <f t="shared" si="14"/>
        <v>1703.85</v>
      </c>
      <c r="P58" s="275">
        <f>COMPOSIÇÕES!B471</f>
        <v>11.366849999999999</v>
      </c>
      <c r="Q58" s="288">
        <f t="shared" si="12"/>
        <v>19367.400000000001</v>
      </c>
      <c r="R58" s="167" t="s">
        <v>886</v>
      </c>
    </row>
    <row r="59" spans="1:19" s="167" customFormat="1" ht="39.950000000000003" hidden="1" customHeight="1">
      <c r="A59" s="270" t="s">
        <v>917</v>
      </c>
      <c r="B59" s="273" t="s">
        <v>445</v>
      </c>
      <c r="C59" s="272" t="s">
        <v>921</v>
      </c>
      <c r="D59" s="273" t="s">
        <v>685</v>
      </c>
      <c r="E59" s="699">
        <v>397.25</v>
      </c>
      <c r="F59" s="274"/>
      <c r="G59" s="274"/>
      <c r="H59" s="274">
        <v>1426.5</v>
      </c>
      <c r="I59" s="274"/>
      <c r="J59" s="274">
        <v>291.42</v>
      </c>
      <c r="K59" s="274">
        <v>509.99</v>
      </c>
      <c r="L59" s="274"/>
      <c r="M59" s="274">
        <v>400.7</v>
      </c>
      <c r="N59" s="274"/>
      <c r="O59" s="274">
        <f t="shared" si="14"/>
        <v>3025.8599999999997</v>
      </c>
      <c r="P59" s="275">
        <f>COMPOSIÇÕES!B492</f>
        <v>9.175650000000001</v>
      </c>
      <c r="Q59" s="288">
        <f t="shared" si="12"/>
        <v>27764.23</v>
      </c>
      <c r="R59" s="167" t="s">
        <v>886</v>
      </c>
    </row>
    <row r="60" spans="1:19" s="167" customFormat="1" ht="39" hidden="1" customHeight="1">
      <c r="A60" s="270" t="s">
        <v>918</v>
      </c>
      <c r="B60" s="273" t="s">
        <v>446</v>
      </c>
      <c r="C60" s="272" t="s">
        <v>2427</v>
      </c>
      <c r="D60" s="273" t="s">
        <v>3</v>
      </c>
      <c r="E60" s="699">
        <v>10.56</v>
      </c>
      <c r="F60" s="274"/>
      <c r="G60" s="274"/>
      <c r="H60" s="274">
        <v>36.96</v>
      </c>
      <c r="I60" s="274">
        <v>11.6</v>
      </c>
      <c r="J60" s="274">
        <v>6.48</v>
      </c>
      <c r="K60" s="274">
        <v>11.34</v>
      </c>
      <c r="L60" s="274"/>
      <c r="M60" s="274">
        <v>8.91</v>
      </c>
      <c r="N60" s="274"/>
      <c r="O60" s="274">
        <f t="shared" si="14"/>
        <v>85.850000000000009</v>
      </c>
      <c r="P60" s="275">
        <f>COMPOSIÇÕES!B536</f>
        <v>393.63164999999992</v>
      </c>
      <c r="Q60" s="288">
        <f t="shared" si="12"/>
        <v>33793.269999999997</v>
      </c>
      <c r="R60" s="167" t="s">
        <v>886</v>
      </c>
    </row>
    <row r="61" spans="1:19" s="167" customFormat="1" ht="34.5" hidden="1" customHeight="1">
      <c r="A61" s="270" t="s">
        <v>919</v>
      </c>
      <c r="B61" s="271" t="s">
        <v>2156</v>
      </c>
      <c r="C61" s="272" t="s">
        <v>2428</v>
      </c>
      <c r="D61" s="273" t="s">
        <v>3</v>
      </c>
      <c r="E61" s="736">
        <f>E60</f>
        <v>10.56</v>
      </c>
      <c r="F61" s="617"/>
      <c r="G61" s="617"/>
      <c r="H61" s="617">
        <f>H60</f>
        <v>36.96</v>
      </c>
      <c r="I61" s="617">
        <f>I60</f>
        <v>11.6</v>
      </c>
      <c r="J61" s="617">
        <f>J60</f>
        <v>6.48</v>
      </c>
      <c r="K61" s="617">
        <f>K60</f>
        <v>11.34</v>
      </c>
      <c r="L61" s="617"/>
      <c r="M61" s="617">
        <f>M60</f>
        <v>8.91</v>
      </c>
      <c r="N61" s="617"/>
      <c r="O61" s="274">
        <f t="shared" si="14"/>
        <v>85.850000000000009</v>
      </c>
      <c r="P61" s="618">
        <f>COMPOSIÇÕES!B554</f>
        <v>128.16030000000001</v>
      </c>
      <c r="Q61" s="288">
        <f t="shared" si="12"/>
        <v>11002.56</v>
      </c>
      <c r="R61" s="167" t="s">
        <v>886</v>
      </c>
    </row>
    <row r="62" spans="1:19" s="167" customFormat="1" ht="27.75" hidden="1" customHeight="1">
      <c r="A62" s="270"/>
      <c r="B62" s="1240"/>
      <c r="C62" s="1153" t="s">
        <v>2337</v>
      </c>
      <c r="D62" s="284"/>
      <c r="E62" s="793"/>
      <c r="F62" s="794"/>
      <c r="G62" s="794"/>
      <c r="H62" s="794"/>
      <c r="I62" s="794"/>
      <c r="J62" s="794"/>
      <c r="K62" s="794"/>
      <c r="L62" s="794"/>
      <c r="M62" s="794"/>
      <c r="N62" s="794"/>
      <c r="O62" s="285"/>
      <c r="P62" s="795"/>
      <c r="Q62" s="297">
        <f>SUM(Q57:Q61)</f>
        <v>94563.799999999988</v>
      </c>
    </row>
    <row r="63" spans="1:19" s="167" customFormat="1" ht="32.25" hidden="1" customHeight="1">
      <c r="A63" s="278" t="s">
        <v>1556</v>
      </c>
      <c r="B63" s="279"/>
      <c r="C63" s="280" t="s">
        <v>1557</v>
      </c>
      <c r="D63" s="284"/>
      <c r="E63" s="73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286"/>
      <c r="Q63" s="276"/>
    </row>
    <row r="64" spans="1:19" s="167" customFormat="1" ht="34.5" hidden="1" customHeight="1">
      <c r="A64" s="291" t="s">
        <v>1573</v>
      </c>
      <c r="B64" s="277" t="s">
        <v>371</v>
      </c>
      <c r="C64" s="272" t="s">
        <v>1666</v>
      </c>
      <c r="D64" s="169" t="s">
        <v>3</v>
      </c>
      <c r="E64" s="699"/>
      <c r="F64" s="274"/>
      <c r="G64" s="274"/>
      <c r="H64" s="274"/>
      <c r="I64" s="274"/>
      <c r="J64" s="274"/>
      <c r="K64" s="274"/>
      <c r="L64" s="274"/>
      <c r="M64" s="274"/>
      <c r="N64" s="274">
        <f>memoria!H272</f>
        <v>25.787999999999997</v>
      </c>
      <c r="O64" s="274">
        <f t="shared" si="14"/>
        <v>25.787999999999997</v>
      </c>
      <c r="P64" s="275">
        <f>COMPOSIÇÕES!B235</f>
        <v>77.115299999999991</v>
      </c>
      <c r="Q64" s="288">
        <f t="shared" si="12"/>
        <v>1988.64</v>
      </c>
      <c r="R64" s="167" t="s">
        <v>886</v>
      </c>
    </row>
    <row r="65" spans="1:21" s="167" customFormat="1" ht="52.5" hidden="1" customHeight="1">
      <c r="A65" s="291" t="s">
        <v>1574</v>
      </c>
      <c r="B65" s="277" t="s">
        <v>1559</v>
      </c>
      <c r="C65" s="272" t="s">
        <v>2463</v>
      </c>
      <c r="D65" s="169" t="s">
        <v>3</v>
      </c>
      <c r="E65" s="699"/>
      <c r="F65" s="274"/>
      <c r="G65" s="274"/>
      <c r="H65" s="274"/>
      <c r="I65" s="274"/>
      <c r="J65" s="274"/>
      <c r="K65" s="274"/>
      <c r="L65" s="274"/>
      <c r="M65" s="274"/>
      <c r="N65" s="274">
        <f>memoria!H276</f>
        <v>3.6840000000000002</v>
      </c>
      <c r="O65" s="274">
        <f t="shared" si="14"/>
        <v>3.6840000000000002</v>
      </c>
      <c r="P65" s="275">
        <f>COMPOSIÇÕES!B306</f>
        <v>250.65584999999999</v>
      </c>
      <c r="Q65" s="288">
        <f t="shared" si="12"/>
        <v>923.41</v>
      </c>
      <c r="R65" s="167" t="s">
        <v>886</v>
      </c>
    </row>
    <row r="66" spans="1:21" s="167" customFormat="1" ht="25.5" hidden="1" customHeight="1">
      <c r="A66" s="291" t="s">
        <v>1575</v>
      </c>
      <c r="B66" s="277" t="s">
        <v>1561</v>
      </c>
      <c r="C66" s="272" t="s">
        <v>2432</v>
      </c>
      <c r="D66" s="273" t="s">
        <v>12</v>
      </c>
      <c r="E66" s="699"/>
      <c r="F66" s="274"/>
      <c r="G66" s="274"/>
      <c r="H66" s="274"/>
      <c r="I66" s="274"/>
      <c r="J66" s="274"/>
      <c r="K66" s="274"/>
      <c r="L66" s="274"/>
      <c r="M66" s="274"/>
      <c r="N66" s="274">
        <f>memoria!H278</f>
        <v>163.99999999999997</v>
      </c>
      <c r="O66" s="274">
        <f t="shared" si="14"/>
        <v>163.99999999999997</v>
      </c>
      <c r="P66" s="275">
        <f>COMPOSIÇÕES!B379</f>
        <v>9.4121999999999986</v>
      </c>
      <c r="Q66" s="288">
        <f t="shared" si="12"/>
        <v>1543.6</v>
      </c>
      <c r="R66" s="167" t="s">
        <v>886</v>
      </c>
    </row>
    <row r="67" spans="1:21" s="167" customFormat="1" ht="36.75" hidden="1" customHeight="1">
      <c r="A67" s="291" t="s">
        <v>1576</v>
      </c>
      <c r="B67" s="277" t="s">
        <v>1563</v>
      </c>
      <c r="C67" s="272" t="s">
        <v>2464</v>
      </c>
      <c r="D67" s="273" t="s">
        <v>4</v>
      </c>
      <c r="E67" s="699"/>
      <c r="F67" s="274"/>
      <c r="G67" s="274"/>
      <c r="H67" s="274"/>
      <c r="I67" s="274"/>
      <c r="J67" s="274"/>
      <c r="K67" s="274"/>
      <c r="L67" s="274"/>
      <c r="M67" s="274"/>
      <c r="N67" s="274">
        <f>memoria!H279</f>
        <v>81.599999999999994</v>
      </c>
      <c r="O67" s="274">
        <f t="shared" si="14"/>
        <v>81.599999999999994</v>
      </c>
      <c r="P67" s="275">
        <f>COMPOSIÇÕES!B397</f>
        <v>73.318049999999999</v>
      </c>
      <c r="Q67" s="288">
        <f t="shared" si="12"/>
        <v>5982.75</v>
      </c>
      <c r="R67" s="167" t="s">
        <v>886</v>
      </c>
    </row>
    <row r="68" spans="1:21" s="167" customFormat="1" ht="36.75" hidden="1" customHeight="1">
      <c r="A68" s="291" t="s">
        <v>1577</v>
      </c>
      <c r="B68" s="271" t="s">
        <v>1570</v>
      </c>
      <c r="C68" s="272" t="s">
        <v>2435</v>
      </c>
      <c r="D68" s="273" t="s">
        <v>4</v>
      </c>
      <c r="E68" s="699"/>
      <c r="F68" s="274"/>
      <c r="G68" s="274"/>
      <c r="H68" s="274"/>
      <c r="I68" s="274"/>
      <c r="J68" s="274"/>
      <c r="K68" s="274"/>
      <c r="L68" s="274"/>
      <c r="M68" s="274"/>
      <c r="N68" s="274">
        <f>memoria!H280</f>
        <v>164</v>
      </c>
      <c r="O68" s="274">
        <f t="shared" si="14"/>
        <v>164</v>
      </c>
      <c r="P68" s="275">
        <f>COMPOSIÇÕES!B415</f>
        <v>51.891600000000011</v>
      </c>
      <c r="Q68" s="288">
        <f t="shared" si="12"/>
        <v>8510.2199999999993</v>
      </c>
      <c r="R68" s="167" t="s">
        <v>886</v>
      </c>
    </row>
    <row r="69" spans="1:21" s="167" customFormat="1" ht="32.25" hidden="1" customHeight="1">
      <c r="A69" s="291" t="s">
        <v>1578</v>
      </c>
      <c r="B69" s="271" t="s">
        <v>1571</v>
      </c>
      <c r="C69" s="272" t="s">
        <v>1572</v>
      </c>
      <c r="D69" s="273" t="s">
        <v>369</v>
      </c>
      <c r="E69" s="699"/>
      <c r="F69" s="274"/>
      <c r="G69" s="274"/>
      <c r="H69" s="274"/>
      <c r="I69" s="274"/>
      <c r="J69" s="274"/>
      <c r="K69" s="274"/>
      <c r="L69" s="274"/>
      <c r="M69" s="274"/>
      <c r="N69" s="274">
        <f>memoria!H281</f>
        <v>11.863350000000001</v>
      </c>
      <c r="O69" s="274">
        <f t="shared" si="14"/>
        <v>11.863350000000001</v>
      </c>
      <c r="P69" s="275">
        <f>COMPOSIÇÕES!B431</f>
        <v>136.06605000000002</v>
      </c>
      <c r="Q69" s="288">
        <f t="shared" si="12"/>
        <v>1614.19</v>
      </c>
      <c r="R69" s="167" t="s">
        <v>886</v>
      </c>
    </row>
    <row r="70" spans="1:21" s="167" customFormat="1" ht="26.25" hidden="1" customHeight="1">
      <c r="A70" s="291" t="s">
        <v>1579</v>
      </c>
      <c r="B70" s="277" t="s">
        <v>438</v>
      </c>
      <c r="C70" s="178" t="s">
        <v>1568</v>
      </c>
      <c r="D70" s="273" t="s">
        <v>369</v>
      </c>
      <c r="E70" s="699"/>
      <c r="F70" s="274"/>
      <c r="G70" s="274"/>
      <c r="H70" s="274"/>
      <c r="I70" s="274"/>
      <c r="J70" s="274"/>
      <c r="K70" s="274"/>
      <c r="L70" s="274"/>
      <c r="M70" s="274"/>
      <c r="N70" s="274">
        <f>memoria!H283</f>
        <v>4.4473500000000001</v>
      </c>
      <c r="O70" s="274">
        <f t="shared" si="14"/>
        <v>4.4473500000000001</v>
      </c>
      <c r="P70" s="275">
        <f>COMPOSIÇÕES!B267</f>
        <v>46.749749999999999</v>
      </c>
      <c r="Q70" s="288">
        <f t="shared" si="12"/>
        <v>207.91</v>
      </c>
      <c r="R70" s="167" t="s">
        <v>886</v>
      </c>
    </row>
    <row r="71" spans="1:21" s="167" customFormat="1" ht="36.75" hidden="1" customHeight="1">
      <c r="A71" s="291" t="s">
        <v>1580</v>
      </c>
      <c r="B71" s="277" t="s">
        <v>439</v>
      </c>
      <c r="C71" s="178" t="s">
        <v>2409</v>
      </c>
      <c r="D71" s="273" t="s">
        <v>369</v>
      </c>
      <c r="E71" s="699"/>
      <c r="F71" s="274"/>
      <c r="G71" s="274"/>
      <c r="H71" s="274"/>
      <c r="I71" s="274"/>
      <c r="J71" s="274"/>
      <c r="K71" s="274"/>
      <c r="L71" s="274"/>
      <c r="M71" s="274"/>
      <c r="N71" s="274">
        <f>memoria!H285</f>
        <v>27.742844999999996</v>
      </c>
      <c r="O71" s="274">
        <f t="shared" si="14"/>
        <v>27.742844999999996</v>
      </c>
      <c r="P71" s="275">
        <f>COMPOSIÇÕES!B284</f>
        <v>23.094749999999998</v>
      </c>
      <c r="Q71" s="288">
        <f t="shared" si="12"/>
        <v>640.71</v>
      </c>
      <c r="R71" s="167" t="s">
        <v>886</v>
      </c>
    </row>
    <row r="72" spans="1:21" s="167" customFormat="1" ht="25.5" hidden="1" customHeight="1">
      <c r="A72" s="270"/>
      <c r="B72" s="284"/>
      <c r="C72" s="1153" t="s">
        <v>2336</v>
      </c>
      <c r="D72" s="284"/>
      <c r="E72" s="793"/>
      <c r="F72" s="794"/>
      <c r="G72" s="794"/>
      <c r="H72" s="794"/>
      <c r="I72" s="794"/>
      <c r="J72" s="794"/>
      <c r="K72" s="794"/>
      <c r="L72" s="794"/>
      <c r="M72" s="794"/>
      <c r="N72" s="794"/>
      <c r="O72" s="285"/>
      <c r="P72" s="795"/>
      <c r="Q72" s="297">
        <f>SUM(Q64:Q71)</f>
        <v>21411.429999999997</v>
      </c>
    </row>
    <row r="73" spans="1:21" s="172" customFormat="1" ht="26.25" hidden="1" customHeight="1">
      <c r="A73" s="223"/>
      <c r="B73" s="253"/>
      <c r="C73" s="263" t="s">
        <v>13</v>
      </c>
      <c r="D73" s="253" t="s">
        <v>2</v>
      </c>
      <c r="E73" s="733"/>
      <c r="F73" s="254"/>
      <c r="G73" s="254"/>
      <c r="H73" s="254"/>
      <c r="I73" s="254"/>
      <c r="J73" s="254"/>
      <c r="K73" s="254"/>
      <c r="L73" s="254"/>
      <c r="M73" s="254"/>
      <c r="N73" s="254"/>
      <c r="O73" s="254"/>
      <c r="P73" s="255"/>
      <c r="Q73" s="256">
        <f>Q72+Q62+Q55+Q50</f>
        <v>195174.75</v>
      </c>
      <c r="R73" s="167"/>
    </row>
    <row r="74" spans="1:21" s="172" customFormat="1" ht="13.5" hidden="1" customHeight="1">
      <c r="A74" s="257"/>
      <c r="B74" s="258"/>
      <c r="C74" s="265"/>
      <c r="D74" s="258"/>
      <c r="E74" s="737"/>
      <c r="F74" s="266"/>
      <c r="G74" s="266"/>
      <c r="H74" s="266"/>
      <c r="I74" s="266"/>
      <c r="J74" s="266"/>
      <c r="K74" s="266"/>
      <c r="L74" s="266"/>
      <c r="M74" s="266"/>
      <c r="N74" s="266"/>
      <c r="O74" s="266"/>
      <c r="P74" s="267"/>
      <c r="Q74" s="262"/>
      <c r="R74" s="167"/>
    </row>
    <row r="75" spans="1:21" s="172" customFormat="1" ht="25.5" hidden="1" customHeight="1">
      <c r="A75" s="223" t="s">
        <v>26</v>
      </c>
      <c r="B75" s="253"/>
      <c r="C75" s="638" t="s">
        <v>447</v>
      </c>
      <c r="D75" s="253" t="s">
        <v>2</v>
      </c>
      <c r="E75" s="733" t="s">
        <v>1663</v>
      </c>
      <c r="F75" s="254"/>
      <c r="G75" s="254"/>
      <c r="H75" s="254"/>
      <c r="I75" s="254"/>
      <c r="J75" s="254"/>
      <c r="K75" s="254"/>
      <c r="L75" s="254"/>
      <c r="M75" s="254"/>
      <c r="N75" s="254"/>
      <c r="O75" s="254"/>
      <c r="P75" s="255" t="s">
        <v>0</v>
      </c>
      <c r="Q75" s="256"/>
      <c r="R75" s="167"/>
    </row>
    <row r="76" spans="1:21" s="172" customFormat="1" ht="39.950000000000003" hidden="1" customHeight="1">
      <c r="A76" s="291" t="s">
        <v>9</v>
      </c>
      <c r="B76" s="271" t="s">
        <v>1154</v>
      </c>
      <c r="C76" s="197" t="s">
        <v>2440</v>
      </c>
      <c r="D76" s="191" t="s">
        <v>101</v>
      </c>
      <c r="E76" s="772">
        <f>8179*11</f>
        <v>89969</v>
      </c>
      <c r="F76" s="682"/>
      <c r="G76" s="682"/>
      <c r="H76" s="682">
        <f>27582+(2713/3)</f>
        <v>28486.333333333332</v>
      </c>
      <c r="I76" s="682">
        <v>4132</v>
      </c>
      <c r="J76" s="682">
        <v>2713</v>
      </c>
      <c r="K76" s="682">
        <v>5273</v>
      </c>
      <c r="L76" s="682">
        <v>2104</v>
      </c>
      <c r="M76" s="682">
        <v>3514</v>
      </c>
      <c r="N76" s="274"/>
      <c r="O76" s="274">
        <f t="shared" ref="O76" si="15">SUM(E76:N76)</f>
        <v>136191.33333333331</v>
      </c>
      <c r="P76" s="275">
        <f>COMPOSIÇÕES!B574</f>
        <v>12.288150000000002</v>
      </c>
      <c r="Q76" s="196">
        <f t="shared" ref="Q76" si="16">TRUNC(O76*P76,2)</f>
        <v>1673539.53</v>
      </c>
      <c r="R76" s="167" t="s">
        <v>886</v>
      </c>
      <c r="S76" s="1304" t="s">
        <v>1678</v>
      </c>
      <c r="T76" s="1304"/>
      <c r="U76" s="886">
        <v>106.62</v>
      </c>
    </row>
    <row r="77" spans="1:21" s="158" customFormat="1" ht="23.25" hidden="1" customHeight="1">
      <c r="A77" s="223"/>
      <c r="B77" s="253"/>
      <c r="C77" s="263" t="s">
        <v>448</v>
      </c>
      <c r="D77" s="253" t="s">
        <v>2</v>
      </c>
      <c r="E77" s="733"/>
      <c r="F77" s="254"/>
      <c r="G77" s="254"/>
      <c r="H77" s="254"/>
      <c r="I77" s="254"/>
      <c r="J77" s="254"/>
      <c r="K77" s="254"/>
      <c r="L77" s="254"/>
      <c r="M77" s="254"/>
      <c r="N77" s="254"/>
      <c r="O77" s="254"/>
      <c r="P77" s="255"/>
      <c r="Q77" s="256">
        <f>SUM(Q76:Q76)</f>
        <v>1673539.53</v>
      </c>
      <c r="R77" s="771"/>
      <c r="S77" s="180"/>
    </row>
    <row r="78" spans="1:21" s="158" customFormat="1" ht="12.75" hidden="1" customHeight="1">
      <c r="A78" s="222"/>
      <c r="B78" s="293"/>
      <c r="C78" s="294"/>
      <c r="D78" s="293"/>
      <c r="E78" s="739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6"/>
      <c r="Q78" s="297"/>
      <c r="R78" s="771"/>
      <c r="S78" s="180"/>
    </row>
    <row r="79" spans="1:21" s="158" customFormat="1" ht="20.25" hidden="1" customHeight="1">
      <c r="A79" s="223" t="s">
        <v>27</v>
      </c>
      <c r="B79" s="253"/>
      <c r="C79" s="225" t="s">
        <v>2195</v>
      </c>
      <c r="D79" s="253" t="s">
        <v>2</v>
      </c>
      <c r="E79" s="733"/>
      <c r="F79" s="254"/>
      <c r="G79" s="254"/>
      <c r="H79" s="254"/>
      <c r="I79" s="254"/>
      <c r="J79" s="254"/>
      <c r="K79" s="254"/>
      <c r="L79" s="254"/>
      <c r="M79" s="254"/>
      <c r="N79" s="254"/>
      <c r="O79" s="254"/>
      <c r="P79" s="255" t="s">
        <v>0</v>
      </c>
      <c r="Q79" s="256"/>
      <c r="R79" s="771"/>
      <c r="S79" s="180"/>
    </row>
    <row r="80" spans="1:21" s="158" customFormat="1" ht="22.5" hidden="1" customHeight="1">
      <c r="A80" s="222" t="s">
        <v>10</v>
      </c>
      <c r="B80" s="293"/>
      <c r="C80" s="218" t="s">
        <v>2194</v>
      </c>
      <c r="D80" s="293"/>
      <c r="E80" s="740"/>
      <c r="F80" s="298"/>
      <c r="G80" s="298"/>
      <c r="H80" s="298"/>
      <c r="I80" s="298"/>
      <c r="J80" s="298"/>
      <c r="K80" s="298"/>
      <c r="L80" s="298"/>
      <c r="M80" s="298"/>
      <c r="N80" s="298"/>
      <c r="O80" s="298"/>
      <c r="P80" s="299"/>
      <c r="Q80" s="297"/>
      <c r="R80" s="771"/>
      <c r="S80" s="180"/>
    </row>
    <row r="81" spans="1:24" s="158" customFormat="1" ht="31.5" hidden="1" customHeight="1">
      <c r="A81" s="291" t="s">
        <v>451</v>
      </c>
      <c r="B81" s="1268" t="s">
        <v>2310</v>
      </c>
      <c r="C81" s="272" t="s">
        <v>2445</v>
      </c>
      <c r="D81" s="273" t="s">
        <v>12</v>
      </c>
      <c r="E81" s="789">
        <v>190.37</v>
      </c>
      <c r="F81" s="683"/>
      <c r="G81" s="683"/>
      <c r="H81" s="683">
        <v>49.53</v>
      </c>
      <c r="I81" s="683"/>
      <c r="J81" s="683"/>
      <c r="K81" s="683"/>
      <c r="L81" s="683"/>
      <c r="M81" s="683"/>
      <c r="N81" s="683"/>
      <c r="O81" s="683">
        <f t="shared" ref="O81" si="17">SUM(E81:N81)</f>
        <v>239.9</v>
      </c>
      <c r="P81" s="861">
        <f>COMPOSIÇÕES!B757</f>
        <v>291.24284999999992</v>
      </c>
      <c r="Q81" s="288">
        <f t="shared" ref="Q81:Q94" si="18">TRUNC(O81*P81,2)</f>
        <v>69869.149999999994</v>
      </c>
      <c r="R81" s="771" t="s">
        <v>886</v>
      </c>
    </row>
    <row r="82" spans="1:24" s="158" customFormat="1" ht="24" hidden="1" customHeight="1">
      <c r="A82" s="1236"/>
      <c r="B82" s="1237"/>
      <c r="C82" s="1153" t="s">
        <v>2335</v>
      </c>
      <c r="D82" s="1237"/>
      <c r="E82" s="1238"/>
      <c r="F82" s="686"/>
      <c r="G82" s="686"/>
      <c r="H82" s="686"/>
      <c r="I82" s="686"/>
      <c r="J82" s="686"/>
      <c r="K82" s="686"/>
      <c r="L82" s="686"/>
      <c r="M82" s="686"/>
      <c r="N82" s="686"/>
      <c r="O82" s="686"/>
      <c r="P82" s="1239"/>
      <c r="Q82" s="315">
        <f>Q81</f>
        <v>69869.149999999994</v>
      </c>
      <c r="R82" s="771"/>
    </row>
    <row r="83" spans="1:24" s="158" customFormat="1" ht="22.5" hidden="1" customHeight="1">
      <c r="A83" s="310" t="s">
        <v>452</v>
      </c>
      <c r="B83" s="311"/>
      <c r="C83" s="312" t="s">
        <v>449</v>
      </c>
      <c r="D83" s="311"/>
      <c r="E83" s="742"/>
      <c r="F83" s="313"/>
      <c r="G83" s="313"/>
      <c r="H83" s="313"/>
      <c r="I83" s="313"/>
      <c r="J83" s="1151">
        <f>0.8*2.1</f>
        <v>1.6800000000000002</v>
      </c>
      <c r="K83" s="1151"/>
      <c r="L83" s="1151">
        <f>P85/J83</f>
        <v>518.69071428571419</v>
      </c>
      <c r="M83" s="313"/>
      <c r="N83" s="313"/>
      <c r="O83" s="686"/>
      <c r="P83" s="314"/>
      <c r="Q83" s="315"/>
      <c r="R83" s="771"/>
      <c r="S83" s="180"/>
    </row>
    <row r="84" spans="1:24" s="158" customFormat="1" ht="51.75" hidden="1" customHeight="1">
      <c r="A84" s="291" t="s">
        <v>453</v>
      </c>
      <c r="B84" s="1268" t="s">
        <v>2449</v>
      </c>
      <c r="C84" s="881" t="s">
        <v>2447</v>
      </c>
      <c r="D84" s="192" t="s">
        <v>858</v>
      </c>
      <c r="E84" s="743">
        <f>213.5+(30.5*4)</f>
        <v>335.5</v>
      </c>
      <c r="F84" s="194"/>
      <c r="G84" s="194">
        <v>25.6</v>
      </c>
      <c r="H84" s="194">
        <v>16.61</v>
      </c>
      <c r="I84" s="194"/>
      <c r="J84" s="194"/>
      <c r="K84" s="194"/>
      <c r="L84" s="194"/>
      <c r="M84" s="194"/>
      <c r="N84" s="194"/>
      <c r="O84" s="194">
        <f t="shared" ref="O84:O88" si="19">SUM(E84:N84)</f>
        <v>377.71000000000004</v>
      </c>
      <c r="P84" s="275">
        <f>COMPOSIÇÕES!B794</f>
        <v>456.67845</v>
      </c>
      <c r="Q84" s="196">
        <f t="shared" si="18"/>
        <v>172492.01</v>
      </c>
      <c r="R84" s="771" t="s">
        <v>886</v>
      </c>
      <c r="S84" s="180"/>
    </row>
    <row r="85" spans="1:24" s="158" customFormat="1" ht="78" hidden="1" customHeight="1">
      <c r="A85" s="291" t="s">
        <v>454</v>
      </c>
      <c r="B85" s="271" t="s">
        <v>374</v>
      </c>
      <c r="C85" s="188" t="s">
        <v>2458</v>
      </c>
      <c r="D85" s="169" t="s">
        <v>111</v>
      </c>
      <c r="E85" s="699"/>
      <c r="F85" s="274"/>
      <c r="G85" s="274"/>
      <c r="H85" s="274">
        <v>3</v>
      </c>
      <c r="I85" s="164"/>
      <c r="J85" s="164"/>
      <c r="K85" s="164"/>
      <c r="L85" s="164"/>
      <c r="M85" s="164"/>
      <c r="N85" s="164"/>
      <c r="O85" s="194">
        <f t="shared" si="19"/>
        <v>3</v>
      </c>
      <c r="P85" s="275">
        <f>699.92*1.245</f>
        <v>871.40039999999999</v>
      </c>
      <c r="Q85" s="166">
        <f t="shared" si="18"/>
        <v>2614.1999999999998</v>
      </c>
      <c r="R85" s="771" t="s">
        <v>1940</v>
      </c>
      <c r="S85" s="180"/>
    </row>
    <row r="86" spans="1:24" s="158" customFormat="1" ht="75.75" hidden="1" customHeight="1">
      <c r="A86" s="291" t="s">
        <v>455</v>
      </c>
      <c r="B86" s="271" t="s">
        <v>2457</v>
      </c>
      <c r="C86" s="188" t="s">
        <v>2461</v>
      </c>
      <c r="D86" s="169" t="s">
        <v>111</v>
      </c>
      <c r="E86" s="699">
        <v>20</v>
      </c>
      <c r="F86" s="274"/>
      <c r="G86" s="274">
        <v>4</v>
      </c>
      <c r="H86" s="274">
        <v>5</v>
      </c>
      <c r="I86" s="164"/>
      <c r="J86" s="164"/>
      <c r="K86" s="164"/>
      <c r="L86" s="164"/>
      <c r="M86" s="164"/>
      <c r="N86" s="164"/>
      <c r="O86" s="194">
        <f t="shared" si="19"/>
        <v>29</v>
      </c>
      <c r="P86" s="275">
        <f>((732.71*1.245)/(0.9*2.1))*(1.1*2.1)</f>
        <v>1114.9403833333336</v>
      </c>
      <c r="Q86" s="166">
        <f t="shared" si="18"/>
        <v>32333.27</v>
      </c>
      <c r="R86" s="771" t="s">
        <v>1940</v>
      </c>
      <c r="S86" s="180">
        <f>0.9*2.1</f>
        <v>1.8900000000000001</v>
      </c>
      <c r="T86" s="158">
        <v>732.71</v>
      </c>
      <c r="U86" s="158">
        <f>T86*1.245</f>
        <v>912.22395000000017</v>
      </c>
      <c r="V86" s="180">
        <f>U86/S86</f>
        <v>482.65817460317464</v>
      </c>
      <c r="W86" s="158">
        <f>1.1*2.1</f>
        <v>2.3100000000000005</v>
      </c>
      <c r="X86" s="180">
        <f>W86*V86</f>
        <v>1114.9403833333336</v>
      </c>
    </row>
    <row r="87" spans="1:24" s="158" customFormat="1" ht="76.5" hidden="1" customHeight="1">
      <c r="A87" s="291" t="s">
        <v>456</v>
      </c>
      <c r="B87" s="271" t="s">
        <v>374</v>
      </c>
      <c r="C87" s="188" t="s">
        <v>2459</v>
      </c>
      <c r="D87" s="169" t="s">
        <v>111</v>
      </c>
      <c r="E87" s="699">
        <v>2</v>
      </c>
      <c r="F87" s="274"/>
      <c r="G87" s="274"/>
      <c r="H87" s="699"/>
      <c r="I87" s="164"/>
      <c r="J87" s="164"/>
      <c r="K87" s="164"/>
      <c r="L87" s="164"/>
      <c r="M87" s="164"/>
      <c r="N87" s="164"/>
      <c r="O87" s="194">
        <f t="shared" si="19"/>
        <v>2</v>
      </c>
      <c r="P87" s="275">
        <f>P85</f>
        <v>871.40039999999999</v>
      </c>
      <c r="Q87" s="166">
        <f t="shared" si="18"/>
        <v>1742.8</v>
      </c>
      <c r="R87" s="771" t="s">
        <v>1940</v>
      </c>
      <c r="S87" s="180"/>
    </row>
    <row r="88" spans="1:24" s="158" customFormat="1" ht="78.75" hidden="1" customHeight="1">
      <c r="A88" s="291" t="s">
        <v>2316</v>
      </c>
      <c r="B88" s="271" t="s">
        <v>2456</v>
      </c>
      <c r="C88" s="188" t="s">
        <v>2460</v>
      </c>
      <c r="D88" s="169" t="s">
        <v>111</v>
      </c>
      <c r="E88" s="699">
        <v>14</v>
      </c>
      <c r="F88" s="274"/>
      <c r="G88" s="274"/>
      <c r="H88" s="699"/>
      <c r="I88" s="164"/>
      <c r="J88" s="164"/>
      <c r="K88" s="164"/>
      <c r="L88" s="164"/>
      <c r="M88" s="164"/>
      <c r="N88" s="164"/>
      <c r="O88" s="194">
        <f t="shared" si="19"/>
        <v>14</v>
      </c>
      <c r="P88" s="275">
        <f>625.26*1.245</f>
        <v>778.44870000000003</v>
      </c>
      <c r="Q88" s="166">
        <f t="shared" si="18"/>
        <v>10898.28</v>
      </c>
      <c r="R88" s="771" t="s">
        <v>1940</v>
      </c>
      <c r="S88" s="180"/>
    </row>
    <row r="89" spans="1:24" s="158" customFormat="1" ht="30" hidden="1" customHeight="1">
      <c r="A89" s="291" t="s">
        <v>2317</v>
      </c>
      <c r="B89" s="277" t="s">
        <v>2488</v>
      </c>
      <c r="C89" s="178" t="s">
        <v>2023</v>
      </c>
      <c r="D89" s="169" t="s">
        <v>107</v>
      </c>
      <c r="E89" s="732">
        <v>4.41</v>
      </c>
      <c r="F89" s="164"/>
      <c r="G89" s="164">
        <v>0.4</v>
      </c>
      <c r="H89" s="164">
        <v>0.4</v>
      </c>
      <c r="I89" s="164"/>
      <c r="J89" s="164"/>
      <c r="K89" s="164"/>
      <c r="L89" s="164"/>
      <c r="M89" s="164"/>
      <c r="N89" s="164"/>
      <c r="O89" s="194">
        <f t="shared" ref="O89" si="20">SUM(E89:N89)</f>
        <v>5.2100000000000009</v>
      </c>
      <c r="P89" s="275">
        <f>COMPOSIÇÕES!B112</f>
        <v>4334.2060499999998</v>
      </c>
      <c r="Q89" s="166">
        <f t="shared" ref="Q89" si="21">TRUNC(O89*P89,2)</f>
        <v>22581.21</v>
      </c>
      <c r="R89" s="771" t="s">
        <v>886</v>
      </c>
      <c r="S89" s="180"/>
    </row>
    <row r="90" spans="1:24" s="158" customFormat="1" ht="20.25" hidden="1" customHeight="1">
      <c r="A90" s="300"/>
      <c r="B90" s="1160"/>
      <c r="C90" s="1153" t="s">
        <v>2334</v>
      </c>
      <c r="D90" s="244"/>
      <c r="E90" s="731"/>
      <c r="F90" s="245"/>
      <c r="G90" s="245"/>
      <c r="H90" s="245"/>
      <c r="I90" s="245"/>
      <c r="J90" s="245"/>
      <c r="K90" s="245"/>
      <c r="L90" s="245"/>
      <c r="M90" s="245"/>
      <c r="N90" s="245"/>
      <c r="O90" s="1233"/>
      <c r="P90" s="286"/>
      <c r="Q90" s="1171">
        <f>SUM(Q84:Q89)</f>
        <v>242661.77</v>
      </c>
      <c r="R90" s="771"/>
      <c r="S90" s="180"/>
    </row>
    <row r="91" spans="1:24" s="158" customFormat="1" ht="22.5" hidden="1" customHeight="1">
      <c r="A91" s="222" t="s">
        <v>457</v>
      </c>
      <c r="B91" s="293"/>
      <c r="C91" s="218" t="s">
        <v>450</v>
      </c>
      <c r="D91" s="293"/>
      <c r="E91" s="740"/>
      <c r="F91" s="298"/>
      <c r="G91" s="298"/>
      <c r="H91" s="740"/>
      <c r="I91" s="298"/>
      <c r="J91" s="298"/>
      <c r="K91" s="298"/>
      <c r="L91" s="298"/>
      <c r="M91" s="298"/>
      <c r="N91" s="298"/>
      <c r="O91" s="685"/>
      <c r="P91" s="299"/>
      <c r="Q91" s="297"/>
      <c r="R91" s="771"/>
      <c r="S91" s="180"/>
    </row>
    <row r="92" spans="1:24" s="158" customFormat="1" ht="18" hidden="1" customHeight="1">
      <c r="A92" s="300" t="s">
        <v>458</v>
      </c>
      <c r="B92" s="273" t="s">
        <v>2218</v>
      </c>
      <c r="C92" s="272" t="s">
        <v>2216</v>
      </c>
      <c r="D92" s="273" t="s">
        <v>12</v>
      </c>
      <c r="E92" s="789">
        <f>157.64+22.57+22.57+22.57</f>
        <v>225.34999999999997</v>
      </c>
      <c r="F92" s="683"/>
      <c r="G92" s="683">
        <v>16.239999999999998</v>
      </c>
      <c r="H92" s="683">
        <v>8.1199999999999992</v>
      </c>
      <c r="I92" s="683"/>
      <c r="J92" s="683"/>
      <c r="K92" s="683"/>
      <c r="L92" s="683"/>
      <c r="M92" s="683"/>
      <c r="N92" s="683"/>
      <c r="O92" s="683">
        <f t="shared" ref="O92:O94" si="22">SUM(E92:N92)</f>
        <v>249.70999999999998</v>
      </c>
      <c r="P92" s="861">
        <f>COMPOSIÇÕES!B813</f>
        <v>579.44789999999989</v>
      </c>
      <c r="Q92" s="276">
        <f t="shared" si="18"/>
        <v>144693.93</v>
      </c>
      <c r="R92" s="771" t="s">
        <v>886</v>
      </c>
      <c r="S92" s="180"/>
    </row>
    <row r="93" spans="1:24" s="158" customFormat="1" ht="18" hidden="1" customHeight="1">
      <c r="A93" s="300" t="s">
        <v>459</v>
      </c>
      <c r="B93" s="273" t="s">
        <v>2229</v>
      </c>
      <c r="C93" s="272" t="s">
        <v>2233</v>
      </c>
      <c r="D93" s="273" t="s">
        <v>12</v>
      </c>
      <c r="E93" s="789">
        <f>121.1+17.3+17.3+17.3+8.64+1.56</f>
        <v>183.20000000000005</v>
      </c>
      <c r="F93" s="683"/>
      <c r="G93" s="683">
        <v>17.260000000000002</v>
      </c>
      <c r="H93" s="683">
        <v>17.28</v>
      </c>
      <c r="I93" s="683"/>
      <c r="J93" s="683"/>
      <c r="K93" s="683"/>
      <c r="L93" s="683"/>
      <c r="M93" s="683"/>
      <c r="N93" s="683"/>
      <c r="O93" s="683">
        <f t="shared" si="22"/>
        <v>217.74000000000004</v>
      </c>
      <c r="P93" s="861">
        <f>COMPOSIÇÕES!B832</f>
        <v>313.19220000000001</v>
      </c>
      <c r="Q93" s="276">
        <f t="shared" si="18"/>
        <v>68194.460000000006</v>
      </c>
      <c r="R93" s="771" t="s">
        <v>886</v>
      </c>
      <c r="S93" s="180"/>
    </row>
    <row r="94" spans="1:24" s="158" customFormat="1" ht="18" hidden="1" customHeight="1">
      <c r="A94" s="300" t="s">
        <v>2237</v>
      </c>
      <c r="B94" s="273" t="s">
        <v>2234</v>
      </c>
      <c r="C94" s="272" t="s">
        <v>2228</v>
      </c>
      <c r="D94" s="273" t="s">
        <v>12</v>
      </c>
      <c r="E94" s="741"/>
      <c r="F94" s="292"/>
      <c r="G94" s="292"/>
      <c r="H94" s="683">
        <f>2.4*3</f>
        <v>7.1999999999999993</v>
      </c>
      <c r="I94" s="292"/>
      <c r="J94" s="292"/>
      <c r="K94" s="292"/>
      <c r="L94" s="292"/>
      <c r="M94" s="292"/>
      <c r="N94" s="292"/>
      <c r="O94" s="683">
        <f t="shared" si="22"/>
        <v>7.1999999999999993</v>
      </c>
      <c r="P94" s="861">
        <f>COMPOSIÇÕES!B851</f>
        <v>660.74639999999999</v>
      </c>
      <c r="Q94" s="276">
        <f t="shared" si="18"/>
        <v>4757.37</v>
      </c>
      <c r="R94" s="771" t="s">
        <v>886</v>
      </c>
      <c r="S94" s="180"/>
    </row>
    <row r="95" spans="1:24" s="158" customFormat="1" ht="18" hidden="1" customHeight="1">
      <c r="A95" s="300"/>
      <c r="B95" s="284"/>
      <c r="C95" s="1153" t="s">
        <v>2332</v>
      </c>
      <c r="D95" s="284"/>
      <c r="E95" s="740"/>
      <c r="F95" s="298"/>
      <c r="G95" s="298"/>
      <c r="H95" s="1152"/>
      <c r="I95" s="298"/>
      <c r="J95" s="298"/>
      <c r="K95" s="298"/>
      <c r="L95" s="298"/>
      <c r="M95" s="298"/>
      <c r="N95" s="298"/>
      <c r="O95" s="685"/>
      <c r="P95" s="1235"/>
      <c r="Q95" s="297">
        <f>SUM(Q92:Q94)</f>
        <v>217645.76</v>
      </c>
      <c r="R95" s="771"/>
      <c r="S95" s="180"/>
    </row>
    <row r="96" spans="1:24" s="158" customFormat="1" ht="22.5" hidden="1" customHeight="1">
      <c r="A96" s="223"/>
      <c r="B96" s="253"/>
      <c r="C96" s="263" t="s">
        <v>460</v>
      </c>
      <c r="D96" s="253" t="s">
        <v>2</v>
      </c>
      <c r="E96" s="733"/>
      <c r="F96" s="254"/>
      <c r="G96" s="254"/>
      <c r="H96" s="254"/>
      <c r="I96" s="254"/>
      <c r="J96" s="254"/>
      <c r="K96" s="254"/>
      <c r="L96" s="254"/>
      <c r="M96" s="254"/>
      <c r="N96" s="254"/>
      <c r="O96" s="254"/>
      <c r="P96" s="255"/>
      <c r="Q96" s="256">
        <f>Q95+Q90+Q82</f>
        <v>530176.68000000005</v>
      </c>
      <c r="R96" s="771"/>
      <c r="S96" s="180"/>
    </row>
    <row r="97" spans="1:22" s="158" customFormat="1" ht="12" hidden="1" customHeight="1">
      <c r="A97" s="300"/>
      <c r="B97" s="293"/>
      <c r="C97" s="218"/>
      <c r="D97" s="293"/>
      <c r="E97" s="740"/>
      <c r="F97" s="298"/>
      <c r="G97" s="298"/>
      <c r="H97" s="298"/>
      <c r="I97" s="298"/>
      <c r="J97" s="298"/>
      <c r="K97" s="298"/>
      <c r="L97" s="298"/>
      <c r="M97" s="298"/>
      <c r="N97" s="298"/>
      <c r="O97" s="298"/>
      <c r="P97" s="299"/>
      <c r="Q97" s="297"/>
      <c r="R97" s="771"/>
      <c r="S97" s="180"/>
    </row>
    <row r="98" spans="1:22" s="158" customFormat="1" ht="22.5" hidden="1" customHeight="1">
      <c r="A98" s="223" t="s">
        <v>28</v>
      </c>
      <c r="B98" s="253"/>
      <c r="C98" s="225" t="s">
        <v>461</v>
      </c>
      <c r="D98" s="253" t="s">
        <v>2</v>
      </c>
      <c r="E98" s="733"/>
      <c r="F98" s="254"/>
      <c r="G98" s="254"/>
      <c r="H98" s="254"/>
      <c r="I98" s="254"/>
      <c r="J98" s="254"/>
      <c r="K98" s="254"/>
      <c r="L98" s="254"/>
      <c r="M98" s="254"/>
      <c r="N98" s="254"/>
      <c r="O98" s="254"/>
      <c r="P98" s="255" t="s">
        <v>0</v>
      </c>
      <c r="Q98" s="256"/>
      <c r="R98" s="771"/>
      <c r="S98" s="180"/>
    </row>
    <row r="99" spans="1:22" s="158" customFormat="1" ht="52.5" hidden="1" customHeight="1">
      <c r="A99" s="300" t="s">
        <v>16</v>
      </c>
      <c r="B99" s="273" t="s">
        <v>2390</v>
      </c>
      <c r="C99" s="881" t="s">
        <v>2400</v>
      </c>
      <c r="D99" s="198" t="s">
        <v>858</v>
      </c>
      <c r="E99" s="744">
        <f>211.2*11</f>
        <v>2323.1999999999998</v>
      </c>
      <c r="F99" s="199"/>
      <c r="G99" s="199"/>
      <c r="H99" s="199">
        <v>737</v>
      </c>
      <c r="I99" s="199"/>
      <c r="J99" s="199"/>
      <c r="K99" s="199"/>
      <c r="L99" s="199"/>
      <c r="M99" s="199"/>
      <c r="N99" s="199"/>
      <c r="O99" s="199">
        <f t="shared" ref="O99:O106" si="23">SUM(E99:N99)</f>
        <v>3060.2</v>
      </c>
      <c r="P99" s="618">
        <f>COMPOSIÇÕES!B597</f>
        <v>142.5027</v>
      </c>
      <c r="Q99" s="200">
        <f t="shared" ref="Q99:Q106" si="24">TRUNC(O99*P99,2)</f>
        <v>436086.76</v>
      </c>
      <c r="R99" s="771" t="s">
        <v>886</v>
      </c>
      <c r="S99" s="180"/>
      <c r="V99" s="1061"/>
    </row>
    <row r="100" spans="1:22" s="158" customFormat="1" ht="25.5" hidden="1" customHeight="1">
      <c r="A100" s="300" t="s">
        <v>114</v>
      </c>
      <c r="B100" s="273" t="s">
        <v>1665</v>
      </c>
      <c r="C100" s="881" t="s">
        <v>1758</v>
      </c>
      <c r="D100" s="930" t="s">
        <v>346</v>
      </c>
      <c r="E100" s="744">
        <f>16*11</f>
        <v>176</v>
      </c>
      <c r="F100" s="199"/>
      <c r="G100" s="199"/>
      <c r="H100" s="199">
        <v>55</v>
      </c>
      <c r="I100" s="199"/>
      <c r="J100" s="199"/>
      <c r="K100" s="199"/>
      <c r="L100" s="199"/>
      <c r="M100" s="199"/>
      <c r="N100" s="199"/>
      <c r="O100" s="199">
        <f t="shared" si="23"/>
        <v>231</v>
      </c>
      <c r="P100" s="618">
        <f>COMPOSIÇÕES!B734</f>
        <v>41.495849999999997</v>
      </c>
      <c r="Q100" s="200">
        <f t="shared" si="24"/>
        <v>9585.5400000000009</v>
      </c>
      <c r="R100" s="771" t="s">
        <v>886</v>
      </c>
      <c r="S100" s="180"/>
    </row>
    <row r="101" spans="1:22" s="158" customFormat="1" ht="18" hidden="1" customHeight="1">
      <c r="A101" s="300" t="s">
        <v>463</v>
      </c>
      <c r="B101" s="273" t="s">
        <v>1487</v>
      </c>
      <c r="C101" s="272" t="s">
        <v>1824</v>
      </c>
      <c r="D101" s="273" t="s">
        <v>858</v>
      </c>
      <c r="E101" s="789">
        <f>memoria!D4</f>
        <v>2168.1000000000004</v>
      </c>
      <c r="F101" s="683"/>
      <c r="G101" s="683">
        <f>memoria!D10</f>
        <v>394.20000000000005</v>
      </c>
      <c r="H101" s="683">
        <f>memoria!D13</f>
        <v>295.65000000000003</v>
      </c>
      <c r="I101" s="199"/>
      <c r="J101" s="199"/>
      <c r="K101" s="199"/>
      <c r="L101" s="199"/>
      <c r="M101" s="199"/>
      <c r="N101" s="199"/>
      <c r="O101" s="199">
        <f t="shared" si="23"/>
        <v>2857.9500000000003</v>
      </c>
      <c r="P101" s="618">
        <f>COMPOSIÇÕES!B654</f>
        <v>26.655449999999995</v>
      </c>
      <c r="Q101" s="200">
        <f t="shared" si="24"/>
        <v>76179.94</v>
      </c>
      <c r="R101" s="771" t="s">
        <v>886</v>
      </c>
      <c r="S101" s="180"/>
    </row>
    <row r="102" spans="1:22" s="158" customFormat="1" ht="18" hidden="1" customHeight="1">
      <c r="A102" s="300" t="s">
        <v>464</v>
      </c>
      <c r="B102" s="273" t="s">
        <v>1489</v>
      </c>
      <c r="C102" s="769" t="s">
        <v>1475</v>
      </c>
      <c r="D102" s="273" t="s">
        <v>4</v>
      </c>
      <c r="E102" s="857">
        <f>memoria!N33</f>
        <v>1156.3200000000002</v>
      </c>
      <c r="F102" s="858"/>
      <c r="G102" s="858">
        <f>memoria!N42</f>
        <v>183.96</v>
      </c>
      <c r="H102" s="858">
        <f>memoria!N47</f>
        <v>144.54000000000002</v>
      </c>
      <c r="I102" s="316"/>
      <c r="J102" s="316"/>
      <c r="K102" s="316"/>
      <c r="L102" s="316"/>
      <c r="M102" s="709"/>
      <c r="N102" s="709"/>
      <c r="O102" s="199">
        <f t="shared" si="23"/>
        <v>1484.8200000000002</v>
      </c>
      <c r="P102" s="861">
        <f>COMPOSIÇÕES!B672</f>
        <v>7.968</v>
      </c>
      <c r="Q102" s="200">
        <f t="shared" si="24"/>
        <v>11831.04</v>
      </c>
      <c r="R102" s="771" t="s">
        <v>886</v>
      </c>
      <c r="S102" s="180"/>
    </row>
    <row r="103" spans="1:22" s="158" customFormat="1" ht="18" hidden="1" customHeight="1">
      <c r="A103" s="300" t="s">
        <v>115</v>
      </c>
      <c r="B103" s="273" t="s">
        <v>2042</v>
      </c>
      <c r="C103" s="272" t="s">
        <v>1478</v>
      </c>
      <c r="D103" s="273" t="s">
        <v>1225</v>
      </c>
      <c r="E103" s="789">
        <f>memoria!B51</f>
        <v>176</v>
      </c>
      <c r="F103" s="683"/>
      <c r="G103" s="683">
        <f>memoria!B59</f>
        <v>28</v>
      </c>
      <c r="H103" s="683">
        <f>memoria!B63</f>
        <v>22</v>
      </c>
      <c r="I103" s="292"/>
      <c r="J103" s="292"/>
      <c r="K103" s="292"/>
      <c r="L103" s="292"/>
      <c r="M103" s="292"/>
      <c r="N103" s="726"/>
      <c r="O103" s="199">
        <f t="shared" si="23"/>
        <v>226</v>
      </c>
      <c r="P103" s="861">
        <f>COMPOSIÇÕES!B690</f>
        <v>25.136549999999996</v>
      </c>
      <c r="Q103" s="200">
        <f t="shared" si="24"/>
        <v>5680.86</v>
      </c>
      <c r="R103" s="771" t="s">
        <v>886</v>
      </c>
      <c r="S103" s="180"/>
    </row>
    <row r="104" spans="1:22" s="158" customFormat="1" ht="18" hidden="1" customHeight="1">
      <c r="A104" s="300" t="s">
        <v>1477</v>
      </c>
      <c r="B104" s="273" t="s">
        <v>2260</v>
      </c>
      <c r="C104" s="272" t="s">
        <v>2263</v>
      </c>
      <c r="D104" s="273" t="s">
        <v>858</v>
      </c>
      <c r="E104" s="789"/>
      <c r="F104" s="683"/>
      <c r="G104" s="683"/>
      <c r="H104" s="683"/>
      <c r="I104" s="292"/>
      <c r="J104" s="683">
        <f>27.53*3.66</f>
        <v>100.75980000000001</v>
      </c>
      <c r="K104" s="683">
        <f>31.75*3.66</f>
        <v>116.205</v>
      </c>
      <c r="L104" s="683"/>
      <c r="M104" s="683">
        <f>31.77*3.66</f>
        <v>116.2782</v>
      </c>
      <c r="N104" s="1177"/>
      <c r="O104" s="199">
        <f t="shared" si="23"/>
        <v>333.24300000000005</v>
      </c>
      <c r="P104" s="861">
        <f>COMPOSIÇÕES!B617</f>
        <v>61.1295</v>
      </c>
      <c r="Q104" s="200">
        <f t="shared" si="24"/>
        <v>20370.97</v>
      </c>
      <c r="R104" s="771" t="s">
        <v>886</v>
      </c>
      <c r="S104" s="180"/>
    </row>
    <row r="105" spans="1:22" s="158" customFormat="1" ht="18" hidden="1" customHeight="1">
      <c r="A105" s="300" t="s">
        <v>2251</v>
      </c>
      <c r="B105" s="273" t="s">
        <v>2265</v>
      </c>
      <c r="C105" s="272" t="s">
        <v>2250</v>
      </c>
      <c r="D105" s="273" t="s">
        <v>346</v>
      </c>
      <c r="E105" s="789"/>
      <c r="F105" s="683"/>
      <c r="G105" s="683"/>
      <c r="H105" s="683"/>
      <c r="I105" s="292"/>
      <c r="J105" s="683">
        <f>7*21*3</f>
        <v>441</v>
      </c>
      <c r="K105" s="683">
        <f>7*21*3</f>
        <v>441</v>
      </c>
      <c r="L105" s="683"/>
      <c r="M105" s="683">
        <f>9*21*3</f>
        <v>567</v>
      </c>
      <c r="N105" s="1177"/>
      <c r="O105" s="199">
        <f t="shared" si="23"/>
        <v>1449</v>
      </c>
      <c r="P105" s="861">
        <f>COMPOSIÇÕES!B636</f>
        <v>5.6398499999999991</v>
      </c>
      <c r="Q105" s="200">
        <f t="shared" si="24"/>
        <v>8172.14</v>
      </c>
      <c r="R105" s="771" t="s">
        <v>886</v>
      </c>
      <c r="S105" s="180"/>
    </row>
    <row r="106" spans="1:22" s="158" customFormat="1" ht="37.5" hidden="1" customHeight="1">
      <c r="A106" s="300" t="s">
        <v>2252</v>
      </c>
      <c r="B106" s="273" t="s">
        <v>1498</v>
      </c>
      <c r="C106" s="1186" t="s">
        <v>2468</v>
      </c>
      <c r="D106" s="273" t="s">
        <v>346</v>
      </c>
      <c r="E106" s="789"/>
      <c r="F106" s="683"/>
      <c r="G106" s="683">
        <v>2.7</v>
      </c>
      <c r="H106" s="683">
        <v>2.7</v>
      </c>
      <c r="I106" s="292"/>
      <c r="J106" s="292"/>
      <c r="K106" s="292"/>
      <c r="L106" s="292"/>
      <c r="M106" s="292"/>
      <c r="N106" s="726"/>
      <c r="O106" s="199">
        <f t="shared" si="23"/>
        <v>5.4</v>
      </c>
      <c r="P106" s="861">
        <f>COMPOSIÇÕES!B716</f>
        <v>110.69295000000001</v>
      </c>
      <c r="Q106" s="200">
        <f t="shared" si="24"/>
        <v>597.74</v>
      </c>
      <c r="R106" s="771" t="s">
        <v>886</v>
      </c>
      <c r="S106" s="180"/>
    </row>
    <row r="107" spans="1:22" s="158" customFormat="1" ht="22.5" hidden="1" customHeight="1">
      <c r="A107" s="223"/>
      <c r="B107" s="253"/>
      <c r="C107" s="263" t="s">
        <v>462</v>
      </c>
      <c r="D107" s="253" t="s">
        <v>2</v>
      </c>
      <c r="E107" s="733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5"/>
      <c r="Q107" s="256">
        <f>SUM(Q99:Q106)</f>
        <v>568504.99</v>
      </c>
      <c r="R107" s="771"/>
      <c r="S107" s="180"/>
    </row>
    <row r="108" spans="1:22" s="158" customFormat="1" ht="12" hidden="1" customHeight="1">
      <c r="A108" s="257"/>
      <c r="B108" s="258"/>
      <c r="C108" s="259"/>
      <c r="D108" s="258"/>
      <c r="E108" s="728"/>
      <c r="F108" s="260"/>
      <c r="G108" s="260"/>
      <c r="H108" s="260"/>
      <c r="I108" s="260"/>
      <c r="J108" s="260"/>
      <c r="K108" s="260"/>
      <c r="L108" s="260"/>
      <c r="M108" s="260"/>
      <c r="N108" s="260"/>
      <c r="O108" s="260"/>
      <c r="P108" s="261"/>
      <c r="Q108" s="262"/>
      <c r="R108" s="771"/>
      <c r="S108" s="180"/>
    </row>
    <row r="109" spans="1:22" s="158" customFormat="1" ht="31.5" hidden="1" customHeight="1">
      <c r="A109" s="223" t="s">
        <v>29</v>
      </c>
      <c r="B109" s="253"/>
      <c r="C109" s="1305" t="s">
        <v>1795</v>
      </c>
      <c r="D109" s="1305"/>
      <c r="E109" s="1305"/>
      <c r="F109" s="1305"/>
      <c r="G109" s="1305"/>
      <c r="H109" s="1305"/>
      <c r="I109" s="1305"/>
      <c r="J109" s="1305"/>
      <c r="K109" s="1305"/>
      <c r="L109" s="1305"/>
      <c r="M109" s="1305"/>
      <c r="N109" s="1305"/>
      <c r="O109" s="1305"/>
      <c r="P109" s="255" t="s">
        <v>0</v>
      </c>
      <c r="Q109" s="256"/>
      <c r="R109" s="771"/>
      <c r="S109" s="180"/>
    </row>
    <row r="110" spans="1:22" s="158" customFormat="1" ht="20.25" hidden="1" customHeight="1">
      <c r="A110" s="222" t="s">
        <v>1789</v>
      </c>
      <c r="B110" s="293"/>
      <c r="C110" s="218" t="s">
        <v>1791</v>
      </c>
      <c r="D110" s="293"/>
      <c r="E110" s="740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9"/>
      <c r="Q110" s="297"/>
      <c r="R110" s="771"/>
      <c r="S110" s="180"/>
    </row>
    <row r="111" spans="1:22" s="158" customFormat="1" ht="38.25" hidden="1" customHeight="1">
      <c r="A111" s="300" t="s">
        <v>1790</v>
      </c>
      <c r="B111" s="1253" t="s">
        <v>2373</v>
      </c>
      <c r="C111" s="272" t="s">
        <v>2371</v>
      </c>
      <c r="D111" s="273" t="s">
        <v>99</v>
      </c>
      <c r="E111" s="789">
        <v>256.51</v>
      </c>
      <c r="F111" s="683"/>
      <c r="G111" s="683"/>
      <c r="H111" s="683">
        <v>81.05</v>
      </c>
      <c r="I111" s="683"/>
      <c r="J111" s="683"/>
      <c r="K111" s="683"/>
      <c r="L111" s="683"/>
      <c r="M111" s="683"/>
      <c r="N111" s="683"/>
      <c r="O111" s="683">
        <f>SUM(E111:N111)</f>
        <v>337.56</v>
      </c>
      <c r="P111" s="861">
        <f>COMPOSIÇÕES!B1140</f>
        <v>80.924999999999997</v>
      </c>
      <c r="Q111" s="276">
        <f>TRUNC(O111*P111,2)</f>
        <v>27317.040000000001</v>
      </c>
      <c r="R111" s="771" t="s">
        <v>1937</v>
      </c>
      <c r="S111" s="180"/>
    </row>
    <row r="112" spans="1:22" s="158" customFormat="1" ht="18.75" hidden="1" customHeight="1">
      <c r="A112" s="300" t="s">
        <v>1794</v>
      </c>
      <c r="B112" s="1253" t="s">
        <v>2383</v>
      </c>
      <c r="C112" s="272" t="s">
        <v>2386</v>
      </c>
      <c r="D112" s="273" t="s">
        <v>99</v>
      </c>
      <c r="E112" s="789">
        <f>E111</f>
        <v>256.51</v>
      </c>
      <c r="F112" s="683"/>
      <c r="G112" s="683"/>
      <c r="H112" s="683">
        <f>H111</f>
        <v>81.05</v>
      </c>
      <c r="I112" s="683"/>
      <c r="J112" s="683"/>
      <c r="K112" s="683"/>
      <c r="L112" s="683"/>
      <c r="M112" s="683"/>
      <c r="N112" s="683"/>
      <c r="O112" s="683">
        <f>SUM(E112:N112)</f>
        <v>337.56</v>
      </c>
      <c r="P112" s="861">
        <f>COMPOSIÇÕES!B1158</f>
        <v>45.853349999999999</v>
      </c>
      <c r="Q112" s="276">
        <f>TRUNC(O112*P112,2)</f>
        <v>15478.25</v>
      </c>
      <c r="R112" s="771" t="s">
        <v>886</v>
      </c>
      <c r="S112" s="180"/>
    </row>
    <row r="113" spans="1:20" s="158" customFormat="1" ht="25.5" hidden="1" customHeight="1">
      <c r="A113" s="300"/>
      <c r="B113" s="284"/>
      <c r="C113" s="1153" t="s">
        <v>2333</v>
      </c>
      <c r="D113" s="284"/>
      <c r="E113" s="1152"/>
      <c r="F113" s="685"/>
      <c r="G113" s="685"/>
      <c r="H113" s="685"/>
      <c r="I113" s="685"/>
      <c r="J113" s="685"/>
      <c r="K113" s="685"/>
      <c r="L113" s="685"/>
      <c r="M113" s="685"/>
      <c r="N113" s="685"/>
      <c r="O113" s="685"/>
      <c r="P113" s="1235"/>
      <c r="Q113" s="297">
        <f>SUM(Q111:Q112)</f>
        <v>42795.29</v>
      </c>
      <c r="R113" s="771"/>
      <c r="S113" s="180"/>
    </row>
    <row r="114" spans="1:20" s="158" customFormat="1" ht="21.75" hidden="1" customHeight="1">
      <c r="A114" s="222" t="s">
        <v>1798</v>
      </c>
      <c r="B114" s="293"/>
      <c r="C114" s="218" t="s">
        <v>469</v>
      </c>
      <c r="D114" s="293"/>
      <c r="E114" s="740"/>
      <c r="F114" s="298"/>
      <c r="G114" s="298"/>
      <c r="H114" s="298"/>
      <c r="I114" s="298"/>
      <c r="J114" s="298"/>
      <c r="K114" s="298"/>
      <c r="L114" s="298"/>
      <c r="M114" s="298"/>
      <c r="N114" s="298"/>
      <c r="O114" s="298"/>
      <c r="P114" s="299"/>
      <c r="Q114" s="297"/>
      <c r="R114" s="771"/>
      <c r="S114" s="180"/>
    </row>
    <row r="115" spans="1:20" s="158" customFormat="1" ht="36.75" hidden="1" customHeight="1">
      <c r="A115" s="291" t="s">
        <v>1799</v>
      </c>
      <c r="B115" s="273" t="s">
        <v>2382</v>
      </c>
      <c r="C115" s="272" t="s">
        <v>2379</v>
      </c>
      <c r="D115" s="273" t="s">
        <v>99</v>
      </c>
      <c r="E115" s="789">
        <f>11*8*6*1.5</f>
        <v>792</v>
      </c>
      <c r="F115" s="683"/>
      <c r="G115" s="683">
        <f>1*15*6*1.5</f>
        <v>135</v>
      </c>
      <c r="H115" s="683">
        <f>1*19*6*1.5</f>
        <v>171</v>
      </c>
      <c r="I115" s="683"/>
      <c r="J115" s="683"/>
      <c r="K115" s="683"/>
      <c r="L115" s="683"/>
      <c r="M115" s="683"/>
      <c r="N115" s="683"/>
      <c r="O115" s="683">
        <f t="shared" ref="O115:O116" si="25">SUM(E115:N115)</f>
        <v>1098</v>
      </c>
      <c r="P115" s="861">
        <f>COMPOSIÇÕES!B1121</f>
        <v>26.095200000000002</v>
      </c>
      <c r="Q115" s="288">
        <f t="shared" ref="Q115:Q116" si="26">TRUNC(O115*P115,2)</f>
        <v>28652.52</v>
      </c>
      <c r="R115" s="771" t="s">
        <v>2392</v>
      </c>
      <c r="S115" s="180"/>
    </row>
    <row r="116" spans="1:20" s="158" customFormat="1" ht="37.5" hidden="1" customHeight="1">
      <c r="A116" s="291" t="s">
        <v>1801</v>
      </c>
      <c r="B116" s="1174" t="s">
        <v>1800</v>
      </c>
      <c r="C116" s="193" t="s">
        <v>2391</v>
      </c>
      <c r="D116" s="192" t="s">
        <v>12</v>
      </c>
      <c r="E116" s="699">
        <v>175.64</v>
      </c>
      <c r="F116" s="194"/>
      <c r="G116" s="194">
        <v>18.48</v>
      </c>
      <c r="H116" s="194">
        <v>39.69</v>
      </c>
      <c r="I116" s="194"/>
      <c r="J116" s="194"/>
      <c r="K116" s="194"/>
      <c r="L116" s="194"/>
      <c r="M116" s="194"/>
      <c r="N116" s="194"/>
      <c r="O116" s="683">
        <f t="shared" si="25"/>
        <v>233.80999999999997</v>
      </c>
      <c r="P116" s="275">
        <f>28.54*1.245</f>
        <v>35.532299999999999</v>
      </c>
      <c r="Q116" s="196">
        <f t="shared" si="26"/>
        <v>8307.7999999999993</v>
      </c>
      <c r="R116" s="771" t="s">
        <v>1937</v>
      </c>
      <c r="S116" s="180"/>
    </row>
    <row r="117" spans="1:20" s="158" customFormat="1" ht="23.25" hidden="1" customHeight="1">
      <c r="A117" s="300"/>
      <c r="B117" s="1231"/>
      <c r="C117" s="1153" t="s">
        <v>2348</v>
      </c>
      <c r="D117" s="1232"/>
      <c r="E117" s="735"/>
      <c r="F117" s="1233"/>
      <c r="G117" s="1233"/>
      <c r="H117" s="1233"/>
      <c r="I117" s="1233"/>
      <c r="J117" s="1233"/>
      <c r="K117" s="1233"/>
      <c r="L117" s="1233"/>
      <c r="M117" s="1233"/>
      <c r="N117" s="1233"/>
      <c r="O117" s="685"/>
      <c r="P117" s="286"/>
      <c r="Q117" s="1234">
        <f>SUM(Q115:Q116)</f>
        <v>36960.32</v>
      </c>
      <c r="R117" s="771"/>
      <c r="S117" s="180"/>
    </row>
    <row r="118" spans="1:20" s="158" customFormat="1" ht="20.25" hidden="1" customHeight="1">
      <c r="A118" s="223"/>
      <c r="B118" s="253"/>
      <c r="C118" s="263" t="s">
        <v>470</v>
      </c>
      <c r="D118" s="253" t="s">
        <v>2</v>
      </c>
      <c r="E118" s="733"/>
      <c r="F118" s="254"/>
      <c r="G118" s="254"/>
      <c r="H118" s="254"/>
      <c r="I118" s="254"/>
      <c r="J118" s="254"/>
      <c r="K118" s="254"/>
      <c r="L118" s="254"/>
      <c r="M118" s="254"/>
      <c r="N118" s="254"/>
      <c r="O118" s="684"/>
      <c r="P118" s="255"/>
      <c r="Q118" s="256">
        <f>Q113+Q117</f>
        <v>79755.61</v>
      </c>
      <c r="R118" s="771"/>
      <c r="S118" s="180"/>
    </row>
    <row r="119" spans="1:20" s="158" customFormat="1" ht="11.25" hidden="1" customHeight="1">
      <c r="A119" s="222"/>
      <c r="B119" s="293"/>
      <c r="C119" s="294"/>
      <c r="D119" s="293"/>
      <c r="E119" s="739"/>
      <c r="F119" s="295"/>
      <c r="G119" s="295"/>
      <c r="H119" s="295"/>
      <c r="I119" s="295"/>
      <c r="J119" s="295"/>
      <c r="K119" s="295"/>
      <c r="L119" s="295"/>
      <c r="M119" s="295"/>
      <c r="N119" s="295"/>
      <c r="O119" s="285"/>
      <c r="P119" s="296"/>
      <c r="Q119" s="297"/>
      <c r="R119" s="771"/>
      <c r="S119" s="180"/>
    </row>
    <row r="120" spans="1:20" s="158" customFormat="1" ht="18" hidden="1" customHeight="1">
      <c r="A120" s="223" t="s">
        <v>109</v>
      </c>
      <c r="B120" s="253"/>
      <c r="C120" s="225" t="s">
        <v>883</v>
      </c>
      <c r="D120" s="253" t="s">
        <v>2</v>
      </c>
      <c r="E120" s="733"/>
      <c r="F120" s="254"/>
      <c r="G120" s="254"/>
      <c r="H120" s="254"/>
      <c r="I120" s="254"/>
      <c r="J120" s="254"/>
      <c r="K120" s="254"/>
      <c r="L120" s="254"/>
      <c r="M120" s="254"/>
      <c r="N120" s="254"/>
      <c r="O120" s="684"/>
      <c r="P120" s="255" t="s">
        <v>0</v>
      </c>
      <c r="Q120" s="256"/>
      <c r="R120" s="771"/>
      <c r="S120" s="180"/>
    </row>
    <row r="121" spans="1:20" s="158" customFormat="1" ht="22.5" hidden="1" customHeight="1">
      <c r="A121" s="300" t="s">
        <v>1623</v>
      </c>
      <c r="B121" s="273" t="s">
        <v>2198</v>
      </c>
      <c r="C121" s="272" t="s">
        <v>2200</v>
      </c>
      <c r="D121" s="163" t="s">
        <v>858</v>
      </c>
      <c r="E121" s="700">
        <f>memoria!J79</f>
        <v>1188</v>
      </c>
      <c r="F121" s="699"/>
      <c r="G121" s="699">
        <f>memoria!J83</f>
        <v>216</v>
      </c>
      <c r="H121" s="699">
        <f>memoria!J85</f>
        <v>162</v>
      </c>
      <c r="I121" s="699"/>
      <c r="J121" s="699"/>
      <c r="K121" s="699"/>
      <c r="L121" s="699"/>
      <c r="M121" s="699"/>
      <c r="N121" s="699"/>
      <c r="O121" s="274">
        <f t="shared" ref="O121:O128" si="27">SUM(E121:N121)</f>
        <v>1566</v>
      </c>
      <c r="P121" s="618">
        <f>COMPOSIÇÕES!B776</f>
        <v>190.31070000000003</v>
      </c>
      <c r="Q121" s="288">
        <f t="shared" ref="Q121:Q128" si="28">TRUNC(O121*P121,2)</f>
        <v>298026.55</v>
      </c>
      <c r="R121" s="771" t="s">
        <v>886</v>
      </c>
      <c r="S121" s="180"/>
    </row>
    <row r="122" spans="1:20" s="158" customFormat="1" ht="32.25" hidden="1" customHeight="1">
      <c r="A122" s="300" t="s">
        <v>1624</v>
      </c>
      <c r="B122" s="271" t="s">
        <v>1802</v>
      </c>
      <c r="C122" s="272" t="s">
        <v>1803</v>
      </c>
      <c r="D122" s="163" t="s">
        <v>858</v>
      </c>
      <c r="E122" s="700">
        <f>memoria!P81</f>
        <v>115.5</v>
      </c>
      <c r="F122" s="699"/>
      <c r="G122" s="699"/>
      <c r="H122" s="699">
        <f>memoria!P87</f>
        <v>174</v>
      </c>
      <c r="I122" s="699"/>
      <c r="J122" s="699"/>
      <c r="K122" s="699"/>
      <c r="L122" s="699"/>
      <c r="M122" s="699"/>
      <c r="N122" s="699"/>
      <c r="O122" s="274">
        <f t="shared" si="27"/>
        <v>289.5</v>
      </c>
      <c r="P122" s="618">
        <f>COMPOSIÇÕES!B929</f>
        <v>121.7859</v>
      </c>
      <c r="Q122" s="288">
        <f t="shared" si="28"/>
        <v>35257.01</v>
      </c>
      <c r="R122" s="771" t="s">
        <v>1937</v>
      </c>
      <c r="S122" s="180"/>
    </row>
    <row r="123" spans="1:20" s="158" customFormat="1" ht="26.25" hidden="1" customHeight="1">
      <c r="A123" s="300" t="s">
        <v>1625</v>
      </c>
      <c r="B123" s="273" t="s">
        <v>2349</v>
      </c>
      <c r="C123" s="272" t="s">
        <v>2350</v>
      </c>
      <c r="D123" s="163" t="s">
        <v>858</v>
      </c>
      <c r="E123" s="700">
        <f>E121</f>
        <v>1188</v>
      </c>
      <c r="F123" s="699"/>
      <c r="G123" s="699">
        <f>G121</f>
        <v>216</v>
      </c>
      <c r="H123" s="699">
        <f>H121</f>
        <v>162</v>
      </c>
      <c r="I123" s="699"/>
      <c r="J123" s="699"/>
      <c r="K123" s="699"/>
      <c r="L123" s="699"/>
      <c r="M123" s="699"/>
      <c r="N123" s="699"/>
      <c r="O123" s="274">
        <f t="shared" si="27"/>
        <v>1566</v>
      </c>
      <c r="P123" s="618">
        <f>30.05*1.245</f>
        <v>37.412250000000007</v>
      </c>
      <c r="Q123" s="288">
        <f t="shared" si="28"/>
        <v>58587.58</v>
      </c>
      <c r="R123" s="771" t="s">
        <v>1937</v>
      </c>
      <c r="S123" s="180"/>
    </row>
    <row r="124" spans="1:20" s="158" customFormat="1" ht="30" hidden="1" customHeight="1">
      <c r="A124" s="300" t="s">
        <v>1626</v>
      </c>
      <c r="B124" s="271" t="s">
        <v>2352</v>
      </c>
      <c r="C124" s="303" t="s">
        <v>2351</v>
      </c>
      <c r="D124" s="163" t="s">
        <v>858</v>
      </c>
      <c r="E124" s="700">
        <f>memoria!B89</f>
        <v>90</v>
      </c>
      <c r="F124" s="699"/>
      <c r="G124" s="699">
        <f>memoria!B91</f>
        <v>198</v>
      </c>
      <c r="H124" s="699">
        <f>memoria!B90</f>
        <v>144</v>
      </c>
      <c r="I124" s="699"/>
      <c r="J124" s="699"/>
      <c r="K124" s="699"/>
      <c r="L124" s="699"/>
      <c r="M124" s="699"/>
      <c r="N124" s="699"/>
      <c r="O124" s="274">
        <f t="shared" si="27"/>
        <v>432</v>
      </c>
      <c r="P124" s="618">
        <f>119.03*1.245</f>
        <v>148.19235</v>
      </c>
      <c r="Q124" s="288">
        <f t="shared" si="28"/>
        <v>64019.09</v>
      </c>
      <c r="R124" s="771"/>
      <c r="S124" s="180"/>
    </row>
    <row r="125" spans="1:20" s="158" customFormat="1" ht="37.5" hidden="1" customHeight="1">
      <c r="A125" s="300" t="s">
        <v>1627</v>
      </c>
      <c r="B125" s="273" t="s">
        <v>1792</v>
      </c>
      <c r="C125" s="272" t="s">
        <v>2353</v>
      </c>
      <c r="D125" s="163" t="s">
        <v>858</v>
      </c>
      <c r="E125" s="700">
        <f>memoria!B95</f>
        <v>810</v>
      </c>
      <c r="F125" s="699"/>
      <c r="G125" s="699"/>
      <c r="H125" s="699"/>
      <c r="I125" s="699"/>
      <c r="J125" s="699"/>
      <c r="K125" s="699"/>
      <c r="L125" s="699"/>
      <c r="M125" s="699"/>
      <c r="N125" s="699"/>
      <c r="O125" s="274">
        <f t="shared" si="27"/>
        <v>810</v>
      </c>
      <c r="P125" s="618">
        <f>121.44*1.245</f>
        <v>151.19280000000001</v>
      </c>
      <c r="Q125" s="288">
        <f t="shared" si="28"/>
        <v>122466.16</v>
      </c>
      <c r="R125" s="771" t="s">
        <v>1937</v>
      </c>
      <c r="S125" s="180"/>
    </row>
    <row r="126" spans="1:20" s="158" customFormat="1" ht="24" hidden="1" customHeight="1">
      <c r="A126" s="300" t="s">
        <v>2015</v>
      </c>
      <c r="B126" s="273" t="s">
        <v>1793</v>
      </c>
      <c r="C126" s="272" t="s">
        <v>1305</v>
      </c>
      <c r="D126" s="163" t="s">
        <v>858</v>
      </c>
      <c r="E126" s="700">
        <f>memoria!L153</f>
        <v>2.9744000000000002</v>
      </c>
      <c r="F126" s="699"/>
      <c r="G126" s="699">
        <f>memoria!L162</f>
        <v>0.47320000000000007</v>
      </c>
      <c r="H126" s="699">
        <f>memoria!L159</f>
        <v>0.37180000000000002</v>
      </c>
      <c r="I126" s="699"/>
      <c r="J126" s="699"/>
      <c r="K126" s="699"/>
      <c r="L126" s="699"/>
      <c r="M126" s="699"/>
      <c r="N126" s="699"/>
      <c r="O126" s="274">
        <f t="shared" si="27"/>
        <v>3.8194000000000004</v>
      </c>
      <c r="P126" s="618">
        <f>168*1.245</f>
        <v>209.16000000000003</v>
      </c>
      <c r="Q126" s="288">
        <f t="shared" si="28"/>
        <v>798.86</v>
      </c>
      <c r="R126" s="771" t="s">
        <v>1937</v>
      </c>
      <c r="S126" s="180"/>
    </row>
    <row r="127" spans="1:20" s="158" customFormat="1" ht="27.75" hidden="1" customHeight="1">
      <c r="A127" s="300" t="s">
        <v>2016</v>
      </c>
      <c r="B127" s="273" t="s">
        <v>1939</v>
      </c>
      <c r="C127" s="272" t="s">
        <v>1299</v>
      </c>
      <c r="D127" s="930" t="s">
        <v>858</v>
      </c>
      <c r="E127" s="700">
        <f>memoria!J115</f>
        <v>198</v>
      </c>
      <c r="F127" s="682"/>
      <c r="G127" s="772">
        <f>memoria!H116+10.8</f>
        <v>28.8</v>
      </c>
      <c r="H127" s="772">
        <f>memoria!J118+10.8</f>
        <v>34.799999999999997</v>
      </c>
      <c r="I127" s="682"/>
      <c r="J127" s="682">
        <f>memoria!J121</f>
        <v>74.007499999999993</v>
      </c>
      <c r="K127" s="682">
        <f>memoria!J128</f>
        <v>117.74000000000001</v>
      </c>
      <c r="L127" s="682"/>
      <c r="M127" s="682">
        <f>memoria!H145</f>
        <v>62.019999999999996</v>
      </c>
      <c r="N127" s="682"/>
      <c r="O127" s="274">
        <f t="shared" si="27"/>
        <v>515.36750000000006</v>
      </c>
      <c r="P127" s="618">
        <f>COMPOSIÇÕES!B894</f>
        <v>120.57825</v>
      </c>
      <c r="Q127" s="288">
        <f t="shared" si="28"/>
        <v>62142.11</v>
      </c>
      <c r="R127" s="771" t="s">
        <v>886</v>
      </c>
      <c r="S127" s="180"/>
    </row>
    <row r="128" spans="1:20" s="158" customFormat="1" ht="52.5" hidden="1" customHeight="1">
      <c r="A128" s="300" t="s">
        <v>2017</v>
      </c>
      <c r="B128" s="273" t="s">
        <v>1224</v>
      </c>
      <c r="C128" s="287" t="s">
        <v>1211</v>
      </c>
      <c r="D128" s="163" t="s">
        <v>858</v>
      </c>
      <c r="E128" s="699"/>
      <c r="F128" s="290"/>
      <c r="G128" s="290"/>
      <c r="H128" s="290"/>
      <c r="I128" s="290"/>
      <c r="J128" s="290"/>
      <c r="K128" s="290"/>
      <c r="L128" s="290"/>
      <c r="M128" s="290"/>
      <c r="N128" s="274">
        <f>memoria!B110</f>
        <v>779.8</v>
      </c>
      <c r="O128" s="274">
        <f t="shared" si="27"/>
        <v>779.8</v>
      </c>
      <c r="P128" s="275">
        <f>COMPOSIÇÕES!B875</f>
        <v>66.059700000000007</v>
      </c>
      <c r="Q128" s="288">
        <f t="shared" si="28"/>
        <v>51513.35</v>
      </c>
      <c r="R128" s="771" t="s">
        <v>886</v>
      </c>
      <c r="S128" s="180"/>
      <c r="T128" s="158" t="s">
        <v>2155</v>
      </c>
    </row>
    <row r="129" spans="1:19" s="158" customFormat="1" ht="22.5" hidden="1" customHeight="1">
      <c r="A129" s="223"/>
      <c r="B129" s="253"/>
      <c r="C129" s="263" t="s">
        <v>471</v>
      </c>
      <c r="D129" s="253" t="s">
        <v>2</v>
      </c>
      <c r="E129" s="733"/>
      <c r="F129" s="254"/>
      <c r="G129" s="254"/>
      <c r="H129" s="254"/>
      <c r="I129" s="254"/>
      <c r="J129" s="254"/>
      <c r="K129" s="254"/>
      <c r="L129" s="254"/>
      <c r="M129" s="254"/>
      <c r="N129" s="254"/>
      <c r="O129" s="254"/>
      <c r="P129" s="255"/>
      <c r="Q129" s="256">
        <f>SUM(Q121:Q128)</f>
        <v>692810.71</v>
      </c>
      <c r="R129" s="771"/>
      <c r="S129" s="180"/>
    </row>
    <row r="130" spans="1:19" s="158" customFormat="1" ht="13.5" hidden="1" customHeight="1">
      <c r="A130" s="222"/>
      <c r="B130" s="293"/>
      <c r="C130" s="301"/>
      <c r="D130" s="293"/>
      <c r="E130" s="739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6"/>
      <c r="Q130" s="297"/>
      <c r="R130" s="771"/>
      <c r="S130" s="180"/>
    </row>
    <row r="131" spans="1:19" s="172" customFormat="1" ht="24" hidden="1" customHeight="1">
      <c r="A131" s="223" t="s">
        <v>396</v>
      </c>
      <c r="B131" s="253"/>
      <c r="C131" s="225" t="s">
        <v>472</v>
      </c>
      <c r="D131" s="253" t="s">
        <v>2</v>
      </c>
      <c r="E131" s="733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5" t="s">
        <v>0</v>
      </c>
      <c r="Q131" s="256"/>
      <c r="R131" s="167"/>
      <c r="S131" s="181"/>
    </row>
    <row r="132" spans="1:19" s="172" customFormat="1" ht="24" hidden="1" customHeight="1">
      <c r="A132" s="222" t="s">
        <v>397</v>
      </c>
      <c r="B132" s="293"/>
      <c r="C132" s="218" t="s">
        <v>473</v>
      </c>
      <c r="D132" s="279"/>
      <c r="E132" s="734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2"/>
      <c r="Q132" s="283"/>
      <c r="R132" s="167"/>
      <c r="S132" s="181"/>
    </row>
    <row r="133" spans="1:19" s="167" customFormat="1" ht="51.75" hidden="1" customHeight="1">
      <c r="A133" s="173" t="s">
        <v>474</v>
      </c>
      <c r="B133" s="174" t="s">
        <v>1524</v>
      </c>
      <c r="C133" s="264" t="s">
        <v>1525</v>
      </c>
      <c r="D133" s="163" t="s">
        <v>136</v>
      </c>
      <c r="E133" s="746">
        <v>48</v>
      </c>
      <c r="F133" s="175"/>
      <c r="G133" s="175"/>
      <c r="H133" s="175">
        <v>5</v>
      </c>
      <c r="I133" s="175"/>
      <c r="J133" s="175"/>
      <c r="K133" s="175"/>
      <c r="L133" s="175"/>
      <c r="M133" s="175"/>
      <c r="N133" s="175"/>
      <c r="O133" s="175">
        <f t="shared" ref="O133:O210" si="29">SUM(E133:N133)</f>
        <v>53</v>
      </c>
      <c r="P133" s="176">
        <f>COMPOSIÇÕES!B1291</f>
        <v>167.34045</v>
      </c>
      <c r="Q133" s="177">
        <f t="shared" ref="Q133:Q260" si="30">TRUNC(O133*P133,2)</f>
        <v>8869.0400000000009</v>
      </c>
      <c r="R133" s="167" t="s">
        <v>886</v>
      </c>
    </row>
    <row r="134" spans="1:19" s="167" customFormat="1" ht="36" hidden="1" customHeight="1">
      <c r="A134" s="173" t="s">
        <v>475</v>
      </c>
      <c r="B134" s="174" t="s">
        <v>1027</v>
      </c>
      <c r="C134" s="264" t="s">
        <v>1037</v>
      </c>
      <c r="D134" s="163" t="s">
        <v>136</v>
      </c>
      <c r="E134" s="746">
        <v>97</v>
      </c>
      <c r="F134" s="175"/>
      <c r="G134" s="175">
        <v>11</v>
      </c>
      <c r="H134" s="175">
        <v>2</v>
      </c>
      <c r="I134" s="175"/>
      <c r="J134" s="175"/>
      <c r="K134" s="175"/>
      <c r="L134" s="175"/>
      <c r="M134" s="175"/>
      <c r="N134" s="175"/>
      <c r="O134" s="175">
        <f t="shared" si="29"/>
        <v>110</v>
      </c>
      <c r="P134" s="176">
        <f>COMPOSIÇÕES!B1353</f>
        <v>150.71969999999999</v>
      </c>
      <c r="Q134" s="177">
        <f t="shared" si="30"/>
        <v>16579.16</v>
      </c>
      <c r="R134" s="167" t="s">
        <v>886</v>
      </c>
    </row>
    <row r="135" spans="1:19" s="167" customFormat="1" ht="34.5" hidden="1" customHeight="1">
      <c r="A135" s="173" t="s">
        <v>476</v>
      </c>
      <c r="B135" s="174" t="s">
        <v>1036</v>
      </c>
      <c r="C135" s="264" t="s">
        <v>1038</v>
      </c>
      <c r="D135" s="163" t="s">
        <v>136</v>
      </c>
      <c r="E135" s="746">
        <v>14</v>
      </c>
      <c r="F135" s="175"/>
      <c r="G135" s="175"/>
      <c r="H135" s="175">
        <v>3</v>
      </c>
      <c r="I135" s="175"/>
      <c r="J135" s="175"/>
      <c r="K135" s="175"/>
      <c r="L135" s="175"/>
      <c r="M135" s="175"/>
      <c r="N135" s="175"/>
      <c r="O135" s="175">
        <f t="shared" si="29"/>
        <v>17</v>
      </c>
      <c r="P135" s="176">
        <f>COMPOSIÇÕES!B1384</f>
        <v>152.2884</v>
      </c>
      <c r="Q135" s="177">
        <f t="shared" si="30"/>
        <v>2588.9</v>
      </c>
      <c r="R135" s="167" t="s">
        <v>886</v>
      </c>
    </row>
    <row r="136" spans="1:19" s="167" customFormat="1" ht="47.25" hidden="1" customHeight="1">
      <c r="A136" s="173" t="s">
        <v>477</v>
      </c>
      <c r="B136" s="174" t="s">
        <v>1054</v>
      </c>
      <c r="C136" s="264" t="s">
        <v>1051</v>
      </c>
      <c r="D136" s="163" t="s">
        <v>136</v>
      </c>
      <c r="E136" s="746">
        <v>12</v>
      </c>
      <c r="F136" s="175"/>
      <c r="G136" s="175"/>
      <c r="H136" s="175">
        <v>3</v>
      </c>
      <c r="I136" s="175"/>
      <c r="J136" s="175"/>
      <c r="K136" s="175"/>
      <c r="L136" s="175"/>
      <c r="M136" s="175"/>
      <c r="N136" s="175"/>
      <c r="O136" s="175">
        <f t="shared" si="29"/>
        <v>15</v>
      </c>
      <c r="P136" s="176">
        <f>COMPOSIÇÕES!B1322</f>
        <v>131.82059999999998</v>
      </c>
      <c r="Q136" s="177">
        <f t="shared" si="30"/>
        <v>1977.3</v>
      </c>
      <c r="R136" s="167" t="s">
        <v>886</v>
      </c>
    </row>
    <row r="137" spans="1:19" s="167" customFormat="1" ht="18" hidden="1" customHeight="1">
      <c r="A137" s="173" t="s">
        <v>478</v>
      </c>
      <c r="B137" s="174" t="s">
        <v>1955</v>
      </c>
      <c r="C137" s="264" t="s">
        <v>1531</v>
      </c>
      <c r="D137" s="163" t="s">
        <v>136</v>
      </c>
      <c r="E137" s="746">
        <v>10</v>
      </c>
      <c r="F137" s="175"/>
      <c r="G137" s="175"/>
      <c r="H137" s="175">
        <v>1</v>
      </c>
      <c r="I137" s="175"/>
      <c r="J137" s="175"/>
      <c r="K137" s="175"/>
      <c r="L137" s="175"/>
      <c r="M137" s="175"/>
      <c r="N137" s="175"/>
      <c r="O137" s="175">
        <f t="shared" si="29"/>
        <v>11</v>
      </c>
      <c r="P137" s="176">
        <f>26.9*1.245</f>
        <v>33.490500000000004</v>
      </c>
      <c r="Q137" s="177">
        <f t="shared" si="30"/>
        <v>368.39</v>
      </c>
      <c r="R137" s="167" t="s">
        <v>1940</v>
      </c>
    </row>
    <row r="138" spans="1:19" s="167" customFormat="1" ht="18" hidden="1" customHeight="1">
      <c r="A138" s="173" t="s">
        <v>482</v>
      </c>
      <c r="B138" s="174" t="s">
        <v>1954</v>
      </c>
      <c r="C138" s="264" t="s">
        <v>1532</v>
      </c>
      <c r="D138" s="163" t="s">
        <v>136</v>
      </c>
      <c r="E138" s="746"/>
      <c r="F138" s="175"/>
      <c r="G138" s="175"/>
      <c r="H138" s="175">
        <v>2</v>
      </c>
      <c r="I138" s="175"/>
      <c r="J138" s="175"/>
      <c r="K138" s="175"/>
      <c r="L138" s="175"/>
      <c r="M138" s="175"/>
      <c r="N138" s="175"/>
      <c r="O138" s="175">
        <f t="shared" si="29"/>
        <v>2</v>
      </c>
      <c r="P138" s="618">
        <f>36.76*1.245</f>
        <v>45.766200000000005</v>
      </c>
      <c r="Q138" s="177">
        <f t="shared" si="30"/>
        <v>91.53</v>
      </c>
      <c r="R138" s="167" t="s">
        <v>1940</v>
      </c>
    </row>
    <row r="139" spans="1:19" s="167" customFormat="1" ht="69" hidden="1" customHeight="1">
      <c r="A139" s="173" t="s">
        <v>483</v>
      </c>
      <c r="B139" s="174" t="s">
        <v>1533</v>
      </c>
      <c r="C139" s="264" t="s">
        <v>1534</v>
      </c>
      <c r="D139" s="163" t="s">
        <v>136</v>
      </c>
      <c r="E139" s="746">
        <v>22</v>
      </c>
      <c r="F139" s="175"/>
      <c r="G139" s="175"/>
      <c r="H139" s="175">
        <v>3</v>
      </c>
      <c r="I139" s="175"/>
      <c r="J139" s="175"/>
      <c r="K139" s="175"/>
      <c r="L139" s="175"/>
      <c r="M139" s="175"/>
      <c r="N139" s="175"/>
      <c r="O139" s="175">
        <f t="shared" si="29"/>
        <v>25</v>
      </c>
      <c r="P139" s="176">
        <f>152.28*1.245</f>
        <v>189.58860000000001</v>
      </c>
      <c r="Q139" s="177">
        <f t="shared" si="30"/>
        <v>4739.71</v>
      </c>
      <c r="R139" s="167" t="s">
        <v>1940</v>
      </c>
    </row>
    <row r="140" spans="1:19" s="167" customFormat="1" ht="20.100000000000001" hidden="1" customHeight="1">
      <c r="A140" s="173" t="s">
        <v>484</v>
      </c>
      <c r="B140" s="174" t="s">
        <v>1765</v>
      </c>
      <c r="C140" s="264" t="s">
        <v>1535</v>
      </c>
      <c r="D140" s="163" t="s">
        <v>136</v>
      </c>
      <c r="E140" s="746">
        <v>14</v>
      </c>
      <c r="F140" s="175"/>
      <c r="G140" s="175"/>
      <c r="H140" s="175"/>
      <c r="I140" s="175"/>
      <c r="J140" s="175"/>
      <c r="K140" s="175"/>
      <c r="L140" s="175"/>
      <c r="M140" s="175"/>
      <c r="N140" s="175"/>
      <c r="O140" s="175">
        <f t="shared" si="29"/>
        <v>14</v>
      </c>
      <c r="P140" s="176">
        <f>18.41*1.245</f>
        <v>22.920450000000002</v>
      </c>
      <c r="Q140" s="177">
        <f t="shared" si="30"/>
        <v>320.88</v>
      </c>
      <c r="R140" s="167" t="s">
        <v>1940</v>
      </c>
    </row>
    <row r="141" spans="1:19" s="167" customFormat="1" ht="20.100000000000001" hidden="1" customHeight="1">
      <c r="A141" s="173" t="s">
        <v>1602</v>
      </c>
      <c r="B141" s="174" t="s">
        <v>1767</v>
      </c>
      <c r="C141" s="264" t="s">
        <v>1766</v>
      </c>
      <c r="D141" s="163" t="s">
        <v>1225</v>
      </c>
      <c r="E141" s="746">
        <f>6+11</f>
        <v>17</v>
      </c>
      <c r="F141" s="175"/>
      <c r="G141" s="175"/>
      <c r="H141" s="175"/>
      <c r="I141" s="175"/>
      <c r="J141" s="175"/>
      <c r="K141" s="175"/>
      <c r="L141" s="175"/>
      <c r="M141" s="175"/>
      <c r="N141" s="175"/>
      <c r="O141" s="175">
        <f t="shared" si="29"/>
        <v>17</v>
      </c>
      <c r="P141" s="176">
        <f>445.37*1.245</f>
        <v>554.48565000000008</v>
      </c>
      <c r="Q141" s="177">
        <f t="shared" si="30"/>
        <v>9426.25</v>
      </c>
      <c r="R141" s="167" t="s">
        <v>1940</v>
      </c>
    </row>
    <row r="142" spans="1:19" s="167" customFormat="1" ht="20.100000000000001" hidden="1" customHeight="1">
      <c r="A142" s="173" t="s">
        <v>1603</v>
      </c>
      <c r="B142" s="174" t="s">
        <v>1027</v>
      </c>
      <c r="C142" s="264" t="s">
        <v>2399</v>
      </c>
      <c r="D142" s="163" t="s">
        <v>1225</v>
      </c>
      <c r="E142" s="746">
        <v>42</v>
      </c>
      <c r="F142" s="175"/>
      <c r="G142" s="175"/>
      <c r="H142" s="175"/>
      <c r="I142" s="175"/>
      <c r="J142" s="175"/>
      <c r="K142" s="175"/>
      <c r="L142" s="175"/>
      <c r="M142" s="175"/>
      <c r="N142" s="175"/>
      <c r="O142" s="175">
        <f t="shared" si="29"/>
        <v>42</v>
      </c>
      <c r="P142" s="176">
        <f>COMPOSIÇÕES!B1353</f>
        <v>150.71969999999999</v>
      </c>
      <c r="Q142" s="177">
        <f t="shared" si="30"/>
        <v>6330.22</v>
      </c>
      <c r="R142" s="971" t="s">
        <v>886</v>
      </c>
    </row>
    <row r="143" spans="1:19" s="167" customFormat="1" ht="41.25" hidden="1" customHeight="1">
      <c r="A143" s="173" t="s">
        <v>1604</v>
      </c>
      <c r="B143" s="174"/>
      <c r="C143" s="264" t="s">
        <v>1690</v>
      </c>
      <c r="D143" s="163" t="s">
        <v>822</v>
      </c>
      <c r="E143" s="746">
        <v>20</v>
      </c>
      <c r="F143" s="175"/>
      <c r="G143" s="175"/>
      <c r="H143" s="175"/>
      <c r="I143" s="175"/>
      <c r="J143" s="175"/>
      <c r="K143" s="175"/>
      <c r="L143" s="175"/>
      <c r="M143" s="175"/>
      <c r="N143" s="175"/>
      <c r="O143" s="175">
        <f t="shared" si="29"/>
        <v>20</v>
      </c>
      <c r="P143" s="618">
        <f>594.6*1.245</f>
        <v>740.27700000000004</v>
      </c>
      <c r="Q143" s="177">
        <f t="shared" si="30"/>
        <v>14805.54</v>
      </c>
      <c r="R143" s="167" t="s">
        <v>378</v>
      </c>
    </row>
    <row r="144" spans="1:19" s="167" customFormat="1" ht="36.75" hidden="1" customHeight="1">
      <c r="A144" s="173" t="s">
        <v>1605</v>
      </c>
      <c r="B144" s="161" t="s">
        <v>1064</v>
      </c>
      <c r="C144" s="178" t="s">
        <v>1536</v>
      </c>
      <c r="D144" s="163" t="s">
        <v>822</v>
      </c>
      <c r="E144" s="746">
        <v>20</v>
      </c>
      <c r="F144" s="175"/>
      <c r="G144" s="175"/>
      <c r="H144" s="175"/>
      <c r="I144" s="175"/>
      <c r="J144" s="175"/>
      <c r="K144" s="175"/>
      <c r="L144" s="175"/>
      <c r="M144" s="175"/>
      <c r="N144" s="175"/>
      <c r="O144" s="175">
        <f t="shared" si="29"/>
        <v>20</v>
      </c>
      <c r="P144" s="165">
        <f>COMPOSIÇÕES!B1420</f>
        <v>77.16510000000001</v>
      </c>
      <c r="Q144" s="166">
        <f t="shared" si="30"/>
        <v>1543.3</v>
      </c>
      <c r="R144" s="167" t="s">
        <v>886</v>
      </c>
      <c r="S144" s="182"/>
    </row>
    <row r="145" spans="1:19" s="167" customFormat="1" ht="38.25" hidden="1" customHeight="1">
      <c r="A145" s="173" t="s">
        <v>1606</v>
      </c>
      <c r="B145" s="161" t="s">
        <v>1065</v>
      </c>
      <c r="C145" s="178" t="s">
        <v>1066</v>
      </c>
      <c r="D145" s="163" t="s">
        <v>822</v>
      </c>
      <c r="E145" s="746">
        <v>218</v>
      </c>
      <c r="F145" s="175"/>
      <c r="G145" s="175">
        <v>24</v>
      </c>
      <c r="H145" s="175">
        <v>29</v>
      </c>
      <c r="I145" s="175"/>
      <c r="J145" s="175"/>
      <c r="K145" s="175"/>
      <c r="L145" s="175"/>
      <c r="M145" s="175"/>
      <c r="N145" s="175"/>
      <c r="O145" s="175">
        <f t="shared" si="29"/>
        <v>271</v>
      </c>
      <c r="P145" s="165">
        <f>COMPOSIÇÕES!B1402</f>
        <v>116.41995000000003</v>
      </c>
      <c r="Q145" s="166">
        <f t="shared" si="30"/>
        <v>31549.8</v>
      </c>
      <c r="R145" s="167" t="s">
        <v>886</v>
      </c>
      <c r="S145" s="182"/>
    </row>
    <row r="146" spans="1:19" s="167" customFormat="1" ht="66.75" hidden="1" customHeight="1">
      <c r="A146" s="173" t="s">
        <v>2201</v>
      </c>
      <c r="B146" s="161" t="s">
        <v>1537</v>
      </c>
      <c r="C146" s="302" t="s">
        <v>1538</v>
      </c>
      <c r="D146" s="163" t="s">
        <v>822</v>
      </c>
      <c r="E146" s="746">
        <v>7</v>
      </c>
      <c r="F146" s="175"/>
      <c r="G146" s="175"/>
      <c r="H146" s="175"/>
      <c r="I146" s="175"/>
      <c r="J146" s="175"/>
      <c r="K146" s="175"/>
      <c r="L146" s="175"/>
      <c r="M146" s="175"/>
      <c r="N146" s="175"/>
      <c r="O146" s="175">
        <f t="shared" si="29"/>
        <v>7</v>
      </c>
      <c r="P146" s="165">
        <f>312.17*1.245</f>
        <v>388.65165000000007</v>
      </c>
      <c r="Q146" s="166">
        <f t="shared" si="30"/>
        <v>2720.56</v>
      </c>
      <c r="R146" s="167" t="s">
        <v>1940</v>
      </c>
      <c r="S146" s="182"/>
    </row>
    <row r="147" spans="1:19" s="167" customFormat="1" ht="68.25" hidden="1" customHeight="1">
      <c r="A147" s="173" t="s">
        <v>1607</v>
      </c>
      <c r="B147" s="161" t="s">
        <v>1541</v>
      </c>
      <c r="C147" s="272" t="s">
        <v>1542</v>
      </c>
      <c r="D147" s="163" t="s">
        <v>822</v>
      </c>
      <c r="E147" s="746">
        <v>4</v>
      </c>
      <c r="F147" s="175"/>
      <c r="G147" s="175"/>
      <c r="H147" s="175"/>
      <c r="I147" s="175"/>
      <c r="J147" s="175"/>
      <c r="K147" s="175"/>
      <c r="L147" s="175"/>
      <c r="M147" s="175"/>
      <c r="N147" s="175">
        <v>2</v>
      </c>
      <c r="O147" s="175">
        <f t="shared" si="29"/>
        <v>6</v>
      </c>
      <c r="P147" s="165">
        <f>425.58*1.245</f>
        <v>529.84710000000007</v>
      </c>
      <c r="Q147" s="166">
        <f t="shared" si="30"/>
        <v>3179.08</v>
      </c>
      <c r="R147" s="167" t="s">
        <v>1940</v>
      </c>
      <c r="S147" s="182"/>
    </row>
    <row r="148" spans="1:19" s="167" customFormat="1" ht="68.25" hidden="1" customHeight="1">
      <c r="A148" s="173" t="s">
        <v>1608</v>
      </c>
      <c r="B148" s="161" t="s">
        <v>1539</v>
      </c>
      <c r="C148" s="272" t="s">
        <v>1540</v>
      </c>
      <c r="D148" s="163" t="s">
        <v>822</v>
      </c>
      <c r="E148" s="746"/>
      <c r="F148" s="175"/>
      <c r="G148" s="175">
        <v>1</v>
      </c>
      <c r="H148" s="175"/>
      <c r="I148" s="175"/>
      <c r="J148" s="175"/>
      <c r="K148" s="175"/>
      <c r="L148" s="175"/>
      <c r="M148" s="175"/>
      <c r="N148" s="175"/>
      <c r="O148" s="175">
        <f t="shared" si="29"/>
        <v>1</v>
      </c>
      <c r="P148" s="165">
        <f>72.11*1.245</f>
        <v>89.776950000000014</v>
      </c>
      <c r="Q148" s="166">
        <f t="shared" si="30"/>
        <v>89.77</v>
      </c>
      <c r="R148" s="167" t="s">
        <v>1940</v>
      </c>
      <c r="S148" s="182"/>
    </row>
    <row r="149" spans="1:19" s="167" customFormat="1" ht="66" hidden="1" customHeight="1">
      <c r="A149" s="173" t="s">
        <v>1609</v>
      </c>
      <c r="B149" s="161" t="s">
        <v>1543</v>
      </c>
      <c r="C149" s="302" t="s">
        <v>1544</v>
      </c>
      <c r="D149" s="163" t="s">
        <v>822</v>
      </c>
      <c r="E149" s="746"/>
      <c r="F149" s="175"/>
      <c r="G149" s="175"/>
      <c r="H149" s="175">
        <v>1</v>
      </c>
      <c r="I149" s="175"/>
      <c r="J149" s="175"/>
      <c r="K149" s="175"/>
      <c r="L149" s="175"/>
      <c r="M149" s="175"/>
      <c r="N149" s="175"/>
      <c r="O149" s="175">
        <f t="shared" si="29"/>
        <v>1</v>
      </c>
      <c r="P149" s="165">
        <f>493.42*1.245</f>
        <v>614.30790000000002</v>
      </c>
      <c r="Q149" s="166">
        <f t="shared" si="30"/>
        <v>614.29999999999995</v>
      </c>
      <c r="R149" s="167" t="s">
        <v>1940</v>
      </c>
      <c r="S149" s="182"/>
    </row>
    <row r="150" spans="1:19" s="167" customFormat="1" ht="27.75" hidden="1" customHeight="1">
      <c r="A150" s="173" t="s">
        <v>1610</v>
      </c>
      <c r="B150" s="161" t="s">
        <v>1768</v>
      </c>
      <c r="C150" s="272" t="s">
        <v>1555</v>
      </c>
      <c r="D150" s="163" t="s">
        <v>822</v>
      </c>
      <c r="E150" s="746">
        <v>7</v>
      </c>
      <c r="F150" s="175"/>
      <c r="G150" s="175"/>
      <c r="H150" s="175"/>
      <c r="I150" s="175"/>
      <c r="J150" s="175"/>
      <c r="K150" s="175"/>
      <c r="L150" s="175"/>
      <c r="M150" s="175"/>
      <c r="N150" s="175"/>
      <c r="O150" s="175">
        <f t="shared" ref="O150" si="31">SUM(E150:N150)</f>
        <v>7</v>
      </c>
      <c r="P150" s="165">
        <f>286.81*1.245</f>
        <v>357.07845000000003</v>
      </c>
      <c r="Q150" s="166">
        <f t="shared" ref="Q150" si="32">TRUNC(O150*P150,2)</f>
        <v>2499.54</v>
      </c>
      <c r="R150" s="167" t="s">
        <v>1940</v>
      </c>
      <c r="S150" s="182"/>
    </row>
    <row r="151" spans="1:19" s="167" customFormat="1" ht="31.5" hidden="1" customHeight="1">
      <c r="A151" s="173" t="s">
        <v>1611</v>
      </c>
      <c r="B151" s="161" t="s">
        <v>1776</v>
      </c>
      <c r="C151" s="272" t="s">
        <v>1545</v>
      </c>
      <c r="D151" s="163" t="s">
        <v>822</v>
      </c>
      <c r="E151" s="746">
        <v>8</v>
      </c>
      <c r="F151" s="175"/>
      <c r="G151" s="175"/>
      <c r="H151" s="175"/>
      <c r="I151" s="175"/>
      <c r="J151" s="175"/>
      <c r="K151" s="175"/>
      <c r="L151" s="175"/>
      <c r="M151" s="175"/>
      <c r="N151" s="175">
        <v>3</v>
      </c>
      <c r="O151" s="175">
        <f t="shared" si="29"/>
        <v>11</v>
      </c>
      <c r="P151" s="165">
        <f>95.15*1.245</f>
        <v>118.46175000000002</v>
      </c>
      <c r="Q151" s="166">
        <f t="shared" si="30"/>
        <v>1303.07</v>
      </c>
      <c r="R151" s="167" t="s">
        <v>1940</v>
      </c>
      <c r="S151" s="182"/>
    </row>
    <row r="152" spans="1:19" s="167" customFormat="1" ht="32.25" hidden="1" customHeight="1">
      <c r="A152" s="173" t="s">
        <v>1612</v>
      </c>
      <c r="B152" s="161" t="s">
        <v>1776</v>
      </c>
      <c r="C152" s="272" t="s">
        <v>1546</v>
      </c>
      <c r="D152" s="163" t="s">
        <v>822</v>
      </c>
      <c r="E152" s="746"/>
      <c r="F152" s="175"/>
      <c r="G152" s="175"/>
      <c r="H152" s="175">
        <v>1</v>
      </c>
      <c r="I152" s="175"/>
      <c r="J152" s="175"/>
      <c r="K152" s="175"/>
      <c r="L152" s="175"/>
      <c r="M152" s="175"/>
      <c r="N152" s="175"/>
      <c r="O152" s="175">
        <f t="shared" si="29"/>
        <v>1</v>
      </c>
      <c r="P152" s="165">
        <f>95.15*1.245</f>
        <v>118.46175000000002</v>
      </c>
      <c r="Q152" s="166">
        <f t="shared" si="30"/>
        <v>118.46</v>
      </c>
      <c r="R152" s="167" t="s">
        <v>1940</v>
      </c>
      <c r="S152" s="182"/>
    </row>
    <row r="153" spans="1:19" s="167" customFormat="1" ht="31.5" hidden="1" customHeight="1">
      <c r="A153" s="173" t="s">
        <v>1613</v>
      </c>
      <c r="B153" s="161" t="s">
        <v>1776</v>
      </c>
      <c r="C153" s="272" t="s">
        <v>1547</v>
      </c>
      <c r="D153" s="163" t="s">
        <v>822</v>
      </c>
      <c r="E153" s="746">
        <v>4</v>
      </c>
      <c r="F153" s="175"/>
      <c r="G153" s="175"/>
      <c r="H153" s="175"/>
      <c r="I153" s="175"/>
      <c r="J153" s="175"/>
      <c r="K153" s="175"/>
      <c r="L153" s="175"/>
      <c r="M153" s="175"/>
      <c r="N153" s="175">
        <v>4</v>
      </c>
      <c r="O153" s="175">
        <f t="shared" si="29"/>
        <v>8</v>
      </c>
      <c r="P153" s="165">
        <f>95.15*1.245</f>
        <v>118.46175000000002</v>
      </c>
      <c r="Q153" s="166">
        <f t="shared" si="30"/>
        <v>947.69</v>
      </c>
      <c r="R153" s="167" t="s">
        <v>1940</v>
      </c>
      <c r="S153" s="182"/>
    </row>
    <row r="154" spans="1:19" s="167" customFormat="1" ht="29.25" hidden="1" customHeight="1">
      <c r="A154" s="173" t="s">
        <v>1614</v>
      </c>
      <c r="B154" s="161" t="s">
        <v>1775</v>
      </c>
      <c r="C154" s="272" t="s">
        <v>1548</v>
      </c>
      <c r="D154" s="163" t="s">
        <v>822</v>
      </c>
      <c r="E154" s="746"/>
      <c r="F154" s="175"/>
      <c r="G154" s="175"/>
      <c r="H154" s="175">
        <v>1</v>
      </c>
      <c r="I154" s="175"/>
      <c r="J154" s="175"/>
      <c r="K154" s="175"/>
      <c r="L154" s="175"/>
      <c r="M154" s="175"/>
      <c r="N154" s="175">
        <v>1</v>
      </c>
      <c r="O154" s="175">
        <f t="shared" si="29"/>
        <v>2</v>
      </c>
      <c r="P154" s="165">
        <f>688.54*1.245</f>
        <v>857.23230000000001</v>
      </c>
      <c r="Q154" s="166">
        <f t="shared" si="30"/>
        <v>1714.46</v>
      </c>
      <c r="R154" s="167" t="s">
        <v>1940</v>
      </c>
      <c r="S154" s="182"/>
    </row>
    <row r="155" spans="1:19" s="167" customFormat="1" ht="21.95" hidden="1" customHeight="1">
      <c r="A155" s="173" t="s">
        <v>1615</v>
      </c>
      <c r="B155" s="161" t="s">
        <v>1770</v>
      </c>
      <c r="C155" s="272" t="s">
        <v>1549</v>
      </c>
      <c r="D155" s="163" t="s">
        <v>822</v>
      </c>
      <c r="E155" s="746">
        <v>67</v>
      </c>
      <c r="F155" s="175"/>
      <c r="G155" s="175"/>
      <c r="H155" s="175">
        <v>11</v>
      </c>
      <c r="I155" s="175"/>
      <c r="J155" s="175"/>
      <c r="K155" s="175"/>
      <c r="L155" s="175"/>
      <c r="M155" s="175"/>
      <c r="N155" s="175">
        <v>2</v>
      </c>
      <c r="O155" s="175">
        <f t="shared" si="29"/>
        <v>80</v>
      </c>
      <c r="P155" s="165">
        <f>8.82*1.245</f>
        <v>10.980900000000002</v>
      </c>
      <c r="Q155" s="166">
        <f t="shared" si="30"/>
        <v>878.47</v>
      </c>
      <c r="R155" s="167" t="s">
        <v>1940</v>
      </c>
      <c r="S155" s="182"/>
    </row>
    <row r="156" spans="1:19" s="167" customFormat="1" ht="21.95" hidden="1" customHeight="1">
      <c r="A156" s="173" t="s">
        <v>1616</v>
      </c>
      <c r="B156" s="161" t="s">
        <v>1769</v>
      </c>
      <c r="C156" s="272" t="s">
        <v>1550</v>
      </c>
      <c r="D156" s="163" t="s">
        <v>822</v>
      </c>
      <c r="E156" s="746">
        <v>37</v>
      </c>
      <c r="F156" s="175"/>
      <c r="G156" s="175"/>
      <c r="H156" s="617">
        <v>4</v>
      </c>
      <c r="I156" s="175"/>
      <c r="J156" s="175"/>
      <c r="K156" s="175"/>
      <c r="L156" s="175"/>
      <c r="M156" s="175"/>
      <c r="N156" s="175"/>
      <c r="O156" s="175">
        <f t="shared" si="29"/>
        <v>41</v>
      </c>
      <c r="P156" s="165">
        <f>10.64*1.245</f>
        <v>13.246800000000002</v>
      </c>
      <c r="Q156" s="166">
        <f t="shared" si="30"/>
        <v>543.11</v>
      </c>
      <c r="R156" s="167" t="s">
        <v>1940</v>
      </c>
      <c r="S156" s="182"/>
    </row>
    <row r="157" spans="1:19" s="167" customFormat="1" ht="21.95" hidden="1" customHeight="1">
      <c r="A157" s="173" t="s">
        <v>1617</v>
      </c>
      <c r="B157" s="161" t="s">
        <v>1771</v>
      </c>
      <c r="C157" s="272" t="s">
        <v>1551</v>
      </c>
      <c r="D157" s="163" t="s">
        <v>822</v>
      </c>
      <c r="E157" s="746">
        <v>10</v>
      </c>
      <c r="F157" s="175"/>
      <c r="G157" s="175"/>
      <c r="H157" s="175">
        <v>1</v>
      </c>
      <c r="I157" s="175"/>
      <c r="J157" s="175"/>
      <c r="K157" s="175"/>
      <c r="L157" s="175"/>
      <c r="M157" s="175"/>
      <c r="N157" s="175"/>
      <c r="O157" s="175">
        <f t="shared" si="29"/>
        <v>11</v>
      </c>
      <c r="P157" s="165">
        <f>42.26*1.245</f>
        <v>52.613700000000001</v>
      </c>
      <c r="Q157" s="166">
        <f t="shared" si="30"/>
        <v>578.75</v>
      </c>
      <c r="R157" s="167" t="s">
        <v>1940</v>
      </c>
      <c r="S157" s="182"/>
    </row>
    <row r="158" spans="1:19" s="167" customFormat="1" ht="21.95" hidden="1" customHeight="1">
      <c r="A158" s="173" t="s">
        <v>1618</v>
      </c>
      <c r="B158" s="161" t="s">
        <v>1774</v>
      </c>
      <c r="C158" s="272" t="s">
        <v>1552</v>
      </c>
      <c r="D158" s="163" t="s">
        <v>822</v>
      </c>
      <c r="E158" s="746">
        <v>11</v>
      </c>
      <c r="F158" s="175"/>
      <c r="G158" s="175"/>
      <c r="H158" s="175"/>
      <c r="I158" s="175"/>
      <c r="J158" s="175"/>
      <c r="K158" s="175"/>
      <c r="L158" s="175"/>
      <c r="M158" s="175"/>
      <c r="N158" s="175"/>
      <c r="O158" s="175">
        <f t="shared" si="29"/>
        <v>11</v>
      </c>
      <c r="P158" s="165">
        <f>58.51*1.245</f>
        <v>72.844949999999997</v>
      </c>
      <c r="Q158" s="166">
        <f t="shared" si="30"/>
        <v>801.29</v>
      </c>
      <c r="R158" s="167" t="s">
        <v>1940</v>
      </c>
      <c r="S158" s="182"/>
    </row>
    <row r="159" spans="1:19" s="167" customFormat="1" ht="21.95" hidden="1" customHeight="1">
      <c r="A159" s="173" t="s">
        <v>1619</v>
      </c>
      <c r="B159" s="161" t="s">
        <v>1772</v>
      </c>
      <c r="C159" s="272" t="s">
        <v>1553</v>
      </c>
      <c r="D159" s="163" t="s">
        <v>822</v>
      </c>
      <c r="E159" s="746">
        <v>3</v>
      </c>
      <c r="F159" s="175"/>
      <c r="G159" s="175"/>
      <c r="H159" s="175">
        <v>2</v>
      </c>
      <c r="I159" s="175"/>
      <c r="J159" s="175"/>
      <c r="K159" s="175"/>
      <c r="L159" s="175"/>
      <c r="M159" s="175"/>
      <c r="N159" s="175"/>
      <c r="O159" s="175">
        <f t="shared" si="29"/>
        <v>5</v>
      </c>
      <c r="P159" s="165">
        <f>45.93*1.245</f>
        <v>57.182850000000002</v>
      </c>
      <c r="Q159" s="166">
        <f t="shared" si="30"/>
        <v>285.91000000000003</v>
      </c>
      <c r="R159" s="167" t="s">
        <v>1940</v>
      </c>
      <c r="S159" s="182"/>
    </row>
    <row r="160" spans="1:19" s="167" customFormat="1" ht="21.95" hidden="1" customHeight="1">
      <c r="A160" s="173" t="s">
        <v>1620</v>
      </c>
      <c r="B160" s="161" t="s">
        <v>1773</v>
      </c>
      <c r="C160" s="272" t="s">
        <v>1554</v>
      </c>
      <c r="D160" s="163" t="s">
        <v>822</v>
      </c>
      <c r="E160" s="746">
        <v>2</v>
      </c>
      <c r="F160" s="175"/>
      <c r="G160" s="175"/>
      <c r="H160" s="175"/>
      <c r="I160" s="175"/>
      <c r="J160" s="175"/>
      <c r="K160" s="175"/>
      <c r="L160" s="175"/>
      <c r="M160" s="175"/>
      <c r="N160" s="175">
        <v>2</v>
      </c>
      <c r="O160" s="175">
        <f t="shared" si="29"/>
        <v>4</v>
      </c>
      <c r="P160" s="165">
        <f>48.64*1.245</f>
        <v>60.556800000000003</v>
      </c>
      <c r="Q160" s="166">
        <f t="shared" si="30"/>
        <v>242.22</v>
      </c>
      <c r="R160" s="167" t="s">
        <v>1940</v>
      </c>
      <c r="S160" s="182"/>
    </row>
    <row r="161" spans="1:20" s="167" customFormat="1" ht="33.75" hidden="1" customHeight="1">
      <c r="A161" s="173" t="s">
        <v>1621</v>
      </c>
      <c r="B161" s="161" t="s">
        <v>1777</v>
      </c>
      <c r="C161" s="272" t="s">
        <v>1778</v>
      </c>
      <c r="D161" s="163" t="s">
        <v>822</v>
      </c>
      <c r="E161" s="746"/>
      <c r="F161" s="175"/>
      <c r="G161" s="175"/>
      <c r="H161" s="175"/>
      <c r="I161" s="175"/>
      <c r="J161" s="175"/>
      <c r="K161" s="175"/>
      <c r="L161" s="175"/>
      <c r="M161" s="175"/>
      <c r="N161" s="175">
        <v>1</v>
      </c>
      <c r="O161" s="175">
        <f t="shared" si="29"/>
        <v>1</v>
      </c>
      <c r="P161" s="176">
        <f>1266.62*1.245</f>
        <v>1576.9419</v>
      </c>
      <c r="Q161" s="166">
        <f t="shared" si="30"/>
        <v>1576.94</v>
      </c>
      <c r="R161" s="167" t="s">
        <v>1940</v>
      </c>
      <c r="S161" s="182"/>
    </row>
    <row r="162" spans="1:20" s="167" customFormat="1" ht="52.5" hidden="1" customHeight="1">
      <c r="A162" s="173" t="s">
        <v>1622</v>
      </c>
      <c r="B162" s="161" t="s">
        <v>1827</v>
      </c>
      <c r="C162" s="272" t="s">
        <v>1828</v>
      </c>
      <c r="D162" s="163" t="s">
        <v>822</v>
      </c>
      <c r="E162" s="746"/>
      <c r="F162" s="175"/>
      <c r="G162" s="175"/>
      <c r="H162" s="175"/>
      <c r="I162" s="175"/>
      <c r="J162" s="175"/>
      <c r="K162" s="175"/>
      <c r="L162" s="175"/>
      <c r="M162" s="175"/>
      <c r="N162" s="175">
        <v>1</v>
      </c>
      <c r="O162" s="175">
        <f t="shared" si="29"/>
        <v>1</v>
      </c>
      <c r="P162" s="176">
        <f>648.59*1.245</f>
        <v>807.49455000000012</v>
      </c>
      <c r="Q162" s="166">
        <f t="shared" si="30"/>
        <v>807.49</v>
      </c>
      <c r="R162" s="167" t="s">
        <v>1940</v>
      </c>
      <c r="S162" s="182"/>
    </row>
    <row r="163" spans="1:20" s="167" customFormat="1" ht="50.25" hidden="1" customHeight="1">
      <c r="A163" s="173" t="s">
        <v>2202</v>
      </c>
      <c r="B163" s="863" t="s">
        <v>1825</v>
      </c>
      <c r="C163" s="303" t="s">
        <v>1826</v>
      </c>
      <c r="D163" s="163" t="s">
        <v>822</v>
      </c>
      <c r="E163" s="169"/>
      <c r="F163" s="746"/>
      <c r="G163" s="175"/>
      <c r="H163" s="175"/>
      <c r="I163" s="175"/>
      <c r="J163" s="175"/>
      <c r="K163" s="175"/>
      <c r="L163" s="175"/>
      <c r="M163" s="175"/>
      <c r="N163" s="175"/>
      <c r="O163" s="175">
        <v>1</v>
      </c>
      <c r="P163" s="617">
        <f>13858.93*1.245</f>
        <v>17254.367850000002</v>
      </c>
      <c r="Q163" s="166">
        <f t="shared" si="30"/>
        <v>17254.36</v>
      </c>
      <c r="R163" s="966" t="s">
        <v>1940</v>
      </c>
      <c r="T163" s="182"/>
    </row>
    <row r="164" spans="1:20" s="167" customFormat="1" ht="27" hidden="1" customHeight="1">
      <c r="A164" s="1168"/>
      <c r="B164" s="1154"/>
      <c r="C164" s="1153" t="s">
        <v>2331</v>
      </c>
      <c r="D164" s="304"/>
      <c r="E164" s="304"/>
      <c r="F164" s="747"/>
      <c r="G164" s="305"/>
      <c r="H164" s="305"/>
      <c r="I164" s="305"/>
      <c r="J164" s="305"/>
      <c r="K164" s="305"/>
      <c r="L164" s="305"/>
      <c r="M164" s="305"/>
      <c r="N164" s="305"/>
      <c r="O164" s="305"/>
      <c r="P164" s="794"/>
      <c r="Q164" s="1172">
        <f>SUM(Q133:Q163)</f>
        <v>135345.49000000005</v>
      </c>
      <c r="R164" s="1169"/>
      <c r="T164" s="182"/>
    </row>
    <row r="165" spans="1:20" s="167" customFormat="1" ht="29.25" hidden="1" customHeight="1">
      <c r="A165" s="222" t="s">
        <v>398</v>
      </c>
      <c r="B165" s="293"/>
      <c r="C165" s="218" t="s">
        <v>479</v>
      </c>
      <c r="D165" s="279"/>
      <c r="E165" s="734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2"/>
      <c r="Q165" s="283"/>
      <c r="S165" s="182"/>
    </row>
    <row r="166" spans="1:20" s="167" customFormat="1" ht="52.5" hidden="1" customHeight="1">
      <c r="A166" s="160" t="s">
        <v>485</v>
      </c>
      <c r="B166" s="161" t="s">
        <v>137</v>
      </c>
      <c r="C166" s="197" t="s">
        <v>1069</v>
      </c>
      <c r="D166" s="169" t="s">
        <v>822</v>
      </c>
      <c r="E166" s="732">
        <f>2+1+1+(2*7)+6+(8*2)+2</f>
        <v>42</v>
      </c>
      <c r="F166" s="164"/>
      <c r="G166" s="164"/>
      <c r="H166" s="164">
        <f>2+11</f>
        <v>13</v>
      </c>
      <c r="I166" s="164"/>
      <c r="J166" s="164"/>
      <c r="K166" s="164"/>
      <c r="L166" s="164"/>
      <c r="M166" s="164"/>
      <c r="N166" s="164"/>
      <c r="O166" s="164">
        <f t="shared" si="29"/>
        <v>55</v>
      </c>
      <c r="P166" s="165">
        <f>COMPOSIÇÕES!B1463</f>
        <v>119.84370000000001</v>
      </c>
      <c r="Q166" s="166">
        <f t="shared" si="30"/>
        <v>6591.4</v>
      </c>
      <c r="R166" s="167" t="s">
        <v>886</v>
      </c>
      <c r="S166" s="179"/>
    </row>
    <row r="167" spans="1:20" s="167" customFormat="1" ht="49.5" hidden="1" customHeight="1">
      <c r="A167" s="160" t="s">
        <v>486</v>
      </c>
      <c r="B167" s="161" t="s">
        <v>145</v>
      </c>
      <c r="C167" s="178" t="s">
        <v>144</v>
      </c>
      <c r="D167" s="163" t="s">
        <v>822</v>
      </c>
      <c r="E167" s="732"/>
      <c r="F167" s="164"/>
      <c r="G167" s="164"/>
      <c r="H167" s="164"/>
      <c r="I167" s="164"/>
      <c r="J167" s="164"/>
      <c r="K167" s="164"/>
      <c r="L167" s="164"/>
      <c r="M167" s="164"/>
      <c r="N167" s="164">
        <v>1</v>
      </c>
      <c r="O167" s="164">
        <f t="shared" si="29"/>
        <v>1</v>
      </c>
      <c r="P167" s="165">
        <f>COMPOSIÇÕES!B1495</f>
        <v>644.48669999999981</v>
      </c>
      <c r="Q167" s="166">
        <f t="shared" si="30"/>
        <v>644.48</v>
      </c>
      <c r="R167" s="167" t="s">
        <v>886</v>
      </c>
      <c r="S167" s="179"/>
    </row>
    <row r="168" spans="1:20" s="167" customFormat="1" ht="31.5" hidden="1" customHeight="1">
      <c r="A168" s="160" t="s">
        <v>487</v>
      </c>
      <c r="B168" s="863" t="s">
        <v>2083</v>
      </c>
      <c r="C168" s="178" t="s">
        <v>2171</v>
      </c>
      <c r="D168" s="163" t="s">
        <v>822</v>
      </c>
      <c r="E168" s="732"/>
      <c r="F168" s="164"/>
      <c r="G168" s="164"/>
      <c r="H168" s="164"/>
      <c r="I168" s="164"/>
      <c r="J168" s="164"/>
      <c r="K168" s="164"/>
      <c r="L168" s="164"/>
      <c r="M168" s="164"/>
      <c r="N168" s="164">
        <v>1</v>
      </c>
      <c r="O168" s="164">
        <f t="shared" si="29"/>
        <v>1</v>
      </c>
      <c r="P168" s="275">
        <v>58899.93</v>
      </c>
      <c r="Q168" s="166">
        <f t="shared" si="30"/>
        <v>58899.93</v>
      </c>
      <c r="R168" s="167" t="s">
        <v>1940</v>
      </c>
      <c r="S168" s="179"/>
    </row>
    <row r="169" spans="1:20" s="167" customFormat="1" ht="18.95" hidden="1" customHeight="1">
      <c r="A169" s="160" t="s">
        <v>488</v>
      </c>
      <c r="B169" s="161" t="s">
        <v>1779</v>
      </c>
      <c r="C169" s="178" t="s">
        <v>1583</v>
      </c>
      <c r="D169" s="163" t="s">
        <v>822</v>
      </c>
      <c r="E169" s="732">
        <v>2</v>
      </c>
      <c r="F169" s="164"/>
      <c r="G169" s="164"/>
      <c r="H169" s="164">
        <v>2</v>
      </c>
      <c r="I169" s="164"/>
      <c r="J169" s="164"/>
      <c r="K169" s="164"/>
      <c r="L169" s="164"/>
      <c r="M169" s="164"/>
      <c r="N169" s="164"/>
      <c r="O169" s="164">
        <f t="shared" si="29"/>
        <v>4</v>
      </c>
      <c r="P169" s="275">
        <f>33.7*1.245</f>
        <v>41.956500000000005</v>
      </c>
      <c r="Q169" s="166">
        <f t="shared" si="30"/>
        <v>167.82</v>
      </c>
      <c r="R169" s="167" t="s">
        <v>1940</v>
      </c>
      <c r="S169" s="179"/>
    </row>
    <row r="170" spans="1:20" s="167" customFormat="1" ht="18.95" hidden="1" customHeight="1">
      <c r="A170" s="160" t="s">
        <v>489</v>
      </c>
      <c r="B170" s="161" t="s">
        <v>1780</v>
      </c>
      <c r="C170" s="178" t="s">
        <v>1581</v>
      </c>
      <c r="D170" s="163" t="s">
        <v>822</v>
      </c>
      <c r="E170" s="732">
        <f>1+1+1+(2*7)+2</f>
        <v>19</v>
      </c>
      <c r="F170" s="164"/>
      <c r="G170" s="164"/>
      <c r="H170" s="164">
        <v>27</v>
      </c>
      <c r="I170" s="164"/>
      <c r="J170" s="164"/>
      <c r="K170" s="164"/>
      <c r="L170" s="164"/>
      <c r="M170" s="164"/>
      <c r="N170" s="164"/>
      <c r="O170" s="164">
        <f t="shared" si="29"/>
        <v>46</v>
      </c>
      <c r="P170" s="275">
        <f>35.15*1.245</f>
        <v>43.761749999999999</v>
      </c>
      <c r="Q170" s="166">
        <f t="shared" si="30"/>
        <v>2013.04</v>
      </c>
      <c r="R170" s="167" t="s">
        <v>1940</v>
      </c>
      <c r="S170" s="179"/>
    </row>
    <row r="171" spans="1:20" s="167" customFormat="1" ht="21.95" hidden="1" customHeight="1">
      <c r="A171" s="160" t="s">
        <v>490</v>
      </c>
      <c r="B171" s="161" t="s">
        <v>1781</v>
      </c>
      <c r="C171" s="178" t="s">
        <v>1582</v>
      </c>
      <c r="D171" s="163" t="s">
        <v>822</v>
      </c>
      <c r="E171" s="732"/>
      <c r="F171" s="164"/>
      <c r="G171" s="164"/>
      <c r="H171" s="164">
        <v>1</v>
      </c>
      <c r="I171" s="164"/>
      <c r="J171" s="164"/>
      <c r="K171" s="164"/>
      <c r="L171" s="164"/>
      <c r="M171" s="164"/>
      <c r="N171" s="164"/>
      <c r="O171" s="164">
        <f t="shared" si="29"/>
        <v>1</v>
      </c>
      <c r="P171" s="275">
        <f>58.69*1.245</f>
        <v>73.069050000000004</v>
      </c>
      <c r="Q171" s="166">
        <f t="shared" si="30"/>
        <v>73.06</v>
      </c>
      <c r="R171" s="167" t="s">
        <v>1940</v>
      </c>
      <c r="S171" s="179"/>
    </row>
    <row r="172" spans="1:20" s="167" customFormat="1" ht="21.95" hidden="1" customHeight="1">
      <c r="A172" s="160" t="s">
        <v>1628</v>
      </c>
      <c r="B172" s="161" t="s">
        <v>1782</v>
      </c>
      <c r="C172" s="178" t="s">
        <v>1584</v>
      </c>
      <c r="D172" s="163" t="s">
        <v>822</v>
      </c>
      <c r="E172" s="732"/>
      <c r="F172" s="164"/>
      <c r="G172" s="164"/>
      <c r="H172" s="164"/>
      <c r="I172" s="164"/>
      <c r="J172" s="164"/>
      <c r="K172" s="164"/>
      <c r="L172" s="164"/>
      <c r="M172" s="164"/>
      <c r="N172" s="164">
        <v>1</v>
      </c>
      <c r="O172" s="164">
        <f t="shared" si="29"/>
        <v>1</v>
      </c>
      <c r="P172" s="275">
        <f>237.17*1.245</f>
        <v>295.27665000000002</v>
      </c>
      <c r="Q172" s="166">
        <f t="shared" si="30"/>
        <v>295.27</v>
      </c>
      <c r="R172" s="167" t="s">
        <v>1940</v>
      </c>
      <c r="S172" s="179"/>
    </row>
    <row r="173" spans="1:20" s="167" customFormat="1" ht="21.95" hidden="1" customHeight="1">
      <c r="A173" s="160" t="s">
        <v>1629</v>
      </c>
      <c r="B173" s="161" t="s">
        <v>1782</v>
      </c>
      <c r="C173" s="178" t="s">
        <v>1585</v>
      </c>
      <c r="D173" s="163" t="s">
        <v>822</v>
      </c>
      <c r="E173" s="732"/>
      <c r="F173" s="164"/>
      <c r="G173" s="164"/>
      <c r="H173" s="164"/>
      <c r="I173" s="164"/>
      <c r="J173" s="164"/>
      <c r="K173" s="164"/>
      <c r="L173" s="164"/>
      <c r="M173" s="164"/>
      <c r="N173" s="164">
        <v>1</v>
      </c>
      <c r="O173" s="164">
        <f t="shared" si="29"/>
        <v>1</v>
      </c>
      <c r="P173" s="275">
        <f>237.17*1.245</f>
        <v>295.27665000000002</v>
      </c>
      <c r="Q173" s="166">
        <f t="shared" si="30"/>
        <v>295.27</v>
      </c>
      <c r="R173" s="167" t="s">
        <v>1940</v>
      </c>
      <c r="S173" s="179"/>
    </row>
    <row r="174" spans="1:20" s="167" customFormat="1" ht="21.75" hidden="1" customHeight="1">
      <c r="A174" s="160" t="s">
        <v>1630</v>
      </c>
      <c r="B174" s="161" t="s">
        <v>1232</v>
      </c>
      <c r="C174" s="178" t="s">
        <v>1662</v>
      </c>
      <c r="D174" s="163" t="s">
        <v>822</v>
      </c>
      <c r="E174" s="732">
        <v>14</v>
      </c>
      <c r="F174" s="164"/>
      <c r="G174" s="164"/>
      <c r="H174" s="164"/>
      <c r="I174" s="164"/>
      <c r="J174" s="164"/>
      <c r="K174" s="164"/>
      <c r="L174" s="164"/>
      <c r="M174" s="164"/>
      <c r="N174" s="164"/>
      <c r="O174" s="164">
        <f t="shared" si="29"/>
        <v>14</v>
      </c>
      <c r="P174" s="275">
        <f>180.03*1.245</f>
        <v>224.13735000000003</v>
      </c>
      <c r="Q174" s="166">
        <f t="shared" si="30"/>
        <v>3137.92</v>
      </c>
      <c r="R174" s="167" t="s">
        <v>1940</v>
      </c>
      <c r="S174" s="179"/>
    </row>
    <row r="175" spans="1:20" s="167" customFormat="1" ht="21.95" hidden="1" customHeight="1">
      <c r="A175" s="160" t="s">
        <v>1631</v>
      </c>
      <c r="B175" s="161" t="s">
        <v>1788</v>
      </c>
      <c r="C175" s="178" t="s">
        <v>1586</v>
      </c>
      <c r="D175" s="163" t="s">
        <v>346</v>
      </c>
      <c r="E175" s="732"/>
      <c r="F175" s="164"/>
      <c r="G175" s="164"/>
      <c r="H175" s="164"/>
      <c r="I175" s="164"/>
      <c r="J175" s="164"/>
      <c r="K175" s="164"/>
      <c r="L175" s="164"/>
      <c r="M175" s="164"/>
      <c r="N175" s="164">
        <v>8</v>
      </c>
      <c r="O175" s="164">
        <f t="shared" si="29"/>
        <v>8</v>
      </c>
      <c r="P175" s="275">
        <f>67.79*1.245</f>
        <v>84.398550000000014</v>
      </c>
      <c r="Q175" s="166">
        <f t="shared" si="30"/>
        <v>675.18</v>
      </c>
      <c r="R175" s="167" t="s">
        <v>1940</v>
      </c>
      <c r="S175" s="179"/>
    </row>
    <row r="176" spans="1:20" s="167" customFormat="1" ht="21.95" hidden="1" customHeight="1">
      <c r="A176" s="160" t="s">
        <v>1632</v>
      </c>
      <c r="B176" s="161" t="s">
        <v>1787</v>
      </c>
      <c r="C176" s="178" t="s">
        <v>1587</v>
      </c>
      <c r="D176" s="163" t="s">
        <v>346</v>
      </c>
      <c r="E176" s="732"/>
      <c r="F176" s="164"/>
      <c r="G176" s="164"/>
      <c r="H176" s="164"/>
      <c r="I176" s="164"/>
      <c r="J176" s="164"/>
      <c r="K176" s="164"/>
      <c r="L176" s="164"/>
      <c r="M176" s="164"/>
      <c r="N176" s="164">
        <v>48.15</v>
      </c>
      <c r="O176" s="164">
        <f t="shared" si="29"/>
        <v>48.15</v>
      </c>
      <c r="P176" s="275">
        <f>34.2*1.245</f>
        <v>42.579000000000008</v>
      </c>
      <c r="Q176" s="166">
        <f t="shared" si="30"/>
        <v>2050.17</v>
      </c>
      <c r="R176" s="167" t="s">
        <v>1940</v>
      </c>
      <c r="S176" s="179"/>
    </row>
    <row r="177" spans="1:19" s="167" customFormat="1" ht="21.95" hidden="1" customHeight="1">
      <c r="A177" s="160" t="s">
        <v>1633</v>
      </c>
      <c r="B177" s="161" t="s">
        <v>1786</v>
      </c>
      <c r="C177" s="178" t="s">
        <v>1588</v>
      </c>
      <c r="D177" s="163" t="s">
        <v>346</v>
      </c>
      <c r="E177" s="732"/>
      <c r="F177" s="164"/>
      <c r="G177" s="164"/>
      <c r="H177" s="164"/>
      <c r="I177" s="164"/>
      <c r="J177" s="164"/>
      <c r="K177" s="164"/>
      <c r="L177" s="164"/>
      <c r="M177" s="164"/>
      <c r="N177" s="164">
        <v>55.85</v>
      </c>
      <c r="O177" s="164">
        <f t="shared" si="29"/>
        <v>55.85</v>
      </c>
      <c r="P177" s="275">
        <f>12.81*1.245</f>
        <v>15.948450000000001</v>
      </c>
      <c r="Q177" s="166">
        <f t="shared" si="30"/>
        <v>890.72</v>
      </c>
      <c r="R177" s="167" t="s">
        <v>1940</v>
      </c>
      <c r="S177" s="179"/>
    </row>
    <row r="178" spans="1:19" s="167" customFormat="1" ht="21.95" hidden="1" customHeight="1">
      <c r="A178" s="160" t="s">
        <v>1634</v>
      </c>
      <c r="B178" s="161" t="s">
        <v>1785</v>
      </c>
      <c r="C178" s="178" t="s">
        <v>1589</v>
      </c>
      <c r="D178" s="163" t="s">
        <v>346</v>
      </c>
      <c r="E178" s="732"/>
      <c r="F178" s="164"/>
      <c r="G178" s="164"/>
      <c r="H178" s="164"/>
      <c r="I178" s="164"/>
      <c r="J178" s="164"/>
      <c r="K178" s="164"/>
      <c r="L178" s="164"/>
      <c r="M178" s="164"/>
      <c r="N178" s="164">
        <v>22.85</v>
      </c>
      <c r="O178" s="164">
        <f t="shared" si="29"/>
        <v>22.85</v>
      </c>
      <c r="P178" s="275">
        <f>10.36*1.245</f>
        <v>12.898200000000001</v>
      </c>
      <c r="Q178" s="166">
        <f t="shared" si="30"/>
        <v>294.72000000000003</v>
      </c>
      <c r="R178" s="167" t="s">
        <v>1940</v>
      </c>
      <c r="S178" s="179"/>
    </row>
    <row r="179" spans="1:19" s="167" customFormat="1" ht="21.95" hidden="1" customHeight="1">
      <c r="A179" s="160" t="s">
        <v>1635</v>
      </c>
      <c r="B179" s="161" t="s">
        <v>1784</v>
      </c>
      <c r="C179" s="178" t="s">
        <v>1591</v>
      </c>
      <c r="D179" s="163" t="s">
        <v>346</v>
      </c>
      <c r="E179" s="732"/>
      <c r="F179" s="164"/>
      <c r="G179" s="164"/>
      <c r="H179" s="164"/>
      <c r="I179" s="164"/>
      <c r="J179" s="164"/>
      <c r="K179" s="164"/>
      <c r="L179" s="164"/>
      <c r="M179" s="164"/>
      <c r="N179" s="164">
        <v>8.6999999999999993</v>
      </c>
      <c r="O179" s="164">
        <f t="shared" si="29"/>
        <v>8.6999999999999993</v>
      </c>
      <c r="P179" s="275">
        <f>22.34*1.245</f>
        <v>27.813300000000002</v>
      </c>
      <c r="Q179" s="166">
        <f t="shared" si="30"/>
        <v>241.97</v>
      </c>
      <c r="R179" s="167" t="s">
        <v>1940</v>
      </c>
      <c r="S179" s="179"/>
    </row>
    <row r="180" spans="1:19" s="167" customFormat="1" ht="21.95" hidden="1" customHeight="1">
      <c r="A180" s="160" t="s">
        <v>1636</v>
      </c>
      <c r="B180" s="161" t="s">
        <v>1783</v>
      </c>
      <c r="C180" s="178" t="s">
        <v>1590</v>
      </c>
      <c r="D180" s="163" t="s">
        <v>346</v>
      </c>
      <c r="E180" s="732"/>
      <c r="F180" s="164"/>
      <c r="G180" s="164"/>
      <c r="H180" s="164"/>
      <c r="I180" s="164"/>
      <c r="J180" s="164"/>
      <c r="K180" s="164"/>
      <c r="L180" s="164"/>
      <c r="M180" s="164"/>
      <c r="N180" s="164">
        <v>225.8</v>
      </c>
      <c r="O180" s="164">
        <f t="shared" si="29"/>
        <v>225.8</v>
      </c>
      <c r="P180" s="275">
        <f>16.3*1.245</f>
        <v>20.293500000000002</v>
      </c>
      <c r="Q180" s="166">
        <f t="shared" si="30"/>
        <v>4582.2700000000004</v>
      </c>
      <c r="R180" s="167" t="s">
        <v>1940</v>
      </c>
      <c r="S180" s="179"/>
    </row>
    <row r="181" spans="1:19" s="167" customFormat="1" ht="24.75" hidden="1" customHeight="1">
      <c r="A181" s="1155"/>
      <c r="B181" s="1160"/>
      <c r="C181" s="1167" t="s">
        <v>2330</v>
      </c>
      <c r="D181" s="304"/>
      <c r="E181" s="747"/>
      <c r="F181" s="305"/>
      <c r="G181" s="305"/>
      <c r="H181" s="305"/>
      <c r="I181" s="305"/>
      <c r="J181" s="305"/>
      <c r="K181" s="305"/>
      <c r="L181" s="305"/>
      <c r="M181" s="305"/>
      <c r="N181" s="305"/>
      <c r="O181" s="305"/>
      <c r="P181" s="795"/>
      <c r="Q181" s="1172">
        <f>SUM(Q166:Q180)</f>
        <v>80853.22</v>
      </c>
      <c r="S181" s="179"/>
    </row>
    <row r="182" spans="1:19" s="167" customFormat="1" ht="21.95" hidden="1" customHeight="1">
      <c r="A182" s="222" t="s">
        <v>480</v>
      </c>
      <c r="B182" s="293"/>
      <c r="C182" s="218" t="s">
        <v>501</v>
      </c>
      <c r="D182" s="304"/>
      <c r="E182" s="747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6"/>
      <c r="Q182" s="307"/>
      <c r="S182" s="179"/>
    </row>
    <row r="183" spans="1:19" s="167" customFormat="1" ht="42.75" hidden="1" customHeight="1">
      <c r="A183" s="160" t="s">
        <v>491</v>
      </c>
      <c r="B183" s="271" t="s">
        <v>1985</v>
      </c>
      <c r="C183" s="272" t="s">
        <v>436</v>
      </c>
      <c r="D183" s="163" t="s">
        <v>822</v>
      </c>
      <c r="E183" s="732"/>
      <c r="F183" s="164"/>
      <c r="G183" s="164"/>
      <c r="H183" s="164"/>
      <c r="I183" s="164"/>
      <c r="J183" s="164"/>
      <c r="K183" s="164"/>
      <c r="L183" s="164"/>
      <c r="M183" s="164"/>
      <c r="N183" s="164">
        <v>1</v>
      </c>
      <c r="O183" s="164">
        <f t="shared" si="29"/>
        <v>1</v>
      </c>
      <c r="P183" s="275">
        <f>COMPOSIÇÕES!B1552</f>
        <v>22467.979650000001</v>
      </c>
      <c r="Q183" s="166">
        <f t="shared" si="30"/>
        <v>22467.97</v>
      </c>
      <c r="R183" s="970" t="s">
        <v>886</v>
      </c>
      <c r="S183" s="179"/>
    </row>
    <row r="184" spans="1:19" s="167" customFormat="1" ht="54" hidden="1" customHeight="1">
      <c r="A184" s="160" t="s">
        <v>492</v>
      </c>
      <c r="B184" s="271" t="s">
        <v>2483</v>
      </c>
      <c r="C184" s="272" t="s">
        <v>1948</v>
      </c>
      <c r="D184" s="163" t="s">
        <v>822</v>
      </c>
      <c r="E184" s="732"/>
      <c r="F184" s="164"/>
      <c r="G184" s="164"/>
      <c r="H184" s="164"/>
      <c r="I184" s="164"/>
      <c r="J184" s="164"/>
      <c r="K184" s="164"/>
      <c r="L184" s="164"/>
      <c r="M184" s="164"/>
      <c r="N184" s="164">
        <v>2</v>
      </c>
      <c r="O184" s="164">
        <f t="shared" si="29"/>
        <v>2</v>
      </c>
      <c r="P184" s="275">
        <v>9138.15</v>
      </c>
      <c r="Q184" s="166">
        <f t="shared" si="30"/>
        <v>18276.3</v>
      </c>
      <c r="R184" s="970" t="s">
        <v>1940</v>
      </c>
      <c r="S184" s="179"/>
    </row>
    <row r="185" spans="1:19" s="167" customFormat="1" ht="27" hidden="1" customHeight="1">
      <c r="A185" s="1155"/>
      <c r="B185" s="1154"/>
      <c r="C185" s="1153" t="s">
        <v>2329</v>
      </c>
      <c r="D185" s="304"/>
      <c r="E185" s="747"/>
      <c r="F185" s="305"/>
      <c r="G185" s="305"/>
      <c r="H185" s="305"/>
      <c r="I185" s="305"/>
      <c r="J185" s="305"/>
      <c r="K185" s="305"/>
      <c r="L185" s="305"/>
      <c r="M185" s="305"/>
      <c r="N185" s="305"/>
      <c r="O185" s="305"/>
      <c r="P185" s="795"/>
      <c r="Q185" s="1172">
        <f>SUM(Q183:Q184)</f>
        <v>40744.270000000004</v>
      </c>
      <c r="R185" s="970"/>
      <c r="S185" s="179"/>
    </row>
    <row r="186" spans="1:19" s="167" customFormat="1" ht="24.75" hidden="1" customHeight="1">
      <c r="A186" s="222" t="s">
        <v>493</v>
      </c>
      <c r="B186" s="293"/>
      <c r="C186" s="218" t="s">
        <v>481</v>
      </c>
      <c r="D186" s="279"/>
      <c r="E186" s="734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2"/>
      <c r="Q186" s="283"/>
      <c r="S186" s="179"/>
    </row>
    <row r="187" spans="1:19" s="167" customFormat="1" ht="28.5" hidden="1" customHeight="1">
      <c r="A187" s="160" t="s">
        <v>495</v>
      </c>
      <c r="B187" s="308" t="s">
        <v>253</v>
      </c>
      <c r="C187" s="178" t="s">
        <v>252</v>
      </c>
      <c r="D187" s="169" t="s">
        <v>822</v>
      </c>
      <c r="E187" s="732">
        <v>14</v>
      </c>
      <c r="F187" s="732"/>
      <c r="G187" s="164"/>
      <c r="H187" s="164">
        <v>2</v>
      </c>
      <c r="I187" s="164"/>
      <c r="J187" s="164"/>
      <c r="K187" s="164"/>
      <c r="L187" s="164"/>
      <c r="M187" s="164"/>
      <c r="N187" s="164"/>
      <c r="O187" s="164">
        <f t="shared" si="29"/>
        <v>16</v>
      </c>
      <c r="P187" s="165">
        <f>COMPOSIÇÕES!B2046</f>
        <v>384.68009999999992</v>
      </c>
      <c r="Q187" s="166">
        <f t="shared" si="30"/>
        <v>6154.88</v>
      </c>
      <c r="R187" s="971" t="s">
        <v>886</v>
      </c>
      <c r="S187" s="179"/>
    </row>
    <row r="188" spans="1:19" s="167" customFormat="1" ht="30.75" hidden="1" customHeight="1">
      <c r="A188" s="160" t="s">
        <v>2203</v>
      </c>
      <c r="B188" s="308" t="s">
        <v>256</v>
      </c>
      <c r="C188" s="178" t="s">
        <v>255</v>
      </c>
      <c r="D188" s="169" t="s">
        <v>822</v>
      </c>
      <c r="E188" s="732">
        <f>2+1+1+(2*7)+8+6</f>
        <v>32</v>
      </c>
      <c r="F188" s="164"/>
      <c r="G188" s="164"/>
      <c r="H188" s="164">
        <v>11</v>
      </c>
      <c r="I188" s="164"/>
      <c r="J188" s="164"/>
      <c r="K188" s="164"/>
      <c r="L188" s="164"/>
      <c r="M188" s="164"/>
      <c r="N188" s="164"/>
      <c r="O188" s="164">
        <f t="shared" si="29"/>
        <v>43</v>
      </c>
      <c r="P188" s="165">
        <f>COMPOSIÇÕES!B2067</f>
        <v>216.00749999999999</v>
      </c>
      <c r="Q188" s="166">
        <f t="shared" si="30"/>
        <v>9288.32</v>
      </c>
      <c r="R188" s="971" t="s">
        <v>886</v>
      </c>
      <c r="S188" s="179"/>
    </row>
    <row r="189" spans="1:19" s="167" customFormat="1" ht="24" hidden="1" customHeight="1">
      <c r="A189" s="160" t="s">
        <v>496</v>
      </c>
      <c r="B189" s="161" t="s">
        <v>1840</v>
      </c>
      <c r="C189" s="178" t="s">
        <v>2084</v>
      </c>
      <c r="D189" s="169" t="s">
        <v>822</v>
      </c>
      <c r="E189" s="732">
        <v>4</v>
      </c>
      <c r="F189" s="164"/>
      <c r="G189" s="164"/>
      <c r="H189" s="164">
        <v>2</v>
      </c>
      <c r="I189" s="164"/>
      <c r="J189" s="164"/>
      <c r="K189" s="164"/>
      <c r="L189" s="164"/>
      <c r="M189" s="164"/>
      <c r="N189" s="164"/>
      <c r="O189" s="164">
        <f t="shared" si="29"/>
        <v>6</v>
      </c>
      <c r="P189" s="165">
        <f>47.87*1.245</f>
        <v>59.598150000000004</v>
      </c>
      <c r="Q189" s="166">
        <f t="shared" si="30"/>
        <v>357.58</v>
      </c>
      <c r="R189" s="167" t="s">
        <v>1940</v>
      </c>
      <c r="S189" s="179"/>
    </row>
    <row r="190" spans="1:19" s="167" customFormat="1" ht="24" hidden="1" customHeight="1">
      <c r="A190" s="160" t="s">
        <v>497</v>
      </c>
      <c r="B190" s="161" t="s">
        <v>1829</v>
      </c>
      <c r="C190" s="178" t="s">
        <v>2085</v>
      </c>
      <c r="D190" s="169" t="s">
        <v>822</v>
      </c>
      <c r="E190" s="732"/>
      <c r="F190" s="164"/>
      <c r="G190" s="164"/>
      <c r="H190" s="164">
        <v>2</v>
      </c>
      <c r="I190" s="164"/>
      <c r="J190" s="164"/>
      <c r="K190" s="164"/>
      <c r="L190" s="164"/>
      <c r="M190" s="164"/>
      <c r="N190" s="164"/>
      <c r="O190" s="164">
        <f t="shared" si="29"/>
        <v>2</v>
      </c>
      <c r="P190" s="165">
        <f>8.08*1.245</f>
        <v>10.059600000000001</v>
      </c>
      <c r="Q190" s="166">
        <f t="shared" si="30"/>
        <v>20.11</v>
      </c>
      <c r="R190" s="167" t="s">
        <v>1940</v>
      </c>
      <c r="S190" s="179"/>
    </row>
    <row r="191" spans="1:19" s="167" customFormat="1" ht="63" hidden="1" customHeight="1">
      <c r="A191" s="160" t="s">
        <v>511</v>
      </c>
      <c r="B191" s="161" t="s">
        <v>2484</v>
      </c>
      <c r="C191" s="785" t="s">
        <v>1994</v>
      </c>
      <c r="D191" s="169" t="s">
        <v>822</v>
      </c>
      <c r="E191" s="732"/>
      <c r="F191" s="164"/>
      <c r="G191" s="164"/>
      <c r="H191" s="164">
        <v>1</v>
      </c>
      <c r="I191" s="164"/>
      <c r="J191" s="164"/>
      <c r="K191" s="164"/>
      <c r="L191" s="164"/>
      <c r="M191" s="164"/>
      <c r="N191" s="164"/>
      <c r="O191" s="164">
        <f t="shared" si="29"/>
        <v>1</v>
      </c>
      <c r="P191" s="275">
        <f>1102.99*1.245</f>
        <v>1373.2225500000002</v>
      </c>
      <c r="Q191" s="166">
        <f t="shared" si="30"/>
        <v>1373.22</v>
      </c>
      <c r="R191" s="971" t="s">
        <v>1940</v>
      </c>
      <c r="S191" s="179"/>
    </row>
    <row r="192" spans="1:19" s="167" customFormat="1" ht="21.95" hidden="1" customHeight="1">
      <c r="A192" s="160" t="s">
        <v>512</v>
      </c>
      <c r="B192" s="161" t="s">
        <v>2157</v>
      </c>
      <c r="C192" s="178" t="s">
        <v>1600</v>
      </c>
      <c r="D192" s="169" t="s">
        <v>822</v>
      </c>
      <c r="E192" s="732"/>
      <c r="F192" s="164"/>
      <c r="G192" s="164"/>
      <c r="H192" s="164"/>
      <c r="I192" s="164"/>
      <c r="J192" s="164"/>
      <c r="K192" s="164"/>
      <c r="L192" s="164"/>
      <c r="M192" s="164"/>
      <c r="N192" s="164">
        <v>4</v>
      </c>
      <c r="O192" s="164">
        <f t="shared" si="29"/>
        <v>4</v>
      </c>
      <c r="P192" s="165">
        <f>134.16*1.245</f>
        <v>167.0292</v>
      </c>
      <c r="Q192" s="166">
        <f t="shared" si="30"/>
        <v>668.11</v>
      </c>
      <c r="R192" s="167" t="s">
        <v>1940</v>
      </c>
      <c r="S192" s="179"/>
    </row>
    <row r="193" spans="1:19" s="167" customFormat="1" ht="21.95" hidden="1" customHeight="1">
      <c r="A193" s="160" t="s">
        <v>2204</v>
      </c>
      <c r="B193" s="161" t="s">
        <v>2158</v>
      </c>
      <c r="C193" s="178" t="s">
        <v>1660</v>
      </c>
      <c r="D193" s="169" t="s">
        <v>822</v>
      </c>
      <c r="E193" s="732"/>
      <c r="F193" s="164"/>
      <c r="G193" s="164"/>
      <c r="H193" s="164"/>
      <c r="I193" s="164"/>
      <c r="J193" s="164"/>
      <c r="K193" s="164"/>
      <c r="L193" s="164"/>
      <c r="M193" s="164"/>
      <c r="N193" s="164">
        <v>1</v>
      </c>
      <c r="O193" s="164">
        <f t="shared" si="29"/>
        <v>1</v>
      </c>
      <c r="P193" s="165">
        <f>212.92*1.245</f>
        <v>265.08539999999999</v>
      </c>
      <c r="Q193" s="166">
        <f t="shared" si="30"/>
        <v>265.08</v>
      </c>
      <c r="R193" s="167" t="s">
        <v>1940</v>
      </c>
      <c r="S193" s="179"/>
    </row>
    <row r="194" spans="1:19" s="167" customFormat="1" ht="21.95" hidden="1" customHeight="1">
      <c r="A194" s="160" t="s">
        <v>513</v>
      </c>
      <c r="B194" s="161" t="s">
        <v>2158</v>
      </c>
      <c r="C194" s="178" t="s">
        <v>1661</v>
      </c>
      <c r="D194" s="169" t="s">
        <v>822</v>
      </c>
      <c r="E194" s="732"/>
      <c r="F194" s="164"/>
      <c r="G194" s="164"/>
      <c r="H194" s="164"/>
      <c r="I194" s="164"/>
      <c r="J194" s="164"/>
      <c r="K194" s="164"/>
      <c r="L194" s="164"/>
      <c r="M194" s="164"/>
      <c r="N194" s="164">
        <v>2</v>
      </c>
      <c r="O194" s="164">
        <f t="shared" si="29"/>
        <v>2</v>
      </c>
      <c r="P194" s="165">
        <f>212.92*1.245</f>
        <v>265.08539999999999</v>
      </c>
      <c r="Q194" s="166">
        <f t="shared" si="30"/>
        <v>530.16999999999996</v>
      </c>
      <c r="R194" s="167" t="s">
        <v>1940</v>
      </c>
      <c r="S194" s="179"/>
    </row>
    <row r="195" spans="1:19" s="167" customFormat="1" ht="21.95" hidden="1" customHeight="1">
      <c r="A195" s="160" t="s">
        <v>1637</v>
      </c>
      <c r="B195" s="161" t="s">
        <v>2159</v>
      </c>
      <c r="C195" s="178" t="s">
        <v>1601</v>
      </c>
      <c r="D195" s="169" t="s">
        <v>822</v>
      </c>
      <c r="E195" s="732"/>
      <c r="F195" s="164"/>
      <c r="G195" s="164"/>
      <c r="H195" s="164"/>
      <c r="I195" s="164"/>
      <c r="J195" s="164"/>
      <c r="K195" s="164"/>
      <c r="L195" s="164"/>
      <c r="M195" s="164"/>
      <c r="N195" s="164">
        <v>1</v>
      </c>
      <c r="O195" s="164">
        <f t="shared" si="29"/>
        <v>1</v>
      </c>
      <c r="P195" s="165">
        <f>682.21*1.245</f>
        <v>849.35145000000011</v>
      </c>
      <c r="Q195" s="166">
        <f t="shared" si="30"/>
        <v>849.35</v>
      </c>
      <c r="R195" s="167" t="s">
        <v>1940</v>
      </c>
      <c r="S195" s="179"/>
    </row>
    <row r="196" spans="1:19" s="167" customFormat="1" ht="21.95" hidden="1" customHeight="1">
      <c r="A196" s="160" t="s">
        <v>1638</v>
      </c>
      <c r="B196" s="161" t="s">
        <v>2158</v>
      </c>
      <c r="C196" s="178" t="s">
        <v>1653</v>
      </c>
      <c r="D196" s="169" t="s">
        <v>822</v>
      </c>
      <c r="E196" s="732"/>
      <c r="F196" s="164"/>
      <c r="G196" s="164"/>
      <c r="H196" s="164"/>
      <c r="I196" s="164"/>
      <c r="J196" s="164"/>
      <c r="K196" s="164"/>
      <c r="L196" s="164"/>
      <c r="M196" s="164"/>
      <c r="N196" s="164">
        <v>1</v>
      </c>
      <c r="O196" s="164">
        <f t="shared" si="29"/>
        <v>1</v>
      </c>
      <c r="P196" s="165">
        <f>212.92*1.245</f>
        <v>265.08539999999999</v>
      </c>
      <c r="Q196" s="166">
        <f t="shared" si="30"/>
        <v>265.08</v>
      </c>
      <c r="R196" s="167" t="s">
        <v>1940</v>
      </c>
      <c r="S196" s="179"/>
    </row>
    <row r="197" spans="1:19" s="167" customFormat="1" ht="21.95" hidden="1" customHeight="1">
      <c r="A197" s="160" t="s">
        <v>1639</v>
      </c>
      <c r="B197" s="161" t="s">
        <v>2158</v>
      </c>
      <c r="C197" s="178" t="s">
        <v>1654</v>
      </c>
      <c r="D197" s="169" t="s">
        <v>822</v>
      </c>
      <c r="E197" s="732"/>
      <c r="F197" s="164"/>
      <c r="G197" s="164"/>
      <c r="H197" s="164"/>
      <c r="I197" s="164"/>
      <c r="J197" s="164"/>
      <c r="K197" s="164"/>
      <c r="L197" s="164"/>
      <c r="M197" s="164"/>
      <c r="N197" s="164">
        <v>1</v>
      </c>
      <c r="O197" s="164">
        <f t="shared" si="29"/>
        <v>1</v>
      </c>
      <c r="P197" s="165">
        <f>212.92*1.245</f>
        <v>265.08539999999999</v>
      </c>
      <c r="Q197" s="166">
        <f t="shared" si="30"/>
        <v>265.08</v>
      </c>
      <c r="R197" s="167" t="s">
        <v>1940</v>
      </c>
      <c r="S197" s="179"/>
    </row>
    <row r="198" spans="1:19" s="167" customFormat="1" ht="21.95" hidden="1" customHeight="1">
      <c r="A198" s="160" t="s">
        <v>1640</v>
      </c>
      <c r="B198" s="161" t="s">
        <v>2159</v>
      </c>
      <c r="C198" s="178" t="s">
        <v>1655</v>
      </c>
      <c r="D198" s="169" t="s">
        <v>822</v>
      </c>
      <c r="E198" s="732"/>
      <c r="F198" s="164"/>
      <c r="G198" s="164"/>
      <c r="H198" s="164">
        <v>1</v>
      </c>
      <c r="I198" s="164"/>
      <c r="J198" s="164"/>
      <c r="K198" s="164"/>
      <c r="L198" s="164"/>
      <c r="M198" s="164"/>
      <c r="N198" s="164">
        <v>1</v>
      </c>
      <c r="O198" s="164">
        <f t="shared" si="29"/>
        <v>2</v>
      </c>
      <c r="P198" s="165">
        <f>682.21*1.245</f>
        <v>849.35145000000011</v>
      </c>
      <c r="Q198" s="166">
        <f t="shared" si="30"/>
        <v>1698.7</v>
      </c>
      <c r="R198" s="167" t="s">
        <v>1940</v>
      </c>
      <c r="S198" s="179"/>
    </row>
    <row r="199" spans="1:19" s="167" customFormat="1" ht="21.95" hidden="1" customHeight="1">
      <c r="A199" s="160" t="s">
        <v>1641</v>
      </c>
      <c r="B199" s="161" t="s">
        <v>1838</v>
      </c>
      <c r="C199" s="178" t="s">
        <v>1656</v>
      </c>
      <c r="D199" s="169" t="s">
        <v>822</v>
      </c>
      <c r="E199" s="732"/>
      <c r="F199" s="164"/>
      <c r="G199" s="164"/>
      <c r="H199" s="164"/>
      <c r="I199" s="164"/>
      <c r="J199" s="164"/>
      <c r="K199" s="164"/>
      <c r="L199" s="164"/>
      <c r="M199" s="164"/>
      <c r="N199" s="164">
        <v>2</v>
      </c>
      <c r="O199" s="164">
        <f t="shared" si="29"/>
        <v>2</v>
      </c>
      <c r="P199" s="165">
        <f>419.4*1.245</f>
        <v>522.15300000000002</v>
      </c>
      <c r="Q199" s="166">
        <f t="shared" si="30"/>
        <v>1044.3</v>
      </c>
      <c r="R199" s="167" t="s">
        <v>1940</v>
      </c>
      <c r="S199" s="179"/>
    </row>
    <row r="200" spans="1:19" s="167" customFormat="1" ht="21.95" hidden="1" customHeight="1">
      <c r="A200" s="160" t="s">
        <v>1642</v>
      </c>
      <c r="B200" s="161" t="s">
        <v>1838</v>
      </c>
      <c r="C200" s="178" t="s">
        <v>1657</v>
      </c>
      <c r="D200" s="169" t="s">
        <v>822</v>
      </c>
      <c r="E200" s="732"/>
      <c r="F200" s="164"/>
      <c r="G200" s="164"/>
      <c r="H200" s="164"/>
      <c r="I200" s="164"/>
      <c r="J200" s="164"/>
      <c r="K200" s="164"/>
      <c r="L200" s="164"/>
      <c r="M200" s="164"/>
      <c r="N200" s="164">
        <v>1</v>
      </c>
      <c r="O200" s="164">
        <f t="shared" si="29"/>
        <v>1</v>
      </c>
      <c r="P200" s="165">
        <f>419.4*1.245</f>
        <v>522.15300000000002</v>
      </c>
      <c r="Q200" s="166">
        <f t="shared" si="30"/>
        <v>522.15</v>
      </c>
      <c r="R200" s="167" t="s">
        <v>1940</v>
      </c>
      <c r="S200" s="179"/>
    </row>
    <row r="201" spans="1:19" s="167" customFormat="1" ht="21.95" hidden="1" customHeight="1">
      <c r="A201" s="160" t="s">
        <v>1643</v>
      </c>
      <c r="B201" s="161" t="s">
        <v>1839</v>
      </c>
      <c r="C201" s="178" t="s">
        <v>1658</v>
      </c>
      <c r="D201" s="169" t="s">
        <v>822</v>
      </c>
      <c r="E201" s="732"/>
      <c r="F201" s="164"/>
      <c r="G201" s="164"/>
      <c r="H201" s="164"/>
      <c r="I201" s="164"/>
      <c r="J201" s="164"/>
      <c r="K201" s="164"/>
      <c r="L201" s="164"/>
      <c r="M201" s="164"/>
      <c r="N201" s="164">
        <v>1</v>
      </c>
      <c r="O201" s="164">
        <f t="shared" si="29"/>
        <v>1</v>
      </c>
      <c r="P201" s="165">
        <f>578.8*1.245</f>
        <v>720.60599999999999</v>
      </c>
      <c r="Q201" s="166">
        <f t="shared" si="30"/>
        <v>720.6</v>
      </c>
      <c r="R201" s="167" t="s">
        <v>1940</v>
      </c>
      <c r="S201" s="179"/>
    </row>
    <row r="202" spans="1:19" s="167" customFormat="1" ht="21.95" hidden="1" customHeight="1">
      <c r="A202" s="160" t="s">
        <v>1644</v>
      </c>
      <c r="B202" s="161" t="s">
        <v>2159</v>
      </c>
      <c r="C202" s="178" t="s">
        <v>1659</v>
      </c>
      <c r="D202" s="169" t="s">
        <v>822</v>
      </c>
      <c r="E202" s="732"/>
      <c r="F202" s="164"/>
      <c r="G202" s="164"/>
      <c r="H202" s="164"/>
      <c r="I202" s="164"/>
      <c r="J202" s="164"/>
      <c r="K202" s="164"/>
      <c r="L202" s="164"/>
      <c r="M202" s="164"/>
      <c r="N202" s="164">
        <v>1</v>
      </c>
      <c r="O202" s="164">
        <f t="shared" si="29"/>
        <v>1</v>
      </c>
      <c r="P202" s="165">
        <f>682.21*1.245</f>
        <v>849.35145000000011</v>
      </c>
      <c r="Q202" s="166">
        <f t="shared" si="30"/>
        <v>849.35</v>
      </c>
      <c r="R202" s="167" t="s">
        <v>1940</v>
      </c>
      <c r="S202" s="179"/>
    </row>
    <row r="203" spans="1:19" s="167" customFormat="1" ht="21.95" hidden="1" customHeight="1">
      <c r="A203" s="160" t="s">
        <v>1645</v>
      </c>
      <c r="B203" s="161" t="s">
        <v>1833</v>
      </c>
      <c r="C203" s="178" t="s">
        <v>1595</v>
      </c>
      <c r="D203" s="169" t="s">
        <v>346</v>
      </c>
      <c r="E203" s="732"/>
      <c r="F203" s="164"/>
      <c r="G203" s="164"/>
      <c r="H203" s="164"/>
      <c r="I203" s="164"/>
      <c r="J203" s="164"/>
      <c r="K203" s="164"/>
      <c r="L203" s="164"/>
      <c r="M203" s="164"/>
      <c r="N203" s="164">
        <v>70.06</v>
      </c>
      <c r="O203" s="164">
        <f t="shared" si="29"/>
        <v>70.06</v>
      </c>
      <c r="P203" s="165">
        <f>34*1.245</f>
        <v>42.330000000000005</v>
      </c>
      <c r="Q203" s="166">
        <f t="shared" si="30"/>
        <v>2965.63</v>
      </c>
      <c r="R203" s="167" t="s">
        <v>1940</v>
      </c>
      <c r="S203" s="179"/>
    </row>
    <row r="204" spans="1:19" s="167" customFormat="1" ht="21.95" hidden="1" customHeight="1">
      <c r="A204" s="160" t="s">
        <v>1646</v>
      </c>
      <c r="B204" s="161" t="s">
        <v>1835</v>
      </c>
      <c r="C204" s="178" t="s">
        <v>1596</v>
      </c>
      <c r="D204" s="169" t="s">
        <v>346</v>
      </c>
      <c r="E204" s="732"/>
      <c r="F204" s="164"/>
      <c r="G204" s="164"/>
      <c r="H204" s="164"/>
      <c r="I204" s="164"/>
      <c r="J204" s="164"/>
      <c r="K204" s="164"/>
      <c r="L204" s="164"/>
      <c r="M204" s="164"/>
      <c r="N204" s="164">
        <v>93.33</v>
      </c>
      <c r="O204" s="164">
        <f t="shared" si="29"/>
        <v>93.33</v>
      </c>
      <c r="P204" s="165">
        <f>38.82*1.245</f>
        <v>48.330900000000007</v>
      </c>
      <c r="Q204" s="166">
        <f t="shared" si="30"/>
        <v>4510.72</v>
      </c>
      <c r="R204" s="167" t="s">
        <v>1940</v>
      </c>
      <c r="S204" s="179"/>
    </row>
    <row r="205" spans="1:19" s="167" customFormat="1" ht="21.95" hidden="1" customHeight="1">
      <c r="A205" s="160" t="s">
        <v>1647</v>
      </c>
      <c r="B205" s="161" t="s">
        <v>1836</v>
      </c>
      <c r="C205" s="178" t="s">
        <v>1597</v>
      </c>
      <c r="D205" s="169" t="s">
        <v>346</v>
      </c>
      <c r="E205" s="732"/>
      <c r="F205" s="164"/>
      <c r="G205" s="164"/>
      <c r="H205" s="164"/>
      <c r="I205" s="164"/>
      <c r="J205" s="164"/>
      <c r="K205" s="164"/>
      <c r="L205" s="164"/>
      <c r="M205" s="164"/>
      <c r="N205" s="164">
        <v>8.15</v>
      </c>
      <c r="O205" s="164">
        <f t="shared" si="29"/>
        <v>8.15</v>
      </c>
      <c r="P205" s="165">
        <f>29.92*1.245</f>
        <v>37.250400000000006</v>
      </c>
      <c r="Q205" s="166">
        <f t="shared" si="30"/>
        <v>303.58999999999997</v>
      </c>
      <c r="R205" s="167" t="s">
        <v>1940</v>
      </c>
      <c r="S205" s="179"/>
    </row>
    <row r="206" spans="1:19" s="167" customFormat="1" ht="21.95" hidden="1" customHeight="1">
      <c r="A206" s="160" t="s">
        <v>1648</v>
      </c>
      <c r="B206" s="161" t="s">
        <v>1834</v>
      </c>
      <c r="C206" s="178" t="s">
        <v>1598</v>
      </c>
      <c r="D206" s="169" t="s">
        <v>346</v>
      </c>
      <c r="E206" s="732"/>
      <c r="F206" s="164"/>
      <c r="G206" s="164"/>
      <c r="H206" s="164"/>
      <c r="I206" s="164"/>
      <c r="J206" s="164"/>
      <c r="K206" s="164"/>
      <c r="L206" s="164"/>
      <c r="M206" s="164"/>
      <c r="N206" s="164">
        <v>99.1</v>
      </c>
      <c r="O206" s="164">
        <f t="shared" si="29"/>
        <v>99.1</v>
      </c>
      <c r="P206" s="165">
        <f>13.75*1.245</f>
        <v>17.118750000000002</v>
      </c>
      <c r="Q206" s="166">
        <f t="shared" si="30"/>
        <v>1696.46</v>
      </c>
      <c r="R206" s="167" t="s">
        <v>1940</v>
      </c>
      <c r="S206" s="179"/>
    </row>
    <row r="207" spans="1:19" s="167" customFormat="1" ht="21.95" hidden="1" customHeight="1">
      <c r="A207" s="160" t="s">
        <v>1649</v>
      </c>
      <c r="B207" s="161" t="s">
        <v>1837</v>
      </c>
      <c r="C207" s="178" t="s">
        <v>1599</v>
      </c>
      <c r="D207" s="169" t="s">
        <v>346</v>
      </c>
      <c r="E207" s="732"/>
      <c r="F207" s="164"/>
      <c r="G207" s="164"/>
      <c r="H207" s="164"/>
      <c r="I207" s="164"/>
      <c r="J207" s="164"/>
      <c r="K207" s="164"/>
      <c r="L207" s="164"/>
      <c r="M207" s="164"/>
      <c r="N207" s="164">
        <v>12.7</v>
      </c>
      <c r="O207" s="164">
        <f t="shared" si="29"/>
        <v>12.7</v>
      </c>
      <c r="P207" s="165">
        <f>19.99*1.245</f>
        <v>24.887550000000001</v>
      </c>
      <c r="Q207" s="166">
        <f t="shared" si="30"/>
        <v>316.07</v>
      </c>
      <c r="R207" s="167" t="s">
        <v>1940</v>
      </c>
      <c r="S207" s="179"/>
    </row>
    <row r="208" spans="1:19" s="167" customFormat="1" ht="21.95" hidden="1" customHeight="1">
      <c r="A208" s="160" t="s">
        <v>1650</v>
      </c>
      <c r="B208" s="161" t="s">
        <v>1830</v>
      </c>
      <c r="C208" s="178" t="s">
        <v>1593</v>
      </c>
      <c r="D208" s="169" t="s">
        <v>822</v>
      </c>
      <c r="E208" s="732"/>
      <c r="F208" s="164"/>
      <c r="G208" s="164"/>
      <c r="H208" s="164"/>
      <c r="I208" s="164"/>
      <c r="J208" s="164"/>
      <c r="K208" s="164"/>
      <c r="L208" s="164"/>
      <c r="M208" s="164"/>
      <c r="N208" s="164">
        <v>1</v>
      </c>
      <c r="O208" s="164">
        <f t="shared" si="29"/>
        <v>1</v>
      </c>
      <c r="P208" s="165">
        <f>10033.91*1.245</f>
        <v>12492.21795</v>
      </c>
      <c r="Q208" s="166">
        <f t="shared" si="30"/>
        <v>12492.21</v>
      </c>
      <c r="R208" s="167" t="s">
        <v>1940</v>
      </c>
      <c r="S208" s="179"/>
    </row>
    <row r="209" spans="1:19" s="167" customFormat="1" ht="21.95" hidden="1" customHeight="1">
      <c r="A209" s="160" t="s">
        <v>1651</v>
      </c>
      <c r="B209" s="161" t="s">
        <v>1831</v>
      </c>
      <c r="C209" s="178" t="s">
        <v>1594</v>
      </c>
      <c r="D209" s="169" t="s">
        <v>822</v>
      </c>
      <c r="E209" s="732"/>
      <c r="F209" s="164"/>
      <c r="G209" s="164"/>
      <c r="H209" s="164"/>
      <c r="I209" s="164"/>
      <c r="J209" s="164"/>
      <c r="K209" s="164"/>
      <c r="L209" s="164"/>
      <c r="M209" s="164"/>
      <c r="N209" s="164">
        <v>1</v>
      </c>
      <c r="O209" s="164">
        <f t="shared" si="29"/>
        <v>1</v>
      </c>
      <c r="P209" s="165">
        <f>4205.85*1.245</f>
        <v>5236.2832500000013</v>
      </c>
      <c r="Q209" s="166">
        <f t="shared" si="30"/>
        <v>5236.28</v>
      </c>
      <c r="R209" s="167" t="s">
        <v>1940</v>
      </c>
      <c r="S209" s="179"/>
    </row>
    <row r="210" spans="1:19" s="167" customFormat="1" ht="21.95" hidden="1" customHeight="1">
      <c r="A210" s="160" t="s">
        <v>1652</v>
      </c>
      <c r="B210" s="161" t="s">
        <v>1832</v>
      </c>
      <c r="C210" s="178" t="s">
        <v>1592</v>
      </c>
      <c r="D210" s="169" t="s">
        <v>822</v>
      </c>
      <c r="E210" s="732"/>
      <c r="F210" s="164"/>
      <c r="G210" s="164"/>
      <c r="H210" s="164"/>
      <c r="I210" s="164"/>
      <c r="J210" s="164"/>
      <c r="K210" s="164"/>
      <c r="L210" s="164"/>
      <c r="M210" s="164"/>
      <c r="N210" s="164">
        <v>1</v>
      </c>
      <c r="O210" s="164">
        <f t="shared" si="29"/>
        <v>1</v>
      </c>
      <c r="P210" s="165">
        <f>12547*1.245</f>
        <v>15621.015000000001</v>
      </c>
      <c r="Q210" s="166">
        <f t="shared" si="30"/>
        <v>15621.01</v>
      </c>
      <c r="R210" s="167" t="s">
        <v>1940</v>
      </c>
      <c r="S210" s="179"/>
    </row>
    <row r="211" spans="1:19" s="167" customFormat="1" ht="24.75" hidden="1" customHeight="1">
      <c r="A211" s="1155"/>
      <c r="B211" s="1166"/>
      <c r="C211" s="1170" t="s">
        <v>2328</v>
      </c>
      <c r="D211" s="304"/>
      <c r="E211" s="747"/>
      <c r="F211" s="305"/>
      <c r="G211" s="305"/>
      <c r="H211" s="305"/>
      <c r="I211" s="305"/>
      <c r="J211" s="305"/>
      <c r="K211" s="305"/>
      <c r="L211" s="305"/>
      <c r="M211" s="305"/>
      <c r="N211" s="305"/>
      <c r="O211" s="305"/>
      <c r="P211" s="306"/>
      <c r="Q211" s="1172">
        <f>SUM(Q187:Q210)</f>
        <v>68014.05</v>
      </c>
      <c r="S211" s="179"/>
    </row>
    <row r="212" spans="1:19" s="167" customFormat="1" ht="21.95" hidden="1" customHeight="1">
      <c r="A212" s="222" t="s">
        <v>498</v>
      </c>
      <c r="B212" s="293"/>
      <c r="C212" s="218" t="s">
        <v>494</v>
      </c>
      <c r="D212" s="279"/>
      <c r="E212" s="734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2"/>
      <c r="Q212" s="283"/>
      <c r="S212" s="179"/>
    </row>
    <row r="213" spans="1:19" s="167" customFormat="1" ht="21.95" hidden="1" customHeight="1">
      <c r="A213" s="291" t="s">
        <v>500</v>
      </c>
      <c r="B213" s="273" t="s">
        <v>1953</v>
      </c>
      <c r="C213" s="272" t="s">
        <v>1952</v>
      </c>
      <c r="D213" s="273" t="s">
        <v>822</v>
      </c>
      <c r="E213" s="699"/>
      <c r="F213" s="274"/>
      <c r="G213" s="274"/>
      <c r="H213" s="274">
        <v>2</v>
      </c>
      <c r="I213" s="274"/>
      <c r="J213" s="274"/>
      <c r="K213" s="274"/>
      <c r="L213" s="274"/>
      <c r="M213" s="274"/>
      <c r="N213" s="274"/>
      <c r="O213" s="274">
        <f t="shared" ref="O213:O220" si="33">SUM(E213:N213)</f>
        <v>2</v>
      </c>
      <c r="P213" s="275">
        <f>5130.48*1.245</f>
        <v>6387.4476000000004</v>
      </c>
      <c r="Q213" s="288">
        <f t="shared" si="30"/>
        <v>12774.89</v>
      </c>
      <c r="R213" s="167" t="s">
        <v>1940</v>
      </c>
      <c r="S213" s="179"/>
    </row>
    <row r="214" spans="1:19" s="167" customFormat="1" ht="21.95" hidden="1" customHeight="1">
      <c r="A214" s="291" t="s">
        <v>502</v>
      </c>
      <c r="B214" s="273" t="s">
        <v>1951</v>
      </c>
      <c r="C214" s="272" t="s">
        <v>1950</v>
      </c>
      <c r="D214" s="273" t="s">
        <v>822</v>
      </c>
      <c r="E214" s="699">
        <f>2*10</f>
        <v>20</v>
      </c>
      <c r="F214" s="274"/>
      <c r="G214" s="274">
        <v>4</v>
      </c>
      <c r="H214" s="274"/>
      <c r="I214" s="274"/>
      <c r="J214" s="274"/>
      <c r="K214" s="274"/>
      <c r="L214" s="274"/>
      <c r="M214" s="274"/>
      <c r="N214" s="274"/>
      <c r="O214" s="274">
        <f t="shared" si="33"/>
        <v>24</v>
      </c>
      <c r="P214" s="275">
        <f>6517.63*1.245</f>
        <v>8114.4493500000008</v>
      </c>
      <c r="Q214" s="288">
        <f t="shared" si="30"/>
        <v>194746.78</v>
      </c>
      <c r="R214" s="167" t="s">
        <v>1940</v>
      </c>
      <c r="S214" s="179"/>
    </row>
    <row r="215" spans="1:19" s="167" customFormat="1" ht="21.95" hidden="1" customHeight="1">
      <c r="A215" s="291" t="s">
        <v>1700</v>
      </c>
      <c r="B215" s="273" t="s">
        <v>1784</v>
      </c>
      <c r="C215" s="272" t="s">
        <v>1705</v>
      </c>
      <c r="D215" s="273" t="s">
        <v>346</v>
      </c>
      <c r="E215" s="699">
        <f>memoria!H290</f>
        <v>70.400000000000006</v>
      </c>
      <c r="F215" s="274"/>
      <c r="G215" s="274"/>
      <c r="H215" s="274">
        <f>memoria!N290</f>
        <v>23.4</v>
      </c>
      <c r="I215" s="274"/>
      <c r="J215" s="274"/>
      <c r="K215" s="274"/>
      <c r="L215" s="274"/>
      <c r="M215" s="274"/>
      <c r="N215" s="274"/>
      <c r="O215" s="274">
        <f t="shared" si="33"/>
        <v>93.800000000000011</v>
      </c>
      <c r="P215" s="275">
        <f>22.34*1.245</f>
        <v>27.813300000000002</v>
      </c>
      <c r="Q215" s="288">
        <f t="shared" si="30"/>
        <v>2608.88</v>
      </c>
      <c r="R215" s="167" t="s">
        <v>1940</v>
      </c>
      <c r="S215" s="179"/>
    </row>
    <row r="216" spans="1:19" s="167" customFormat="1" ht="34.5" hidden="1" customHeight="1">
      <c r="A216" s="291" t="s">
        <v>1701</v>
      </c>
      <c r="B216" s="277" t="s">
        <v>371</v>
      </c>
      <c r="C216" s="272" t="s">
        <v>1666</v>
      </c>
      <c r="D216" s="273" t="s">
        <v>682</v>
      </c>
      <c r="E216" s="699">
        <f>memoria!H292</f>
        <v>9.0486000000000004</v>
      </c>
      <c r="F216" s="274"/>
      <c r="G216" s="274"/>
      <c r="H216" s="274">
        <f>memoria!N292</f>
        <v>3.3210000000000002</v>
      </c>
      <c r="I216" s="274"/>
      <c r="J216" s="274"/>
      <c r="K216" s="274"/>
      <c r="L216" s="274"/>
      <c r="M216" s="274"/>
      <c r="N216" s="274"/>
      <c r="O216" s="274">
        <f t="shared" si="33"/>
        <v>12.3696</v>
      </c>
      <c r="P216" s="275">
        <f>COMPOSIÇÕES!B235</f>
        <v>77.115299999999991</v>
      </c>
      <c r="Q216" s="288">
        <f t="shared" si="30"/>
        <v>953.88</v>
      </c>
      <c r="R216" s="167" t="s">
        <v>886</v>
      </c>
      <c r="S216" s="179"/>
    </row>
    <row r="217" spans="1:19" s="167" customFormat="1" ht="21.95" hidden="1" customHeight="1">
      <c r="A217" s="291" t="s">
        <v>1702</v>
      </c>
      <c r="B217" s="277" t="s">
        <v>1841</v>
      </c>
      <c r="C217" s="272" t="s">
        <v>1707</v>
      </c>
      <c r="D217" s="273" t="s">
        <v>682</v>
      </c>
      <c r="E217" s="699">
        <f>memoria!H293</f>
        <v>1.5081</v>
      </c>
      <c r="F217" s="274"/>
      <c r="G217" s="274"/>
      <c r="H217" s="274">
        <f>memoria!N293</f>
        <v>0.5535000000000001</v>
      </c>
      <c r="I217" s="274"/>
      <c r="J217" s="274"/>
      <c r="K217" s="274"/>
      <c r="L217" s="274"/>
      <c r="M217" s="274"/>
      <c r="N217" s="274"/>
      <c r="O217" s="274">
        <f t="shared" si="33"/>
        <v>2.0616000000000003</v>
      </c>
      <c r="P217" s="275">
        <f>152.97*1.245</f>
        <v>190.44765000000001</v>
      </c>
      <c r="Q217" s="288">
        <f t="shared" si="30"/>
        <v>392.62</v>
      </c>
      <c r="R217" s="167" t="s">
        <v>1940</v>
      </c>
      <c r="S217" s="179"/>
    </row>
    <row r="218" spans="1:19" s="167" customFormat="1" ht="21.95" hidden="1" customHeight="1">
      <c r="A218" s="291" t="s">
        <v>1703</v>
      </c>
      <c r="B218" s="273" t="s">
        <v>1784</v>
      </c>
      <c r="C218" s="272" t="s">
        <v>1706</v>
      </c>
      <c r="D218" s="273" t="s">
        <v>346</v>
      </c>
      <c r="E218" s="699">
        <f>memoria!H289</f>
        <v>100.54</v>
      </c>
      <c r="F218" s="274"/>
      <c r="G218" s="274"/>
      <c r="H218" s="274">
        <f>memoria!N289</f>
        <v>36.900000000000006</v>
      </c>
      <c r="I218" s="274"/>
      <c r="J218" s="274"/>
      <c r="K218" s="274"/>
      <c r="L218" s="274"/>
      <c r="M218" s="274"/>
      <c r="N218" s="274"/>
      <c r="O218" s="274">
        <f t="shared" si="33"/>
        <v>137.44</v>
      </c>
      <c r="P218" s="275">
        <f>22.34*1.245</f>
        <v>27.813300000000002</v>
      </c>
      <c r="Q218" s="288">
        <f t="shared" si="30"/>
        <v>3822.65</v>
      </c>
      <c r="R218" s="167" t="s">
        <v>1940</v>
      </c>
      <c r="S218" s="179"/>
    </row>
    <row r="219" spans="1:19" s="167" customFormat="1" ht="21.95" hidden="1" customHeight="1">
      <c r="A219" s="291" t="s">
        <v>1704</v>
      </c>
      <c r="B219" s="277" t="s">
        <v>438</v>
      </c>
      <c r="C219" s="178" t="s">
        <v>1568</v>
      </c>
      <c r="D219" s="273" t="s">
        <v>682</v>
      </c>
      <c r="E219" s="699">
        <f>memoria!H294</f>
        <v>7.4596819264000009</v>
      </c>
      <c r="F219" s="274"/>
      <c r="G219" s="274"/>
      <c r="H219" s="274">
        <f>memoria!N294</f>
        <v>2.7378383040000003</v>
      </c>
      <c r="I219" s="274"/>
      <c r="J219" s="274"/>
      <c r="K219" s="274"/>
      <c r="L219" s="274"/>
      <c r="M219" s="274"/>
      <c r="N219" s="274"/>
      <c r="O219" s="274">
        <f t="shared" si="33"/>
        <v>10.197520230400002</v>
      </c>
      <c r="P219" s="275">
        <f>COMPOSIÇÕES!B267</f>
        <v>46.749749999999999</v>
      </c>
      <c r="Q219" s="288">
        <f t="shared" si="30"/>
        <v>476.73</v>
      </c>
      <c r="R219" s="167" t="s">
        <v>886</v>
      </c>
      <c r="S219" s="179"/>
    </row>
    <row r="220" spans="1:19" s="167" customFormat="1" ht="36" hidden="1" customHeight="1">
      <c r="A220" s="291" t="s">
        <v>1709</v>
      </c>
      <c r="B220" s="277" t="s">
        <v>439</v>
      </c>
      <c r="C220" s="178" t="s">
        <v>914</v>
      </c>
      <c r="D220" s="273" t="s">
        <v>682</v>
      </c>
      <c r="E220" s="699">
        <f>memoria!H295</f>
        <v>2.0655934956799999</v>
      </c>
      <c r="F220" s="274"/>
      <c r="G220" s="274"/>
      <c r="H220" s="274">
        <f>memoria!N295</f>
        <v>0.75811020480000013</v>
      </c>
      <c r="I220" s="274"/>
      <c r="J220" s="274"/>
      <c r="K220" s="274"/>
      <c r="L220" s="274"/>
      <c r="M220" s="274"/>
      <c r="N220" s="274"/>
      <c r="O220" s="274">
        <f t="shared" si="33"/>
        <v>2.8237037004800003</v>
      </c>
      <c r="P220" s="275">
        <f>COMPOSIÇÕES!B284</f>
        <v>23.094749999999998</v>
      </c>
      <c r="Q220" s="288">
        <f t="shared" si="30"/>
        <v>65.209999999999994</v>
      </c>
      <c r="R220" s="167" t="s">
        <v>886</v>
      </c>
      <c r="S220" s="179"/>
    </row>
    <row r="221" spans="1:19" s="167" customFormat="1" ht="28.5" hidden="1" customHeight="1">
      <c r="A221" s="300"/>
      <c r="B221" s="293"/>
      <c r="C221" s="296" t="s">
        <v>2327</v>
      </c>
      <c r="D221" s="889"/>
      <c r="E221" s="734"/>
      <c r="F221" s="281"/>
      <c r="G221" s="281"/>
      <c r="H221" s="281"/>
      <c r="I221" s="281"/>
      <c r="J221" s="281"/>
      <c r="K221" s="281"/>
      <c r="L221" s="281"/>
      <c r="M221" s="281"/>
      <c r="N221" s="281"/>
      <c r="O221" s="794"/>
      <c r="P221" s="282"/>
      <c r="Q221" s="283">
        <f>SUM(Q213:Q220)</f>
        <v>215841.63999999998</v>
      </c>
      <c r="S221" s="179"/>
    </row>
    <row r="222" spans="1:19" s="167" customFormat="1" ht="21.95" hidden="1" customHeight="1">
      <c r="A222" s="222" t="s">
        <v>503</v>
      </c>
      <c r="B222" s="293"/>
      <c r="C222" s="218" t="s">
        <v>499</v>
      </c>
      <c r="D222" s="279"/>
      <c r="E222" s="734"/>
      <c r="F222" s="281"/>
      <c r="G222" s="281"/>
      <c r="H222" s="281"/>
      <c r="I222" s="281"/>
      <c r="J222" s="281"/>
      <c r="K222" s="281"/>
      <c r="L222" s="281"/>
      <c r="M222" s="281"/>
      <c r="N222" s="281"/>
      <c r="O222" s="281"/>
      <c r="P222" s="282"/>
      <c r="Q222" s="283"/>
      <c r="S222" s="179"/>
    </row>
    <row r="223" spans="1:19" s="167" customFormat="1" ht="48.75" hidden="1" customHeight="1">
      <c r="A223" s="160" t="s">
        <v>504</v>
      </c>
      <c r="B223" s="863" t="s">
        <v>1290</v>
      </c>
      <c r="C223" s="178" t="s">
        <v>1178</v>
      </c>
      <c r="D223" s="169" t="s">
        <v>822</v>
      </c>
      <c r="E223" s="732">
        <f>3+3</f>
        <v>6</v>
      </c>
      <c r="F223" s="164"/>
      <c r="G223" s="164"/>
      <c r="H223" s="164"/>
      <c r="I223" s="164"/>
      <c r="J223" s="164"/>
      <c r="K223" s="164"/>
      <c r="L223" s="164"/>
      <c r="M223" s="164"/>
      <c r="N223" s="164"/>
      <c r="O223" s="164">
        <f t="shared" ref="O223:O257" si="34">SUM(E223:N223)</f>
        <v>6</v>
      </c>
      <c r="P223" s="165">
        <f>COMPOSIÇÕES!B1675</f>
        <v>211.18934999999999</v>
      </c>
      <c r="Q223" s="166">
        <f t="shared" si="30"/>
        <v>1267.1300000000001</v>
      </c>
      <c r="R223" s="167" t="s">
        <v>886</v>
      </c>
      <c r="S223" s="179"/>
    </row>
    <row r="224" spans="1:19" s="167" customFormat="1" ht="61.5" hidden="1" customHeight="1">
      <c r="A224" s="160" t="s">
        <v>505</v>
      </c>
      <c r="B224" s="863" t="s">
        <v>1291</v>
      </c>
      <c r="C224" s="178" t="s">
        <v>1516</v>
      </c>
      <c r="D224" s="169" t="s">
        <v>822</v>
      </c>
      <c r="E224" s="732">
        <f>1+1</f>
        <v>2</v>
      </c>
      <c r="F224" s="164"/>
      <c r="G224" s="164"/>
      <c r="H224" s="164"/>
      <c r="I224" s="164"/>
      <c r="J224" s="164"/>
      <c r="K224" s="164"/>
      <c r="L224" s="164"/>
      <c r="M224" s="164"/>
      <c r="N224" s="164"/>
      <c r="O224" s="164">
        <f t="shared" si="34"/>
        <v>2</v>
      </c>
      <c r="P224" s="165">
        <f>COMPOSIÇÕES!B1691</f>
        <v>756.5367</v>
      </c>
      <c r="Q224" s="166">
        <f t="shared" si="30"/>
        <v>1513.07</v>
      </c>
      <c r="R224" s="167" t="s">
        <v>886</v>
      </c>
      <c r="S224" s="179"/>
    </row>
    <row r="225" spans="1:20" s="167" customFormat="1" ht="66.75" hidden="1" customHeight="1">
      <c r="A225" s="160" t="s">
        <v>506</v>
      </c>
      <c r="B225" s="863" t="s">
        <v>1502</v>
      </c>
      <c r="C225" s="178" t="s">
        <v>1503</v>
      </c>
      <c r="D225" s="169" t="s">
        <v>822</v>
      </c>
      <c r="E225" s="732">
        <f>3+3</f>
        <v>6</v>
      </c>
      <c r="F225" s="164"/>
      <c r="G225" s="164"/>
      <c r="H225" s="164"/>
      <c r="I225" s="164"/>
      <c r="J225" s="164"/>
      <c r="K225" s="164"/>
      <c r="L225" s="164"/>
      <c r="M225" s="164"/>
      <c r="N225" s="164"/>
      <c r="O225" s="164">
        <f t="shared" si="34"/>
        <v>6</v>
      </c>
      <c r="P225" s="165">
        <f>COMPOSIÇÕES!B1767</f>
        <v>391.25369999999998</v>
      </c>
      <c r="Q225" s="166">
        <f t="shared" si="30"/>
        <v>2347.52</v>
      </c>
      <c r="R225" s="167" t="s">
        <v>886</v>
      </c>
      <c r="S225" s="179"/>
    </row>
    <row r="226" spans="1:20" s="167" customFormat="1" ht="52.5" hidden="1" customHeight="1">
      <c r="A226" s="160" t="s">
        <v>507</v>
      </c>
      <c r="B226" s="863" t="s">
        <v>1517</v>
      </c>
      <c r="C226" s="178" t="s">
        <v>1312</v>
      </c>
      <c r="D226" s="169" t="s">
        <v>822</v>
      </c>
      <c r="E226" s="732"/>
      <c r="F226" s="164"/>
      <c r="G226" s="164"/>
      <c r="H226" s="164">
        <f>1+1</f>
        <v>2</v>
      </c>
      <c r="I226" s="164"/>
      <c r="J226" s="164"/>
      <c r="K226" s="164"/>
      <c r="L226" s="164"/>
      <c r="M226" s="164"/>
      <c r="N226" s="164"/>
      <c r="O226" s="164">
        <f t="shared" si="34"/>
        <v>2</v>
      </c>
      <c r="P226" s="165">
        <f>COMPOSIÇÕES!B1659</f>
        <v>478.50329999999997</v>
      </c>
      <c r="Q226" s="166">
        <f t="shared" si="30"/>
        <v>957</v>
      </c>
      <c r="R226" s="167" t="s">
        <v>886</v>
      </c>
      <c r="S226" s="179"/>
    </row>
    <row r="227" spans="1:20" s="167" customFormat="1" ht="36" hidden="1" customHeight="1">
      <c r="A227" s="160" t="s">
        <v>508</v>
      </c>
      <c r="B227" s="863" t="s">
        <v>2479</v>
      </c>
      <c r="C227" s="178" t="s">
        <v>2476</v>
      </c>
      <c r="D227" s="169" t="s">
        <v>822</v>
      </c>
      <c r="E227" s="732">
        <v>2</v>
      </c>
      <c r="F227" s="164"/>
      <c r="G227" s="164"/>
      <c r="H227" s="164"/>
      <c r="I227" s="164"/>
      <c r="J227" s="164"/>
      <c r="K227" s="164"/>
      <c r="L227" s="164"/>
      <c r="M227" s="164"/>
      <c r="N227" s="164"/>
      <c r="O227" s="164">
        <f t="shared" si="34"/>
        <v>2</v>
      </c>
      <c r="P227" s="165">
        <f>COMPOSIÇÕES!B1707</f>
        <v>604.34789999999998</v>
      </c>
      <c r="Q227" s="166">
        <f t="shared" si="30"/>
        <v>1208.69</v>
      </c>
      <c r="R227" s="167" t="s">
        <v>886</v>
      </c>
      <c r="S227" s="179"/>
    </row>
    <row r="228" spans="1:20" s="167" customFormat="1" ht="35.25" hidden="1" customHeight="1">
      <c r="A228" s="160" t="s">
        <v>509</v>
      </c>
      <c r="B228" s="863" t="s">
        <v>2480</v>
      </c>
      <c r="C228" s="178" t="s">
        <v>2478</v>
      </c>
      <c r="D228" s="169" t="s">
        <v>822</v>
      </c>
      <c r="E228" s="732">
        <v>6</v>
      </c>
      <c r="F228" s="164"/>
      <c r="G228" s="164"/>
      <c r="H228" s="164">
        <v>2</v>
      </c>
      <c r="I228" s="164"/>
      <c r="J228" s="164"/>
      <c r="K228" s="164"/>
      <c r="L228" s="164"/>
      <c r="M228" s="164"/>
      <c r="N228" s="164"/>
      <c r="O228" s="164">
        <f t="shared" si="34"/>
        <v>8</v>
      </c>
      <c r="P228" s="165">
        <f>COMPOSIÇÕES!B1723</f>
        <v>57.04590000000001</v>
      </c>
      <c r="Q228" s="166">
        <f t="shared" si="30"/>
        <v>456.36</v>
      </c>
      <c r="R228" s="167" t="s">
        <v>886</v>
      </c>
      <c r="S228" s="179"/>
    </row>
    <row r="229" spans="1:20" s="167" customFormat="1" ht="60.75" hidden="1" customHeight="1">
      <c r="A229" s="160" t="s">
        <v>510</v>
      </c>
      <c r="B229" s="161" t="s">
        <v>1226</v>
      </c>
      <c r="C229" s="178" t="s">
        <v>1227</v>
      </c>
      <c r="D229" s="169" t="s">
        <v>822</v>
      </c>
      <c r="E229" s="732">
        <v>6</v>
      </c>
      <c r="F229" s="164"/>
      <c r="G229" s="164"/>
      <c r="H229" s="164"/>
      <c r="I229" s="164"/>
      <c r="J229" s="164"/>
      <c r="K229" s="164"/>
      <c r="L229" s="164"/>
      <c r="M229" s="164"/>
      <c r="N229" s="164"/>
      <c r="O229" s="164">
        <f t="shared" si="34"/>
        <v>6</v>
      </c>
      <c r="P229" s="165">
        <f>434.65*1.2457</f>
        <v>541.44350499999996</v>
      </c>
      <c r="Q229" s="166">
        <f t="shared" si="30"/>
        <v>3248.66</v>
      </c>
      <c r="R229" s="167" t="s">
        <v>1940</v>
      </c>
      <c r="S229" s="179"/>
    </row>
    <row r="230" spans="1:20" s="167" customFormat="1" ht="55.5" hidden="1" customHeight="1">
      <c r="A230" s="160" t="s">
        <v>514</v>
      </c>
      <c r="B230" s="161" t="s">
        <v>2160</v>
      </c>
      <c r="C230" s="287" t="s">
        <v>2059</v>
      </c>
      <c r="D230" s="169" t="s">
        <v>111</v>
      </c>
      <c r="E230" s="699">
        <v>4</v>
      </c>
      <c r="F230" s="164"/>
      <c r="G230" s="164"/>
      <c r="H230" s="164"/>
      <c r="I230" s="164"/>
      <c r="J230" s="164"/>
      <c r="K230" s="164"/>
      <c r="L230" s="164"/>
      <c r="M230" s="164"/>
      <c r="N230" s="164"/>
      <c r="O230" s="164">
        <f t="shared" si="34"/>
        <v>4</v>
      </c>
      <c r="P230" s="275">
        <f>COMPOSIÇÕES!B1830</f>
        <v>3624.1576500000001</v>
      </c>
      <c r="Q230" s="166">
        <f t="shared" si="30"/>
        <v>14496.63</v>
      </c>
      <c r="R230" s="167" t="s">
        <v>886</v>
      </c>
      <c r="S230" s="179"/>
    </row>
    <row r="231" spans="1:20" s="167" customFormat="1" ht="33" hidden="1" customHeight="1">
      <c r="A231" s="160" t="s">
        <v>515</v>
      </c>
      <c r="B231" s="308" t="s">
        <v>1984</v>
      </c>
      <c r="C231" s="287" t="s">
        <v>1981</v>
      </c>
      <c r="D231" s="169" t="s">
        <v>822</v>
      </c>
      <c r="E231" s="699">
        <v>7</v>
      </c>
      <c r="F231" s="164"/>
      <c r="G231" s="164"/>
      <c r="H231" s="164"/>
      <c r="I231" s="164"/>
      <c r="J231" s="164"/>
      <c r="K231" s="164"/>
      <c r="L231" s="164"/>
      <c r="M231" s="164"/>
      <c r="N231" s="164"/>
      <c r="O231" s="164">
        <f t="shared" si="34"/>
        <v>7</v>
      </c>
      <c r="P231" s="165">
        <f>COMPOSIÇÕES!B1970</f>
        <v>742.25655000000006</v>
      </c>
      <c r="Q231" s="166">
        <f t="shared" si="30"/>
        <v>5195.79</v>
      </c>
      <c r="R231" s="971" t="s">
        <v>886</v>
      </c>
      <c r="S231" s="179"/>
    </row>
    <row r="232" spans="1:20" s="167" customFormat="1" ht="33" hidden="1" customHeight="1">
      <c r="A232" s="160" t="s">
        <v>516</v>
      </c>
      <c r="B232" s="161" t="s">
        <v>2043</v>
      </c>
      <c r="C232" s="287" t="s">
        <v>2041</v>
      </c>
      <c r="D232" s="169" t="s">
        <v>858</v>
      </c>
      <c r="E232" s="699">
        <f>(7+10+5+6)*(2.38*0.4)</f>
        <v>26.655999999999999</v>
      </c>
      <c r="F232" s="164"/>
      <c r="G232" s="164"/>
      <c r="H232" s="164"/>
      <c r="I232" s="164"/>
      <c r="J232" s="164"/>
      <c r="K232" s="164"/>
      <c r="L232" s="164"/>
      <c r="M232" s="164"/>
      <c r="N232" s="164"/>
      <c r="O232" s="164">
        <f t="shared" si="34"/>
        <v>26.655999999999999</v>
      </c>
      <c r="P232" s="275">
        <f>COMPOSIÇÕES!B1849</f>
        <v>115.2372</v>
      </c>
      <c r="Q232" s="166">
        <f t="shared" si="30"/>
        <v>3071.76</v>
      </c>
      <c r="R232" s="167" t="s">
        <v>886</v>
      </c>
      <c r="S232" s="179"/>
    </row>
    <row r="233" spans="1:20" s="167" customFormat="1" ht="21.75" hidden="1" customHeight="1">
      <c r="A233" s="160" t="s">
        <v>517</v>
      </c>
      <c r="B233" s="161" t="s">
        <v>2162</v>
      </c>
      <c r="C233" s="287" t="s">
        <v>2051</v>
      </c>
      <c r="D233" s="169" t="s">
        <v>822</v>
      </c>
      <c r="E233" s="699">
        <f>(7+2+1+1)</f>
        <v>11</v>
      </c>
      <c r="F233" s="164"/>
      <c r="G233" s="164"/>
      <c r="H233" s="164"/>
      <c r="I233" s="164"/>
      <c r="J233" s="164"/>
      <c r="K233" s="164"/>
      <c r="L233" s="164"/>
      <c r="M233" s="164"/>
      <c r="N233" s="164"/>
      <c r="O233" s="164">
        <f t="shared" si="34"/>
        <v>11</v>
      </c>
      <c r="P233" s="275">
        <f>COMPOSIÇÕES!B1868</f>
        <v>786.80265000000009</v>
      </c>
      <c r="Q233" s="166">
        <f t="shared" si="30"/>
        <v>8654.82</v>
      </c>
      <c r="R233" s="167" t="s">
        <v>886</v>
      </c>
      <c r="S233" s="179"/>
    </row>
    <row r="234" spans="1:20" s="167" customFormat="1" ht="53.25" hidden="1" customHeight="1">
      <c r="A234" s="160" t="s">
        <v>518</v>
      </c>
      <c r="B234" s="161" t="s">
        <v>1228</v>
      </c>
      <c r="C234" s="272" t="s">
        <v>1229</v>
      </c>
      <c r="D234" s="169" t="s">
        <v>822</v>
      </c>
      <c r="E234" s="732">
        <v>2</v>
      </c>
      <c r="F234" s="164"/>
      <c r="G234" s="164"/>
      <c r="H234" s="164"/>
      <c r="I234" s="164"/>
      <c r="J234" s="164"/>
      <c r="K234" s="164"/>
      <c r="L234" s="164"/>
      <c r="M234" s="164"/>
      <c r="N234" s="164"/>
      <c r="O234" s="164">
        <f t="shared" si="34"/>
        <v>2</v>
      </c>
      <c r="P234" s="165">
        <f>656.2*1.245</f>
        <v>816.96900000000016</v>
      </c>
      <c r="Q234" s="177">
        <f t="shared" si="30"/>
        <v>1633.93</v>
      </c>
      <c r="R234" s="167" t="s">
        <v>1940</v>
      </c>
      <c r="S234" s="179"/>
    </row>
    <row r="235" spans="1:20" s="167" customFormat="1" ht="81" hidden="1" customHeight="1">
      <c r="A235" s="160" t="s">
        <v>519</v>
      </c>
      <c r="B235" s="161" t="s">
        <v>1842</v>
      </c>
      <c r="C235" s="1038" t="s">
        <v>2060</v>
      </c>
      <c r="D235" s="169" t="s">
        <v>822</v>
      </c>
      <c r="E235" s="732">
        <f>1+1</f>
        <v>2</v>
      </c>
      <c r="F235" s="164"/>
      <c r="G235" s="164"/>
      <c r="H235" s="164"/>
      <c r="I235" s="164"/>
      <c r="J235" s="164"/>
      <c r="K235" s="164"/>
      <c r="L235" s="164"/>
      <c r="M235" s="164"/>
      <c r="N235" s="164"/>
      <c r="O235" s="164">
        <f t="shared" si="34"/>
        <v>2</v>
      </c>
      <c r="P235" s="165">
        <f>178.27*1.245</f>
        <v>221.94615000000005</v>
      </c>
      <c r="Q235" s="166">
        <f t="shared" si="30"/>
        <v>443.89</v>
      </c>
      <c r="R235" s="167" t="s">
        <v>1940</v>
      </c>
      <c r="S235" s="179"/>
    </row>
    <row r="236" spans="1:20" s="167" customFormat="1" ht="80.25" hidden="1" customHeight="1">
      <c r="A236" s="160" t="s">
        <v>520</v>
      </c>
      <c r="B236" s="863" t="s">
        <v>2061</v>
      </c>
      <c r="C236" s="287" t="s">
        <v>2062</v>
      </c>
      <c r="D236" s="169" t="s">
        <v>822</v>
      </c>
      <c r="E236" s="732"/>
      <c r="F236" s="164"/>
      <c r="G236" s="164"/>
      <c r="H236" s="164">
        <f>1+1</f>
        <v>2</v>
      </c>
      <c r="I236" s="164"/>
      <c r="J236" s="164"/>
      <c r="K236" s="164"/>
      <c r="L236" s="164"/>
      <c r="M236" s="164"/>
      <c r="N236" s="164"/>
      <c r="O236" s="164">
        <f t="shared" si="34"/>
        <v>2</v>
      </c>
      <c r="P236" s="165">
        <f>543.21*1.245</f>
        <v>676.29645000000005</v>
      </c>
      <c r="Q236" s="166">
        <f t="shared" si="30"/>
        <v>1352.59</v>
      </c>
      <c r="R236" s="167" t="s">
        <v>1940</v>
      </c>
      <c r="S236" s="179"/>
    </row>
    <row r="237" spans="1:20" s="167" customFormat="1" ht="38.25" hidden="1" customHeight="1">
      <c r="A237" s="160" t="s">
        <v>521</v>
      </c>
      <c r="B237" s="161" t="s">
        <v>1232</v>
      </c>
      <c r="C237" s="178" t="s">
        <v>1233</v>
      </c>
      <c r="D237" s="169" t="s">
        <v>822</v>
      </c>
      <c r="E237" s="732">
        <f>6+6</f>
        <v>12</v>
      </c>
      <c r="F237" s="164"/>
      <c r="G237" s="164"/>
      <c r="H237" s="164"/>
      <c r="I237" s="164"/>
      <c r="J237" s="164"/>
      <c r="K237" s="164"/>
      <c r="L237" s="164"/>
      <c r="M237" s="164"/>
      <c r="N237" s="164"/>
      <c r="O237" s="164">
        <f t="shared" si="34"/>
        <v>12</v>
      </c>
      <c r="P237" s="165">
        <f>180.03*1.245</f>
        <v>224.13735000000003</v>
      </c>
      <c r="Q237" s="166">
        <f t="shared" si="30"/>
        <v>2689.64</v>
      </c>
      <c r="R237" s="167" t="s">
        <v>1940</v>
      </c>
      <c r="S237" s="179"/>
    </row>
    <row r="238" spans="1:20" s="167" customFormat="1" ht="24.75" hidden="1" customHeight="1">
      <c r="A238" s="160" t="s">
        <v>522</v>
      </c>
      <c r="B238" s="863" t="s">
        <v>2166</v>
      </c>
      <c r="C238" s="178" t="s">
        <v>1263</v>
      </c>
      <c r="D238" s="169" t="s">
        <v>822</v>
      </c>
      <c r="E238" s="732">
        <f>1+1</f>
        <v>2</v>
      </c>
      <c r="F238" s="164"/>
      <c r="G238" s="164"/>
      <c r="H238" s="164"/>
      <c r="I238" s="164"/>
      <c r="J238" s="164"/>
      <c r="K238" s="164"/>
      <c r="L238" s="164"/>
      <c r="M238" s="164"/>
      <c r="N238" s="164"/>
      <c r="O238" s="164">
        <f t="shared" si="34"/>
        <v>2</v>
      </c>
      <c r="P238" s="275">
        <f>COMPOSIÇÕES!B1743</f>
        <v>4386.6828000000005</v>
      </c>
      <c r="Q238" s="166">
        <f t="shared" si="30"/>
        <v>8773.36</v>
      </c>
      <c r="R238" s="971" t="s">
        <v>1940</v>
      </c>
      <c r="S238" s="179"/>
    </row>
    <row r="239" spans="1:20" s="167" customFormat="1" ht="33.75" hidden="1" customHeight="1">
      <c r="A239" s="160" t="s">
        <v>523</v>
      </c>
      <c r="B239" s="863" t="s">
        <v>247</v>
      </c>
      <c r="C239" s="178" t="s">
        <v>2075</v>
      </c>
      <c r="D239" s="169" t="s">
        <v>822</v>
      </c>
      <c r="E239" s="699">
        <f>8+8+2+1</f>
        <v>19</v>
      </c>
      <c r="F239" s="164"/>
      <c r="G239" s="164"/>
      <c r="H239" s="164"/>
      <c r="I239" s="164"/>
      <c r="J239" s="164"/>
      <c r="K239" s="164"/>
      <c r="L239" s="164"/>
      <c r="M239" s="164"/>
      <c r="N239" s="164"/>
      <c r="O239" s="164">
        <f t="shared" si="34"/>
        <v>19</v>
      </c>
      <c r="P239" s="165">
        <f>COMPOSIÇÕES!B1905</f>
        <v>194.39429999999999</v>
      </c>
      <c r="Q239" s="166">
        <f t="shared" si="30"/>
        <v>3693.49</v>
      </c>
      <c r="R239" s="167" t="s">
        <v>886</v>
      </c>
      <c r="S239" s="179"/>
      <c r="T239" s="167" t="s">
        <v>2063</v>
      </c>
    </row>
    <row r="240" spans="1:20" s="167" customFormat="1" ht="48.75" hidden="1" customHeight="1">
      <c r="A240" s="160" t="s">
        <v>1247</v>
      </c>
      <c r="B240" s="863" t="s">
        <v>247</v>
      </c>
      <c r="C240" s="979" t="s">
        <v>1259</v>
      </c>
      <c r="D240" s="163" t="s">
        <v>822</v>
      </c>
      <c r="E240" s="700">
        <f>1+1</f>
        <v>2</v>
      </c>
      <c r="F240" s="186"/>
      <c r="G240" s="186"/>
      <c r="H240" s="186"/>
      <c r="I240" s="186"/>
      <c r="J240" s="186"/>
      <c r="K240" s="186"/>
      <c r="L240" s="186"/>
      <c r="M240" s="186"/>
      <c r="N240" s="186"/>
      <c r="O240" s="164">
        <f t="shared" si="34"/>
        <v>2</v>
      </c>
      <c r="P240" s="176">
        <f>COMPOSIÇÕES!B1929</f>
        <v>758.25480000000016</v>
      </c>
      <c r="Q240" s="177">
        <f t="shared" si="30"/>
        <v>1516.5</v>
      </c>
      <c r="R240" s="167" t="s">
        <v>886</v>
      </c>
      <c r="S240" s="179"/>
    </row>
    <row r="241" spans="1:19" s="167" customFormat="1" ht="41.25" hidden="1" customHeight="1">
      <c r="A241" s="160" t="s">
        <v>1248</v>
      </c>
      <c r="B241" s="863" t="s">
        <v>1399</v>
      </c>
      <c r="C241" s="979" t="s">
        <v>1909</v>
      </c>
      <c r="D241" s="163" t="s">
        <v>822</v>
      </c>
      <c r="E241" s="700">
        <v>7</v>
      </c>
      <c r="F241" s="164"/>
      <c r="G241" s="164"/>
      <c r="H241" s="164"/>
      <c r="I241" s="164"/>
      <c r="J241" s="164"/>
      <c r="K241" s="164"/>
      <c r="L241" s="164"/>
      <c r="M241" s="164"/>
      <c r="N241" s="164"/>
      <c r="O241" s="164">
        <f t="shared" si="34"/>
        <v>7</v>
      </c>
      <c r="P241" s="618">
        <f>37.47*1.245</f>
        <v>46.650150000000004</v>
      </c>
      <c r="Q241" s="177">
        <f t="shared" si="30"/>
        <v>326.55</v>
      </c>
      <c r="R241" s="167" t="s">
        <v>1940</v>
      </c>
      <c r="S241" s="179"/>
    </row>
    <row r="242" spans="1:19" s="167" customFormat="1" ht="47.25" hidden="1" customHeight="1">
      <c r="A242" s="160" t="s">
        <v>1249</v>
      </c>
      <c r="B242" s="163" t="s">
        <v>2146</v>
      </c>
      <c r="C242" s="178" t="s">
        <v>2149</v>
      </c>
      <c r="D242" s="163" t="s">
        <v>822</v>
      </c>
      <c r="E242" s="700"/>
      <c r="F242" s="164"/>
      <c r="G242" s="164"/>
      <c r="H242" s="164">
        <v>7</v>
      </c>
      <c r="I242" s="164"/>
      <c r="J242" s="164"/>
      <c r="K242" s="164"/>
      <c r="L242" s="164"/>
      <c r="M242" s="164"/>
      <c r="N242" s="164"/>
      <c r="O242" s="164">
        <f t="shared" si="34"/>
        <v>7</v>
      </c>
      <c r="P242" s="618">
        <f>92.82*1.245</f>
        <v>115.5609</v>
      </c>
      <c r="Q242" s="177">
        <f t="shared" si="30"/>
        <v>808.92</v>
      </c>
      <c r="R242" s="167" t="s">
        <v>1940</v>
      </c>
      <c r="S242" s="179"/>
    </row>
    <row r="243" spans="1:19" s="167" customFormat="1" ht="39" hidden="1" customHeight="1">
      <c r="A243" s="160" t="s">
        <v>1250</v>
      </c>
      <c r="B243" s="163" t="s">
        <v>2147</v>
      </c>
      <c r="C243" s="178" t="s">
        <v>2148</v>
      </c>
      <c r="D243" s="163" t="s">
        <v>822</v>
      </c>
      <c r="E243" s="700">
        <v>7</v>
      </c>
      <c r="F243" s="164"/>
      <c r="G243" s="164"/>
      <c r="H243" s="164">
        <v>7</v>
      </c>
      <c r="I243" s="164"/>
      <c r="J243" s="164"/>
      <c r="K243" s="164"/>
      <c r="L243" s="164"/>
      <c r="M243" s="164"/>
      <c r="N243" s="164"/>
      <c r="O243" s="164">
        <f t="shared" si="34"/>
        <v>14</v>
      </c>
      <c r="P243" s="618">
        <f>137.95*1.245</f>
        <v>171.74775</v>
      </c>
      <c r="Q243" s="177">
        <f t="shared" si="30"/>
        <v>2404.46</v>
      </c>
      <c r="R243" s="167" t="s">
        <v>1940</v>
      </c>
      <c r="S243" s="179"/>
    </row>
    <row r="244" spans="1:19" s="167" customFormat="1" ht="39.75" hidden="1" customHeight="1">
      <c r="A244" s="160" t="s">
        <v>1251</v>
      </c>
      <c r="B244" s="163" t="s">
        <v>2144</v>
      </c>
      <c r="C244" s="178" t="s">
        <v>2145</v>
      </c>
      <c r="D244" s="163" t="s">
        <v>822</v>
      </c>
      <c r="E244" s="700"/>
      <c r="F244" s="164"/>
      <c r="G244" s="164"/>
      <c r="H244" s="164">
        <v>7</v>
      </c>
      <c r="I244" s="164"/>
      <c r="J244" s="164"/>
      <c r="K244" s="164"/>
      <c r="L244" s="164"/>
      <c r="M244" s="164"/>
      <c r="N244" s="164"/>
      <c r="O244" s="164">
        <f t="shared" si="34"/>
        <v>7</v>
      </c>
      <c r="P244" s="618">
        <f>49.04*1.245</f>
        <v>61.054800000000007</v>
      </c>
      <c r="Q244" s="177">
        <f t="shared" si="30"/>
        <v>427.38</v>
      </c>
      <c r="R244" s="167" t="s">
        <v>1940</v>
      </c>
      <c r="S244" s="179"/>
    </row>
    <row r="245" spans="1:19" s="167" customFormat="1" ht="39" hidden="1" customHeight="1">
      <c r="A245" s="160" t="s">
        <v>1252</v>
      </c>
      <c r="B245" s="163" t="s">
        <v>1293</v>
      </c>
      <c r="C245" s="178" t="s">
        <v>1313</v>
      </c>
      <c r="D245" s="163" t="s">
        <v>822</v>
      </c>
      <c r="E245" s="700"/>
      <c r="F245" s="164"/>
      <c r="G245" s="164"/>
      <c r="H245" s="164">
        <f>1+1</f>
        <v>2</v>
      </c>
      <c r="I245" s="164"/>
      <c r="J245" s="164"/>
      <c r="K245" s="164"/>
      <c r="L245" s="164"/>
      <c r="M245" s="164"/>
      <c r="N245" s="164"/>
      <c r="O245" s="164">
        <f t="shared" si="34"/>
        <v>2</v>
      </c>
      <c r="P245" s="176">
        <f>68.3*1.245</f>
        <v>85.033500000000004</v>
      </c>
      <c r="Q245" s="177">
        <f t="shared" si="30"/>
        <v>170.06</v>
      </c>
      <c r="R245" s="167" t="s">
        <v>1940</v>
      </c>
      <c r="S245" s="179"/>
    </row>
    <row r="246" spans="1:19" s="167" customFormat="1" ht="24.75" hidden="1" customHeight="1">
      <c r="A246" s="160" t="s">
        <v>1296</v>
      </c>
      <c r="B246" s="1070" t="s">
        <v>2168</v>
      </c>
      <c r="C246" s="178" t="s">
        <v>1294</v>
      </c>
      <c r="D246" s="163" t="s">
        <v>822</v>
      </c>
      <c r="E246" s="700">
        <f>1+1</f>
        <v>2</v>
      </c>
      <c r="F246" s="164"/>
      <c r="G246" s="164"/>
      <c r="H246" s="164"/>
      <c r="I246" s="164"/>
      <c r="J246" s="164"/>
      <c r="K246" s="164"/>
      <c r="L246" s="164"/>
      <c r="M246" s="164"/>
      <c r="N246" s="164"/>
      <c r="O246" s="164">
        <f t="shared" si="34"/>
        <v>2</v>
      </c>
      <c r="P246" s="176">
        <f>COMPOSIÇÕES!B1786</f>
        <v>2674.6584000000003</v>
      </c>
      <c r="Q246" s="177">
        <f t="shared" si="30"/>
        <v>5349.31</v>
      </c>
      <c r="R246" s="971" t="s">
        <v>886</v>
      </c>
      <c r="S246" s="179"/>
    </row>
    <row r="247" spans="1:19" s="167" customFormat="1" ht="35.25" hidden="1" customHeight="1">
      <c r="A247" s="160" t="s">
        <v>1297</v>
      </c>
      <c r="B247" s="161" t="s">
        <v>2455</v>
      </c>
      <c r="C247" s="178" t="s">
        <v>1295</v>
      </c>
      <c r="D247" s="169" t="s">
        <v>1225</v>
      </c>
      <c r="E247" s="699">
        <f>1+1</f>
        <v>2</v>
      </c>
      <c r="F247" s="164"/>
      <c r="G247" s="164"/>
      <c r="H247" s="164"/>
      <c r="I247" s="164"/>
      <c r="J247" s="164"/>
      <c r="K247" s="164"/>
      <c r="L247" s="164"/>
      <c r="M247" s="164"/>
      <c r="N247" s="164"/>
      <c r="O247" s="164">
        <f t="shared" si="34"/>
        <v>2</v>
      </c>
      <c r="P247" s="774">
        <f>COMPOSIÇÕES!B1804</f>
        <v>524.65544999999986</v>
      </c>
      <c r="Q247" s="166">
        <f t="shared" si="30"/>
        <v>1049.31</v>
      </c>
      <c r="R247" s="167" t="s">
        <v>886</v>
      </c>
      <c r="S247" s="179"/>
    </row>
    <row r="248" spans="1:19" s="167" customFormat="1" ht="55.5" hidden="1" customHeight="1">
      <c r="A248" s="160" t="s">
        <v>1427</v>
      </c>
      <c r="B248" s="183" t="s">
        <v>1234</v>
      </c>
      <c r="C248" s="184" t="s">
        <v>1264</v>
      </c>
      <c r="D248" s="185" t="s">
        <v>1225</v>
      </c>
      <c r="E248" s="772">
        <f>1+1</f>
        <v>2</v>
      </c>
      <c r="F248" s="186"/>
      <c r="G248" s="186"/>
      <c r="H248" s="186"/>
      <c r="I248" s="186"/>
      <c r="J248" s="186"/>
      <c r="K248" s="186"/>
      <c r="L248" s="186"/>
      <c r="M248" s="186"/>
      <c r="N248" s="186"/>
      <c r="O248" s="190">
        <f t="shared" si="34"/>
        <v>2</v>
      </c>
      <c r="P248" s="187">
        <f>COMPOSIÇÕES!B2025</f>
        <v>356.85480000000007</v>
      </c>
      <c r="Q248" s="250">
        <f t="shared" si="30"/>
        <v>713.7</v>
      </c>
      <c r="R248" s="167" t="s">
        <v>886</v>
      </c>
      <c r="S248" s="179"/>
    </row>
    <row r="249" spans="1:19" s="167" customFormat="1" ht="36" hidden="1" customHeight="1">
      <c r="A249" s="160" t="s">
        <v>1428</v>
      </c>
      <c r="B249" s="277" t="s">
        <v>1230</v>
      </c>
      <c r="C249" s="178" t="s">
        <v>1231</v>
      </c>
      <c r="D249" s="169" t="s">
        <v>1225</v>
      </c>
      <c r="E249" s="699">
        <f>2+2</f>
        <v>4</v>
      </c>
      <c r="F249" s="164"/>
      <c r="G249" s="164"/>
      <c r="H249" s="164"/>
      <c r="I249" s="164"/>
      <c r="J249" s="164"/>
      <c r="K249" s="164"/>
      <c r="L249" s="164"/>
      <c r="M249" s="164"/>
      <c r="N249" s="164"/>
      <c r="O249" s="164">
        <f t="shared" si="34"/>
        <v>4</v>
      </c>
      <c r="P249" s="165">
        <f>56.79*1.245</f>
        <v>70.703550000000007</v>
      </c>
      <c r="Q249" s="250">
        <f t="shared" si="30"/>
        <v>282.81</v>
      </c>
      <c r="R249" s="167" t="s">
        <v>1940</v>
      </c>
      <c r="S249" s="179"/>
    </row>
    <row r="250" spans="1:19" s="167" customFormat="1" ht="38.25" hidden="1" customHeight="1">
      <c r="A250" s="160" t="s">
        <v>1429</v>
      </c>
      <c r="B250" s="277" t="s">
        <v>1960</v>
      </c>
      <c r="C250" s="178" t="s">
        <v>1961</v>
      </c>
      <c r="D250" s="169" t="s">
        <v>1225</v>
      </c>
      <c r="E250" s="699">
        <v>14</v>
      </c>
      <c r="F250" s="164"/>
      <c r="G250" s="164"/>
      <c r="H250" s="164"/>
      <c r="I250" s="164"/>
      <c r="J250" s="164"/>
      <c r="K250" s="164"/>
      <c r="L250" s="164"/>
      <c r="M250" s="164"/>
      <c r="N250" s="164"/>
      <c r="O250" s="164">
        <f t="shared" si="34"/>
        <v>14</v>
      </c>
      <c r="P250" s="275">
        <f>35.38*1.245</f>
        <v>44.048100000000005</v>
      </c>
      <c r="Q250" s="166">
        <f t="shared" si="30"/>
        <v>616.66999999999996</v>
      </c>
      <c r="R250" s="971" t="s">
        <v>1940</v>
      </c>
      <c r="S250" s="179"/>
    </row>
    <row r="251" spans="1:19" s="167" customFormat="1" ht="32.1" hidden="1" customHeight="1">
      <c r="A251" s="160" t="s">
        <v>1430</v>
      </c>
      <c r="B251" s="163" t="s">
        <v>1956</v>
      </c>
      <c r="C251" s="178" t="s">
        <v>1957</v>
      </c>
      <c r="D251" s="163" t="s">
        <v>111</v>
      </c>
      <c r="E251" s="700">
        <v>4</v>
      </c>
      <c r="F251" s="186"/>
      <c r="G251" s="186"/>
      <c r="H251" s="186"/>
      <c r="I251" s="186"/>
      <c r="J251" s="186"/>
      <c r="K251" s="186"/>
      <c r="L251" s="186"/>
      <c r="M251" s="186"/>
      <c r="N251" s="186"/>
      <c r="O251" s="164">
        <f t="shared" si="34"/>
        <v>4</v>
      </c>
      <c r="P251" s="176">
        <f>COMPOSIÇÕES!B1568</f>
        <v>72.807600000000008</v>
      </c>
      <c r="Q251" s="177">
        <f t="shared" si="30"/>
        <v>291.23</v>
      </c>
      <c r="R251" s="167" t="s">
        <v>886</v>
      </c>
      <c r="S251" s="179"/>
    </row>
    <row r="252" spans="1:19" s="167" customFormat="1" ht="37.5" hidden="1" customHeight="1">
      <c r="A252" s="160" t="s">
        <v>2205</v>
      </c>
      <c r="B252" s="163" t="s">
        <v>1315</v>
      </c>
      <c r="C252" s="178" t="s">
        <v>1316</v>
      </c>
      <c r="D252" s="163" t="s">
        <v>822</v>
      </c>
      <c r="E252" s="700"/>
      <c r="F252" s="164"/>
      <c r="G252" s="164"/>
      <c r="H252" s="164">
        <v>2</v>
      </c>
      <c r="I252" s="164"/>
      <c r="J252" s="164"/>
      <c r="K252" s="164"/>
      <c r="L252" s="164"/>
      <c r="M252" s="164"/>
      <c r="N252" s="164"/>
      <c r="O252" s="164">
        <f t="shared" si="34"/>
        <v>2</v>
      </c>
      <c r="P252" s="176">
        <f>103.2*1.245</f>
        <v>128.48400000000001</v>
      </c>
      <c r="Q252" s="177">
        <f t="shared" si="30"/>
        <v>256.95999999999998</v>
      </c>
      <c r="R252" s="167" t="s">
        <v>1940</v>
      </c>
      <c r="S252" s="179"/>
    </row>
    <row r="253" spans="1:19" s="167" customFormat="1" ht="35.25" hidden="1" customHeight="1">
      <c r="A253" s="160" t="s">
        <v>2206</v>
      </c>
      <c r="B253" s="163" t="s">
        <v>384</v>
      </c>
      <c r="C253" s="178" t="s">
        <v>1317</v>
      </c>
      <c r="D253" s="163" t="s">
        <v>12</v>
      </c>
      <c r="E253" s="700">
        <f>((2.5*0.9)*2)*2</f>
        <v>9</v>
      </c>
      <c r="F253" s="164"/>
      <c r="G253" s="164"/>
      <c r="H253" s="164">
        <f>0.5*0.9*2</f>
        <v>0.9</v>
      </c>
      <c r="I253" s="164"/>
      <c r="J253" s="164"/>
      <c r="K253" s="164"/>
      <c r="L253" s="164"/>
      <c r="M253" s="164"/>
      <c r="N253" s="164"/>
      <c r="O253" s="164">
        <f t="shared" si="34"/>
        <v>9.9</v>
      </c>
      <c r="P253" s="176">
        <f>356.31*1.245</f>
        <v>443.60595000000006</v>
      </c>
      <c r="Q253" s="177">
        <f t="shared" si="30"/>
        <v>4391.6899999999996</v>
      </c>
      <c r="R253" s="167" t="s">
        <v>1940</v>
      </c>
      <c r="S253" s="179"/>
    </row>
    <row r="254" spans="1:19" s="167" customFormat="1" ht="78" hidden="1" customHeight="1">
      <c r="A254" s="160" t="s">
        <v>2207</v>
      </c>
      <c r="B254" s="277" t="s">
        <v>1236</v>
      </c>
      <c r="C254" s="197" t="s">
        <v>1265</v>
      </c>
      <c r="D254" s="169" t="s">
        <v>1225</v>
      </c>
      <c r="E254" s="773">
        <v>5</v>
      </c>
      <c r="F254" s="309"/>
      <c r="G254" s="309"/>
      <c r="H254" s="309"/>
      <c r="I254" s="309"/>
      <c r="J254" s="309"/>
      <c r="K254" s="309"/>
      <c r="L254" s="309"/>
      <c r="M254" s="309"/>
      <c r="N254" s="309"/>
      <c r="O254" s="164">
        <f t="shared" si="34"/>
        <v>5</v>
      </c>
      <c r="P254" s="861">
        <f>COMPOSIÇÕES!B1586</f>
        <v>301.46430000000004</v>
      </c>
      <c r="Q254" s="786">
        <f t="shared" si="30"/>
        <v>1507.32</v>
      </c>
      <c r="R254" s="167" t="s">
        <v>886</v>
      </c>
      <c r="S254" s="179"/>
    </row>
    <row r="255" spans="1:19" s="167" customFormat="1" ht="69.75" hidden="1" customHeight="1">
      <c r="A255" s="160" t="s">
        <v>2208</v>
      </c>
      <c r="B255" s="277" t="s">
        <v>1235</v>
      </c>
      <c r="C255" s="197" t="s">
        <v>1238</v>
      </c>
      <c r="D255" s="169" t="s">
        <v>1225</v>
      </c>
      <c r="E255" s="773">
        <v>2</v>
      </c>
      <c r="F255" s="309"/>
      <c r="G255" s="309"/>
      <c r="H255" s="309"/>
      <c r="I255" s="309"/>
      <c r="J255" s="309"/>
      <c r="K255" s="309"/>
      <c r="L255" s="309"/>
      <c r="M255" s="309"/>
      <c r="N255" s="309"/>
      <c r="O255" s="164">
        <f t="shared" si="34"/>
        <v>2</v>
      </c>
      <c r="P255" s="861">
        <f>COMPOSIÇÕES!B1604</f>
        <v>285.45359999999999</v>
      </c>
      <c r="Q255" s="786">
        <f t="shared" si="30"/>
        <v>570.9</v>
      </c>
      <c r="R255" s="167" t="s">
        <v>886</v>
      </c>
      <c r="S255" s="179"/>
    </row>
    <row r="256" spans="1:19" s="167" customFormat="1" ht="72.75" hidden="1" customHeight="1">
      <c r="A256" s="160" t="s">
        <v>2481</v>
      </c>
      <c r="B256" s="271" t="s">
        <v>1237</v>
      </c>
      <c r="C256" s="197" t="s">
        <v>1974</v>
      </c>
      <c r="D256" s="169" t="s">
        <v>1225</v>
      </c>
      <c r="E256" s="773">
        <v>2</v>
      </c>
      <c r="F256" s="309"/>
      <c r="G256" s="309"/>
      <c r="H256" s="309"/>
      <c r="I256" s="309"/>
      <c r="J256" s="309"/>
      <c r="K256" s="309"/>
      <c r="L256" s="309"/>
      <c r="M256" s="309"/>
      <c r="N256" s="309"/>
      <c r="O256" s="164">
        <f t="shared" si="34"/>
        <v>2</v>
      </c>
      <c r="P256" s="861">
        <f>COMPOSIÇÕES!B1622</f>
        <v>261.38775000000004</v>
      </c>
      <c r="Q256" s="786">
        <f t="shared" si="30"/>
        <v>522.77</v>
      </c>
      <c r="R256" s="167" t="s">
        <v>886</v>
      </c>
      <c r="S256" s="179"/>
    </row>
    <row r="257" spans="1:19" s="167" customFormat="1" ht="72.75" hidden="1" customHeight="1">
      <c r="A257" s="160" t="s">
        <v>2482</v>
      </c>
      <c r="B257" s="277" t="s">
        <v>1239</v>
      </c>
      <c r="C257" s="197" t="s">
        <v>2398</v>
      </c>
      <c r="D257" s="169" t="s">
        <v>1225</v>
      </c>
      <c r="E257" s="773">
        <v>2</v>
      </c>
      <c r="F257" s="309"/>
      <c r="G257" s="309"/>
      <c r="H257" s="309"/>
      <c r="I257" s="309"/>
      <c r="J257" s="309"/>
      <c r="K257" s="309"/>
      <c r="L257" s="309"/>
      <c r="M257" s="309"/>
      <c r="N257" s="309"/>
      <c r="O257" s="164">
        <f t="shared" si="34"/>
        <v>2</v>
      </c>
      <c r="P257" s="972">
        <f>COMPOSIÇÕES!B1640</f>
        <v>1159.7299499999999</v>
      </c>
      <c r="Q257" s="786">
        <f t="shared" si="30"/>
        <v>2319.4499999999998</v>
      </c>
      <c r="R257" s="167" t="s">
        <v>886</v>
      </c>
      <c r="S257" s="179"/>
    </row>
    <row r="258" spans="1:19" s="167" customFormat="1" ht="33.75" hidden="1" customHeight="1">
      <c r="A258" s="1155"/>
      <c r="B258" s="1160"/>
      <c r="C258" s="1164" t="s">
        <v>2326</v>
      </c>
      <c r="D258" s="304"/>
      <c r="E258" s="1161"/>
      <c r="F258" s="1162"/>
      <c r="G258" s="1162"/>
      <c r="H258" s="1162"/>
      <c r="I258" s="1162"/>
      <c r="J258" s="1162"/>
      <c r="K258" s="1162"/>
      <c r="L258" s="1162"/>
      <c r="M258" s="1162"/>
      <c r="N258" s="1162"/>
      <c r="O258" s="305"/>
      <c r="P258" s="1163"/>
      <c r="Q258" s="1173">
        <f>SUM(Q223:Q257)</f>
        <v>84530.319999999992</v>
      </c>
      <c r="S258" s="179"/>
    </row>
    <row r="259" spans="1:19" s="167" customFormat="1" ht="32.1" hidden="1" customHeight="1">
      <c r="A259" s="222" t="s">
        <v>524</v>
      </c>
      <c r="B259" s="293"/>
      <c r="C259" s="218" t="s">
        <v>525</v>
      </c>
      <c r="D259" s="279"/>
      <c r="E259" s="734"/>
      <c r="F259" s="281"/>
      <c r="G259" s="281"/>
      <c r="H259" s="281"/>
      <c r="I259" s="281"/>
      <c r="J259" s="281"/>
      <c r="K259" s="281"/>
      <c r="L259" s="281"/>
      <c r="M259" s="281"/>
      <c r="N259" s="281"/>
      <c r="O259" s="281"/>
      <c r="P259" s="282"/>
      <c r="Q259" s="283"/>
      <c r="S259" s="179"/>
    </row>
    <row r="260" spans="1:19" s="167" customFormat="1" ht="36.75" hidden="1" customHeight="1">
      <c r="A260" s="160" t="s">
        <v>2209</v>
      </c>
      <c r="B260" s="161" t="s">
        <v>427</v>
      </c>
      <c r="C260" s="272" t="s">
        <v>2275</v>
      </c>
      <c r="D260" s="169" t="s">
        <v>4</v>
      </c>
      <c r="E260" s="732">
        <v>56.86</v>
      </c>
      <c r="F260" s="164"/>
      <c r="G260" s="164"/>
      <c r="H260" s="164"/>
      <c r="I260" s="164"/>
      <c r="J260" s="164"/>
      <c r="K260" s="164"/>
      <c r="L260" s="164"/>
      <c r="M260" s="164"/>
      <c r="N260" s="164"/>
      <c r="O260" s="164">
        <f t="shared" ref="O260:O278" si="35">SUM(E260:N260)</f>
        <v>56.86</v>
      </c>
      <c r="P260" s="165">
        <f>COMPOSIÇÕES!B1438</f>
        <v>44.097900000000003</v>
      </c>
      <c r="Q260" s="166">
        <f t="shared" si="30"/>
        <v>2507.4</v>
      </c>
      <c r="R260" s="167" t="s">
        <v>886</v>
      </c>
      <c r="S260" s="179"/>
    </row>
    <row r="261" spans="1:19" s="167" customFormat="1" ht="36.75" hidden="1" customHeight="1">
      <c r="A261" s="1155"/>
      <c r="B261" s="1160"/>
      <c r="C261" s="1165" t="s">
        <v>2325</v>
      </c>
      <c r="D261" s="304"/>
      <c r="E261" s="747"/>
      <c r="F261" s="305"/>
      <c r="G261" s="305"/>
      <c r="H261" s="305"/>
      <c r="I261" s="305"/>
      <c r="J261" s="305"/>
      <c r="K261" s="305"/>
      <c r="L261" s="305"/>
      <c r="M261" s="305"/>
      <c r="N261" s="305"/>
      <c r="O261" s="305"/>
      <c r="P261" s="306"/>
      <c r="Q261" s="1171">
        <f>Q260</f>
        <v>2507.4</v>
      </c>
      <c r="S261" s="179"/>
    </row>
    <row r="262" spans="1:19" s="167" customFormat="1" ht="30" hidden="1" customHeight="1">
      <c r="A262" s="222" t="s">
        <v>526</v>
      </c>
      <c r="B262" s="293"/>
      <c r="C262" s="280" t="s">
        <v>527</v>
      </c>
      <c r="D262" s="279"/>
      <c r="E262" s="734"/>
      <c r="F262" s="281"/>
      <c r="G262" s="281"/>
      <c r="H262" s="281"/>
      <c r="I262" s="281"/>
      <c r="J262" s="281"/>
      <c r="K262" s="281"/>
      <c r="L262" s="281"/>
      <c r="M262" s="281"/>
      <c r="N262" s="281"/>
      <c r="O262" s="281"/>
      <c r="P262" s="282"/>
      <c r="Q262" s="297"/>
      <c r="S262" s="179"/>
    </row>
    <row r="263" spans="1:19" s="167" customFormat="1" ht="69" hidden="1" customHeight="1">
      <c r="A263" s="160" t="s">
        <v>528</v>
      </c>
      <c r="B263" s="277" t="s">
        <v>1997</v>
      </c>
      <c r="C263" s="178" t="s">
        <v>1996</v>
      </c>
      <c r="D263" s="169" t="s">
        <v>822</v>
      </c>
      <c r="E263" s="732"/>
      <c r="F263" s="164"/>
      <c r="G263" s="164"/>
      <c r="H263" s="164"/>
      <c r="I263" s="164"/>
      <c r="J263" s="164"/>
      <c r="K263" s="164"/>
      <c r="L263" s="164"/>
      <c r="M263" s="164"/>
      <c r="N263" s="164">
        <v>4</v>
      </c>
      <c r="O263" s="164">
        <f t="shared" si="35"/>
        <v>4</v>
      </c>
      <c r="P263" s="165">
        <f>909.02*1.245</f>
        <v>1131.7299</v>
      </c>
      <c r="Q263" s="980">
        <f t="shared" ref="Q263:Q279" si="36">TRUNC(O263*P263,2)</f>
        <v>4526.91</v>
      </c>
      <c r="R263" s="167" t="s">
        <v>1940</v>
      </c>
      <c r="S263" s="179"/>
    </row>
    <row r="264" spans="1:19" s="167" customFormat="1" ht="40.5" hidden="1" customHeight="1">
      <c r="A264" s="160" t="s">
        <v>529</v>
      </c>
      <c r="B264" s="277" t="s">
        <v>2394</v>
      </c>
      <c r="C264" s="178" t="s">
        <v>2395</v>
      </c>
      <c r="D264" s="169" t="s">
        <v>822</v>
      </c>
      <c r="E264" s="732"/>
      <c r="F264" s="164"/>
      <c r="G264" s="164"/>
      <c r="H264" s="164"/>
      <c r="I264" s="164"/>
      <c r="J264" s="164"/>
      <c r="K264" s="164"/>
      <c r="L264" s="164"/>
      <c r="M264" s="164"/>
      <c r="N264" s="164">
        <v>1</v>
      </c>
      <c r="O264" s="164">
        <f t="shared" si="35"/>
        <v>1</v>
      </c>
      <c r="P264" s="165">
        <f>1820.83*1.245</f>
        <v>2266.9333500000002</v>
      </c>
      <c r="Q264" s="980">
        <f t="shared" si="36"/>
        <v>2266.9299999999998</v>
      </c>
      <c r="R264" s="167" t="s">
        <v>1940</v>
      </c>
      <c r="S264" s="179"/>
    </row>
    <row r="265" spans="1:19" s="167" customFormat="1" ht="33" hidden="1" customHeight="1">
      <c r="A265" s="160" t="s">
        <v>530</v>
      </c>
      <c r="B265" s="277" t="s">
        <v>2091</v>
      </c>
      <c r="C265" s="178" t="s">
        <v>1998</v>
      </c>
      <c r="D265" s="169" t="s">
        <v>822</v>
      </c>
      <c r="E265" s="732"/>
      <c r="F265" s="164"/>
      <c r="G265" s="164"/>
      <c r="H265" s="164"/>
      <c r="I265" s="164"/>
      <c r="J265" s="164"/>
      <c r="K265" s="164"/>
      <c r="L265" s="164"/>
      <c r="M265" s="164"/>
      <c r="N265" s="164">
        <v>2</v>
      </c>
      <c r="O265" s="164">
        <f t="shared" si="35"/>
        <v>2</v>
      </c>
      <c r="P265" s="165">
        <f>274.71*1.245</f>
        <v>342.01395000000002</v>
      </c>
      <c r="Q265" s="980">
        <f t="shared" si="36"/>
        <v>684.02</v>
      </c>
      <c r="R265" s="167" t="s">
        <v>1940</v>
      </c>
      <c r="S265" s="179"/>
    </row>
    <row r="266" spans="1:19" s="167" customFormat="1" ht="30" hidden="1" customHeight="1">
      <c r="A266" s="160" t="s">
        <v>531</v>
      </c>
      <c r="B266" s="169" t="s">
        <v>2000</v>
      </c>
      <c r="C266" s="309" t="s">
        <v>1999</v>
      </c>
      <c r="D266" s="169" t="s">
        <v>822</v>
      </c>
      <c r="E266" s="169"/>
      <c r="F266" s="309"/>
      <c r="G266" s="309"/>
      <c r="H266" s="309"/>
      <c r="I266" s="309"/>
      <c r="J266" s="309"/>
      <c r="K266" s="309"/>
      <c r="L266" s="309"/>
      <c r="M266" s="309"/>
      <c r="N266" s="983">
        <v>11</v>
      </c>
      <c r="O266" s="164">
        <f t="shared" si="35"/>
        <v>11</v>
      </c>
      <c r="P266" s="982">
        <f>140.79*1.245</f>
        <v>175.28354999999999</v>
      </c>
      <c r="Q266" s="981">
        <f>TRUNC(O266*P266,2)</f>
        <v>1928.11</v>
      </c>
      <c r="R266" s="167" t="s">
        <v>1940</v>
      </c>
      <c r="S266" s="179"/>
    </row>
    <row r="267" spans="1:19" s="167" customFormat="1" ht="33" hidden="1" customHeight="1">
      <c r="A267" s="160" t="s">
        <v>532</v>
      </c>
      <c r="B267" s="277" t="s">
        <v>2313</v>
      </c>
      <c r="C267" s="197" t="s">
        <v>2003</v>
      </c>
      <c r="D267" s="169" t="s">
        <v>822</v>
      </c>
      <c r="E267" s="732"/>
      <c r="F267" s="164"/>
      <c r="G267" s="164"/>
      <c r="H267" s="164"/>
      <c r="I267" s="164"/>
      <c r="J267" s="164"/>
      <c r="K267" s="164"/>
      <c r="L267" s="164"/>
      <c r="M267" s="164"/>
      <c r="N267" s="164">
        <v>21</v>
      </c>
      <c r="O267" s="164">
        <f t="shared" si="35"/>
        <v>21</v>
      </c>
      <c r="P267" s="165">
        <f>139.06*1.245</f>
        <v>173.12970000000001</v>
      </c>
      <c r="Q267" s="981">
        <f t="shared" ref="Q267:Q278" si="37">TRUNC(O267*P267,2)</f>
        <v>3635.72</v>
      </c>
      <c r="R267" s="167" t="s">
        <v>1940</v>
      </c>
      <c r="S267" s="179"/>
    </row>
    <row r="268" spans="1:19" s="167" customFormat="1" ht="30" hidden="1" customHeight="1">
      <c r="A268" s="160" t="s">
        <v>533</v>
      </c>
      <c r="B268" s="277" t="s">
        <v>2314</v>
      </c>
      <c r="C268" s="178" t="s">
        <v>2312</v>
      </c>
      <c r="D268" s="169" t="s">
        <v>822</v>
      </c>
      <c r="E268" s="732"/>
      <c r="F268" s="164"/>
      <c r="G268" s="164"/>
      <c r="H268" s="164"/>
      <c r="I268" s="164"/>
      <c r="J268" s="164"/>
      <c r="K268" s="164"/>
      <c r="L268" s="164"/>
      <c r="M268" s="164"/>
      <c r="N268" s="164">
        <v>39</v>
      </c>
      <c r="O268" s="164">
        <f t="shared" si="35"/>
        <v>39</v>
      </c>
      <c r="P268" s="165">
        <f>35.57*1.245</f>
        <v>44.284650000000006</v>
      </c>
      <c r="Q268" s="981">
        <f t="shared" si="37"/>
        <v>1727.1</v>
      </c>
      <c r="R268" s="167" t="s">
        <v>1940</v>
      </c>
      <c r="S268" s="179"/>
    </row>
    <row r="269" spans="1:19" s="167" customFormat="1" ht="40.5" hidden="1" customHeight="1">
      <c r="A269" s="160" t="s">
        <v>2006</v>
      </c>
      <c r="B269" s="277" t="s">
        <v>2002</v>
      </c>
      <c r="C269" s="178" t="s">
        <v>2001</v>
      </c>
      <c r="D269" s="169" t="s">
        <v>822</v>
      </c>
      <c r="E269" s="732"/>
      <c r="F269" s="164"/>
      <c r="G269" s="164"/>
      <c r="H269" s="164"/>
      <c r="I269" s="164"/>
      <c r="J269" s="164"/>
      <c r="K269" s="164"/>
      <c r="L269" s="164"/>
      <c r="M269" s="164"/>
      <c r="N269" s="164">
        <v>11</v>
      </c>
      <c r="O269" s="164">
        <f t="shared" si="35"/>
        <v>11</v>
      </c>
      <c r="P269" s="165">
        <f>151.76*1.245</f>
        <v>188.94120000000001</v>
      </c>
      <c r="Q269" s="981">
        <f t="shared" si="37"/>
        <v>2078.35</v>
      </c>
      <c r="R269" s="167" t="s">
        <v>1940</v>
      </c>
      <c r="S269" s="179"/>
    </row>
    <row r="270" spans="1:19" s="167" customFormat="1" ht="30" hidden="1" customHeight="1">
      <c r="A270" s="160" t="s">
        <v>2007</v>
      </c>
      <c r="B270" s="277" t="s">
        <v>1796</v>
      </c>
      <c r="C270" s="178" t="s">
        <v>1797</v>
      </c>
      <c r="D270" s="169" t="s">
        <v>858</v>
      </c>
      <c r="E270" s="732"/>
      <c r="F270" s="164"/>
      <c r="G270" s="164"/>
      <c r="H270" s="164"/>
      <c r="I270" s="164"/>
      <c r="J270" s="164"/>
      <c r="K270" s="164"/>
      <c r="L270" s="164"/>
      <c r="M270" s="164"/>
      <c r="N270" s="164">
        <f>33+29.5</f>
        <v>62.5</v>
      </c>
      <c r="O270" s="164">
        <f t="shared" ref="O270:O279" si="38">SUM(E270:N270)</f>
        <v>62.5</v>
      </c>
      <c r="P270" s="165">
        <f>COMPOSIÇÕES!B1100</f>
        <v>21.9618</v>
      </c>
      <c r="Q270" s="981">
        <f t="shared" si="37"/>
        <v>1372.61</v>
      </c>
      <c r="R270" s="167" t="s">
        <v>886</v>
      </c>
      <c r="S270" s="179"/>
    </row>
    <row r="271" spans="1:19" s="167" customFormat="1" ht="32.25" hidden="1" customHeight="1">
      <c r="A271" s="160" t="s">
        <v>2008</v>
      </c>
      <c r="B271" s="169" t="s">
        <v>2315</v>
      </c>
      <c r="C271" s="197" t="s">
        <v>2004</v>
      </c>
      <c r="D271" s="169" t="s">
        <v>822</v>
      </c>
      <c r="E271" s="309"/>
      <c r="F271" s="309"/>
      <c r="G271" s="309"/>
      <c r="H271" s="309"/>
      <c r="I271" s="309"/>
      <c r="J271" s="309"/>
      <c r="K271" s="309"/>
      <c r="L271" s="309"/>
      <c r="M271" s="309"/>
      <c r="N271" s="983">
        <v>1</v>
      </c>
      <c r="O271" s="983">
        <f t="shared" si="35"/>
        <v>1</v>
      </c>
      <c r="P271" s="983">
        <f>451.52*1.245</f>
        <v>562.14240000000007</v>
      </c>
      <c r="Q271" s="981">
        <f t="shared" si="37"/>
        <v>562.14</v>
      </c>
      <c r="R271" s="167" t="s">
        <v>1940</v>
      </c>
      <c r="S271" s="179"/>
    </row>
    <row r="272" spans="1:19" s="167" customFormat="1" ht="53.25" hidden="1" customHeight="1">
      <c r="A272" s="160" t="s">
        <v>2009</v>
      </c>
      <c r="B272" s="169" t="s">
        <v>2354</v>
      </c>
      <c r="C272" s="197" t="s">
        <v>2355</v>
      </c>
      <c r="D272" s="169" t="s">
        <v>346</v>
      </c>
      <c r="E272" s="309"/>
      <c r="F272" s="309"/>
      <c r="G272" s="309"/>
      <c r="H272" s="309"/>
      <c r="I272" s="309"/>
      <c r="J272" s="309"/>
      <c r="K272" s="309"/>
      <c r="L272" s="309"/>
      <c r="M272" s="309"/>
      <c r="N272" s="983">
        <f>150+50</f>
        <v>200</v>
      </c>
      <c r="O272" s="983">
        <f t="shared" si="35"/>
        <v>200</v>
      </c>
      <c r="P272" s="983">
        <f>83.87*1.245</f>
        <v>104.41815000000001</v>
      </c>
      <c r="Q272" s="981">
        <f t="shared" si="37"/>
        <v>20883.63</v>
      </c>
      <c r="R272" s="167" t="s">
        <v>1940</v>
      </c>
      <c r="S272" s="179"/>
    </row>
    <row r="273" spans="1:19" s="167" customFormat="1" ht="37.5" hidden="1" customHeight="1">
      <c r="A273" s="160" t="s">
        <v>2010</v>
      </c>
      <c r="B273" s="273" t="s">
        <v>2367</v>
      </c>
      <c r="C273" s="272" t="s">
        <v>2357</v>
      </c>
      <c r="D273" s="169" t="s">
        <v>346</v>
      </c>
      <c r="E273" s="309"/>
      <c r="F273" s="309"/>
      <c r="G273" s="309"/>
      <c r="H273" s="309"/>
      <c r="I273" s="309"/>
      <c r="J273" s="309"/>
      <c r="K273" s="309"/>
      <c r="L273" s="309"/>
      <c r="M273" s="309"/>
      <c r="N273" s="983">
        <v>150</v>
      </c>
      <c r="O273" s="983">
        <f t="shared" si="35"/>
        <v>150</v>
      </c>
      <c r="P273" s="983">
        <f>COMPOSIÇÕES!B1242</f>
        <v>27.141000000000002</v>
      </c>
      <c r="Q273" s="981">
        <f t="shared" si="37"/>
        <v>4071.15</v>
      </c>
      <c r="R273" s="167" t="s">
        <v>886</v>
      </c>
      <c r="S273" s="179"/>
    </row>
    <row r="274" spans="1:19" s="167" customFormat="1" ht="32.25" hidden="1" customHeight="1">
      <c r="A274" s="160" t="s">
        <v>2011</v>
      </c>
      <c r="B274" s="273" t="s">
        <v>371</v>
      </c>
      <c r="C274" s="272" t="s">
        <v>1358</v>
      </c>
      <c r="D274" s="169" t="s">
        <v>682</v>
      </c>
      <c r="E274" s="309"/>
      <c r="F274" s="309"/>
      <c r="G274" s="309"/>
      <c r="H274" s="309"/>
      <c r="I274" s="309"/>
      <c r="J274" s="309"/>
      <c r="K274" s="309"/>
      <c r="L274" s="309"/>
      <c r="M274" s="309"/>
      <c r="N274" s="983">
        <f>(N272+N273)*0.3*0.2</f>
        <v>21</v>
      </c>
      <c r="O274" s="983">
        <f t="shared" si="35"/>
        <v>21</v>
      </c>
      <c r="P274" s="165">
        <f>COMPOSIÇÕES!B235</f>
        <v>77.115299999999991</v>
      </c>
      <c r="Q274" s="981">
        <f t="shared" si="37"/>
        <v>1619.42</v>
      </c>
      <c r="R274" s="167" t="s">
        <v>886</v>
      </c>
      <c r="S274" s="179"/>
    </row>
    <row r="275" spans="1:19" s="167" customFormat="1" ht="32.25" hidden="1" customHeight="1">
      <c r="A275" s="160" t="s">
        <v>2358</v>
      </c>
      <c r="B275" s="277" t="s">
        <v>438</v>
      </c>
      <c r="C275" s="178" t="s">
        <v>1106</v>
      </c>
      <c r="D275" s="169" t="s">
        <v>682</v>
      </c>
      <c r="E275" s="309"/>
      <c r="F275" s="309"/>
      <c r="G275" s="309"/>
      <c r="H275" s="309"/>
      <c r="I275" s="309"/>
      <c r="J275" s="309"/>
      <c r="K275" s="309"/>
      <c r="L275" s="309"/>
      <c r="M275" s="309"/>
      <c r="N275" s="983">
        <f>N274-(3.14*0.065*0.065*N272)-(3.14*0.05*0.05*N273)</f>
        <v>17.169199999999996</v>
      </c>
      <c r="O275" s="983">
        <f t="shared" si="35"/>
        <v>17.169199999999996</v>
      </c>
      <c r="P275" s="165">
        <f>COMPOSIÇÕES!B267</f>
        <v>46.749749999999999</v>
      </c>
      <c r="Q275" s="981">
        <f t="shared" si="37"/>
        <v>802.65</v>
      </c>
      <c r="R275" s="167" t="s">
        <v>886</v>
      </c>
      <c r="S275" s="179"/>
    </row>
    <row r="276" spans="1:19" s="167" customFormat="1" ht="32.25" hidden="1" customHeight="1">
      <c r="A276" s="160" t="s">
        <v>2359</v>
      </c>
      <c r="B276" s="277" t="s">
        <v>2093</v>
      </c>
      <c r="C276" s="197" t="s">
        <v>2005</v>
      </c>
      <c r="D276" s="169" t="s">
        <v>822</v>
      </c>
      <c r="E276" s="309"/>
      <c r="F276" s="309"/>
      <c r="G276" s="309"/>
      <c r="H276" s="309"/>
      <c r="I276" s="309"/>
      <c r="J276" s="309"/>
      <c r="K276" s="309"/>
      <c r="L276" s="309"/>
      <c r="M276" s="309"/>
      <c r="N276" s="983">
        <v>3</v>
      </c>
      <c r="O276" s="983">
        <f t="shared" si="35"/>
        <v>3</v>
      </c>
      <c r="P276" s="858">
        <f>656.04*1.245</f>
        <v>816.76980000000003</v>
      </c>
      <c r="Q276" s="981">
        <f t="shared" si="37"/>
        <v>2450.3000000000002</v>
      </c>
      <c r="R276" s="167" t="s">
        <v>1940</v>
      </c>
      <c r="S276" s="179"/>
    </row>
    <row r="277" spans="1:19" s="167" customFormat="1" ht="32.25" hidden="1" customHeight="1">
      <c r="A277" s="160" t="s">
        <v>2360</v>
      </c>
      <c r="B277" s="169" t="s">
        <v>2094</v>
      </c>
      <c r="C277" s="197" t="s">
        <v>2095</v>
      </c>
      <c r="D277" s="169" t="s">
        <v>822</v>
      </c>
      <c r="E277" s="309"/>
      <c r="F277" s="309"/>
      <c r="G277" s="309"/>
      <c r="H277" s="309"/>
      <c r="I277" s="309"/>
      <c r="J277" s="309"/>
      <c r="K277" s="309"/>
      <c r="L277" s="309"/>
      <c r="M277" s="309"/>
      <c r="N277" s="983">
        <v>4</v>
      </c>
      <c r="O277" s="983">
        <f t="shared" si="35"/>
        <v>4</v>
      </c>
      <c r="P277" s="1048">
        <f>(218.33+7.36)*1.245</f>
        <v>280.98405000000008</v>
      </c>
      <c r="Q277" s="981">
        <f t="shared" si="37"/>
        <v>1123.93</v>
      </c>
      <c r="R277" s="167" t="s">
        <v>1940</v>
      </c>
      <c r="S277" s="179"/>
    </row>
    <row r="278" spans="1:19" s="167" customFormat="1" ht="32.25" hidden="1" customHeight="1">
      <c r="A278" s="160" t="s">
        <v>2361</v>
      </c>
      <c r="B278" s="169" t="s">
        <v>2096</v>
      </c>
      <c r="C278" s="197" t="s">
        <v>2012</v>
      </c>
      <c r="D278" s="169" t="s">
        <v>822</v>
      </c>
      <c r="E278" s="309"/>
      <c r="F278" s="309"/>
      <c r="G278" s="309"/>
      <c r="H278" s="309"/>
      <c r="I278" s="309"/>
      <c r="J278" s="309"/>
      <c r="K278" s="309"/>
      <c r="L278" s="309"/>
      <c r="M278" s="309"/>
      <c r="N278" s="983">
        <v>5</v>
      </c>
      <c r="O278" s="983">
        <f t="shared" si="35"/>
        <v>5</v>
      </c>
      <c r="P278" s="1048">
        <f>(187.4+7.36)*1.245</f>
        <v>242.47620000000003</v>
      </c>
      <c r="Q278" s="981">
        <f t="shared" si="37"/>
        <v>1212.3800000000001</v>
      </c>
      <c r="R278" s="167" t="s">
        <v>1940</v>
      </c>
      <c r="S278" s="179"/>
    </row>
    <row r="279" spans="1:19" s="167" customFormat="1" ht="48.75" hidden="1" customHeight="1">
      <c r="A279" s="160" t="s">
        <v>2393</v>
      </c>
      <c r="B279" s="197" t="s">
        <v>2097</v>
      </c>
      <c r="C279" s="309" t="s">
        <v>2013</v>
      </c>
      <c r="D279" s="169" t="s">
        <v>822</v>
      </c>
      <c r="E279" s="169"/>
      <c r="F279" s="309"/>
      <c r="G279" s="309"/>
      <c r="H279" s="309"/>
      <c r="I279" s="309"/>
      <c r="J279" s="309"/>
      <c r="K279" s="309"/>
      <c r="L279" s="309"/>
      <c r="M279" s="309"/>
      <c r="N279" s="983">
        <v>11</v>
      </c>
      <c r="O279" s="164">
        <f t="shared" si="38"/>
        <v>11</v>
      </c>
      <c r="P279" s="861">
        <f>(56.24+4.99)*1.245</f>
        <v>76.231350000000006</v>
      </c>
      <c r="Q279" s="981">
        <f t="shared" si="36"/>
        <v>838.54</v>
      </c>
      <c r="R279" s="167" t="s">
        <v>1940</v>
      </c>
      <c r="S279" s="179"/>
    </row>
    <row r="280" spans="1:19" s="167" customFormat="1" ht="24.75" hidden="1" customHeight="1">
      <c r="A280" s="1155"/>
      <c r="B280" s="1156"/>
      <c r="C280" s="1158" t="s">
        <v>2324</v>
      </c>
      <c r="D280" s="1156"/>
      <c r="E280" s="244"/>
      <c r="F280" s="1156"/>
      <c r="G280" s="1156"/>
      <c r="H280" s="1156"/>
      <c r="I280" s="1156"/>
      <c r="J280" s="1156"/>
      <c r="K280" s="1156"/>
      <c r="L280" s="1156"/>
      <c r="M280" s="1156"/>
      <c r="N280" s="1156"/>
      <c r="O280" s="245"/>
      <c r="P280" s="1157"/>
      <c r="Q280" s="1159">
        <f>SUM(Q263:Q279)</f>
        <v>51783.890000000007</v>
      </c>
      <c r="S280" s="179"/>
    </row>
    <row r="281" spans="1:19" s="172" customFormat="1" ht="32.25" hidden="1" customHeight="1">
      <c r="A281" s="223"/>
      <c r="B281" s="253"/>
      <c r="C281" s="263" t="s">
        <v>534</v>
      </c>
      <c r="D281" s="253"/>
      <c r="E281" s="733"/>
      <c r="F281" s="254"/>
      <c r="G281" s="254"/>
      <c r="H281" s="254"/>
      <c r="I281" s="254"/>
      <c r="J281" s="254"/>
      <c r="K281" s="254"/>
      <c r="L281" s="254"/>
      <c r="M281" s="254"/>
      <c r="N281" s="254"/>
      <c r="O281" s="254"/>
      <c r="P281" s="255"/>
      <c r="Q281" s="256">
        <f>Q280+Q261+Q258+Q221+Q211+Q185+Q181+Q164</f>
        <v>679620.28</v>
      </c>
      <c r="R281" s="167"/>
    </row>
    <row r="282" spans="1:19" s="172" customFormat="1" ht="18" hidden="1" customHeight="1">
      <c r="A282" s="326"/>
      <c r="B282" s="327"/>
      <c r="C282" s="328"/>
      <c r="D282" s="327"/>
      <c r="E282" s="748"/>
      <c r="F282" s="329"/>
      <c r="G282" s="329"/>
      <c r="H282" s="329"/>
      <c r="I282" s="329"/>
      <c r="J282" s="329"/>
      <c r="K282" s="329"/>
      <c r="L282" s="329"/>
      <c r="M282" s="329"/>
      <c r="N282" s="329"/>
      <c r="O282" s="329"/>
      <c r="P282" s="330"/>
      <c r="Q282" s="331"/>
      <c r="R282" s="167"/>
    </row>
    <row r="283" spans="1:19" s="172" customFormat="1" ht="29.25" hidden="1" customHeight="1">
      <c r="A283" s="223" t="s">
        <v>535</v>
      </c>
      <c r="B283" s="253"/>
      <c r="C283" s="225" t="s">
        <v>536</v>
      </c>
      <c r="D283" s="253" t="s">
        <v>2</v>
      </c>
      <c r="E283" s="733"/>
      <c r="F283" s="254"/>
      <c r="G283" s="254"/>
      <c r="H283" s="254"/>
      <c r="I283" s="254"/>
      <c r="J283" s="254"/>
      <c r="K283" s="254"/>
      <c r="L283" s="254"/>
      <c r="M283" s="254"/>
      <c r="N283" s="254"/>
      <c r="O283" s="254"/>
      <c r="P283" s="255" t="s">
        <v>0</v>
      </c>
      <c r="Q283" s="256"/>
      <c r="R283" s="167"/>
    </row>
    <row r="284" spans="1:19" s="172" customFormat="1" ht="29.25" hidden="1" customHeight="1">
      <c r="A284" s="222" t="s">
        <v>537</v>
      </c>
      <c r="B284" s="293"/>
      <c r="C284" s="280" t="s">
        <v>1266</v>
      </c>
      <c r="D284" s="279"/>
      <c r="E284" s="734"/>
      <c r="F284" s="281"/>
      <c r="G284" s="281"/>
      <c r="H284" s="281"/>
      <c r="I284" s="281"/>
      <c r="J284" s="281"/>
      <c r="K284" s="281"/>
      <c r="L284" s="281"/>
      <c r="M284" s="281"/>
      <c r="N284" s="281"/>
      <c r="O284" s="281"/>
      <c r="P284" s="282"/>
      <c r="Q284" s="283"/>
      <c r="R284" s="167"/>
    </row>
    <row r="285" spans="1:19" s="172" customFormat="1" ht="48" hidden="1" customHeight="1">
      <c r="A285" s="291" t="s">
        <v>1278</v>
      </c>
      <c r="B285" s="271" t="s">
        <v>2098</v>
      </c>
      <c r="C285" s="272" t="s">
        <v>1274</v>
      </c>
      <c r="D285" s="273" t="s">
        <v>858</v>
      </c>
      <c r="E285" s="699"/>
      <c r="F285" s="274"/>
      <c r="G285" s="274"/>
      <c r="H285" s="699">
        <f>4*1.85*(0.7+0.9)</f>
        <v>11.840000000000002</v>
      </c>
      <c r="I285" s="290"/>
      <c r="J285" s="290"/>
      <c r="K285" s="290"/>
      <c r="L285" s="290"/>
      <c r="M285" s="290"/>
      <c r="N285" s="290"/>
      <c r="O285" s="274">
        <f t="shared" ref="O285:O291" si="39">SUM(E285:N285)</f>
        <v>11.840000000000002</v>
      </c>
      <c r="P285" s="275">
        <f>(932.66+83.89)*1.245</f>
        <v>1265.60475</v>
      </c>
      <c r="Q285" s="288">
        <f t="shared" ref="Q285:Q291" si="40">TRUNC(O285*P285,2)</f>
        <v>14984.76</v>
      </c>
      <c r="R285" s="167" t="s">
        <v>1937</v>
      </c>
    </row>
    <row r="286" spans="1:19" s="172" customFormat="1" ht="37.5" hidden="1" customHeight="1">
      <c r="A286" s="291" t="s">
        <v>1279</v>
      </c>
      <c r="B286" s="271" t="s">
        <v>2099</v>
      </c>
      <c r="C286" s="272" t="s">
        <v>1273</v>
      </c>
      <c r="D286" s="273" t="s">
        <v>858</v>
      </c>
      <c r="E286" s="699"/>
      <c r="F286" s="274"/>
      <c r="G286" s="274"/>
      <c r="H286" s="699">
        <f>2.2*(0.7+0.9)</f>
        <v>3.5200000000000005</v>
      </c>
      <c r="I286" s="290"/>
      <c r="J286" s="290"/>
      <c r="K286" s="290"/>
      <c r="L286" s="290"/>
      <c r="M286" s="290"/>
      <c r="N286" s="290"/>
      <c r="O286" s="274">
        <f t="shared" si="39"/>
        <v>3.5200000000000005</v>
      </c>
      <c r="P286" s="275">
        <f>(800.82+30.53)*1.245</f>
        <v>1035.0307500000001</v>
      </c>
      <c r="Q286" s="288">
        <f t="shared" si="40"/>
        <v>3643.3</v>
      </c>
      <c r="R286" s="167" t="s">
        <v>1937</v>
      </c>
    </row>
    <row r="287" spans="1:19" s="172" customFormat="1" ht="36" hidden="1" customHeight="1">
      <c r="A287" s="291" t="s">
        <v>1280</v>
      </c>
      <c r="B287" s="271" t="s">
        <v>2099</v>
      </c>
      <c r="C287" s="272" t="s">
        <v>1272</v>
      </c>
      <c r="D287" s="273" t="s">
        <v>858</v>
      </c>
      <c r="E287" s="699"/>
      <c r="F287" s="274"/>
      <c r="G287" s="274"/>
      <c r="H287" s="699">
        <f>1.85*(0.7+0.9)</f>
        <v>2.9600000000000004</v>
      </c>
      <c r="I287" s="290"/>
      <c r="J287" s="290"/>
      <c r="K287" s="290"/>
      <c r="L287" s="290"/>
      <c r="M287" s="290"/>
      <c r="N287" s="290"/>
      <c r="O287" s="274">
        <f t="shared" si="39"/>
        <v>2.9600000000000004</v>
      </c>
      <c r="P287" s="275">
        <f>(800.82+30.53)*1.245</f>
        <v>1035.0307500000001</v>
      </c>
      <c r="Q287" s="288">
        <f t="shared" si="40"/>
        <v>3063.69</v>
      </c>
      <c r="R287" s="167" t="s">
        <v>1937</v>
      </c>
    </row>
    <row r="288" spans="1:19" s="172" customFormat="1" ht="48.75" hidden="1" customHeight="1">
      <c r="A288" s="291" t="s">
        <v>1281</v>
      </c>
      <c r="B288" s="271" t="s">
        <v>2098</v>
      </c>
      <c r="C288" s="272" t="s">
        <v>1271</v>
      </c>
      <c r="D288" s="273" t="s">
        <v>858</v>
      </c>
      <c r="E288" s="699"/>
      <c r="F288" s="274"/>
      <c r="G288" s="274"/>
      <c r="H288" s="699">
        <f>1.85*(0.7+0.9)</f>
        <v>2.9600000000000004</v>
      </c>
      <c r="I288" s="290"/>
      <c r="J288" s="290"/>
      <c r="K288" s="290"/>
      <c r="L288" s="290"/>
      <c r="M288" s="290"/>
      <c r="N288" s="290"/>
      <c r="O288" s="274">
        <f t="shared" si="39"/>
        <v>2.9600000000000004</v>
      </c>
      <c r="P288" s="275">
        <f>(932.66+83.89)*1.245</f>
        <v>1265.60475</v>
      </c>
      <c r="Q288" s="288">
        <f t="shared" si="40"/>
        <v>3746.19</v>
      </c>
      <c r="R288" s="167" t="s">
        <v>1937</v>
      </c>
    </row>
    <row r="289" spans="1:18" s="172" customFormat="1" ht="33.75" hidden="1" customHeight="1">
      <c r="A289" s="291" t="s">
        <v>1282</v>
      </c>
      <c r="B289" s="271" t="s">
        <v>2099</v>
      </c>
      <c r="C289" s="272" t="s">
        <v>1270</v>
      </c>
      <c r="D289" s="273" t="s">
        <v>858</v>
      </c>
      <c r="E289" s="699"/>
      <c r="F289" s="274"/>
      <c r="G289" s="274"/>
      <c r="H289" s="699">
        <f>2*2.2*(0.7+0.9)</f>
        <v>7.0400000000000009</v>
      </c>
      <c r="I289" s="290"/>
      <c r="J289" s="290"/>
      <c r="K289" s="290"/>
      <c r="L289" s="290"/>
      <c r="M289" s="290"/>
      <c r="N289" s="290"/>
      <c r="O289" s="274">
        <f t="shared" si="39"/>
        <v>7.0400000000000009</v>
      </c>
      <c r="P289" s="275">
        <f>(800.82+30.53)*1.245</f>
        <v>1035.0307500000001</v>
      </c>
      <c r="Q289" s="288">
        <f t="shared" si="40"/>
        <v>7286.61</v>
      </c>
      <c r="R289" s="167" t="s">
        <v>1937</v>
      </c>
    </row>
    <row r="290" spans="1:18" s="172" customFormat="1" ht="52.5" hidden="1" customHeight="1">
      <c r="A290" s="291" t="s">
        <v>1283</v>
      </c>
      <c r="B290" s="271" t="s">
        <v>2098</v>
      </c>
      <c r="C290" s="272" t="s">
        <v>1269</v>
      </c>
      <c r="D290" s="273" t="s">
        <v>858</v>
      </c>
      <c r="E290" s="699"/>
      <c r="F290" s="274"/>
      <c r="G290" s="274"/>
      <c r="H290" s="699">
        <f>1.85*(0.7+0.9)</f>
        <v>2.9600000000000004</v>
      </c>
      <c r="I290" s="290"/>
      <c r="J290" s="290"/>
      <c r="K290" s="290"/>
      <c r="L290" s="290"/>
      <c r="M290" s="290"/>
      <c r="N290" s="290"/>
      <c r="O290" s="274">
        <f t="shared" si="39"/>
        <v>2.9600000000000004</v>
      </c>
      <c r="P290" s="275">
        <f>(932.66+83.89)*1.245</f>
        <v>1265.60475</v>
      </c>
      <c r="Q290" s="288">
        <f t="shared" si="40"/>
        <v>3746.19</v>
      </c>
      <c r="R290" s="167" t="s">
        <v>1937</v>
      </c>
    </row>
    <row r="291" spans="1:18" s="172" customFormat="1" ht="33.75" hidden="1" customHeight="1">
      <c r="A291" s="291" t="s">
        <v>1284</v>
      </c>
      <c r="B291" s="271" t="s">
        <v>2099</v>
      </c>
      <c r="C291" s="272" t="s">
        <v>1277</v>
      </c>
      <c r="D291" s="273" t="s">
        <v>858</v>
      </c>
      <c r="E291" s="699"/>
      <c r="F291" s="274"/>
      <c r="G291" s="274"/>
      <c r="H291" s="699">
        <f>1.11*(0.7+0.9)</f>
        <v>1.7760000000000002</v>
      </c>
      <c r="I291" s="290"/>
      <c r="J291" s="290"/>
      <c r="K291" s="290"/>
      <c r="L291" s="290"/>
      <c r="M291" s="290"/>
      <c r="N291" s="290"/>
      <c r="O291" s="274">
        <f t="shared" si="39"/>
        <v>1.7760000000000002</v>
      </c>
      <c r="P291" s="275">
        <f>(800.82+30.53)*1.245</f>
        <v>1035.0307500000001</v>
      </c>
      <c r="Q291" s="288">
        <f t="shared" si="40"/>
        <v>1838.21</v>
      </c>
      <c r="R291" s="167" t="s">
        <v>1937</v>
      </c>
    </row>
    <row r="292" spans="1:18" s="172" customFormat="1" ht="53.25" hidden="1" customHeight="1">
      <c r="A292" s="291" t="s">
        <v>1285</v>
      </c>
      <c r="B292" s="271" t="s">
        <v>2098</v>
      </c>
      <c r="C292" s="272" t="s">
        <v>1275</v>
      </c>
      <c r="D292" s="273" t="s">
        <v>858</v>
      </c>
      <c r="E292" s="699"/>
      <c r="F292" s="274"/>
      <c r="G292" s="274"/>
      <c r="H292" s="699">
        <f>0.45*(0.45+0.45)</f>
        <v>0.40500000000000003</v>
      </c>
      <c r="I292" s="290"/>
      <c r="J292" s="290"/>
      <c r="K292" s="290"/>
      <c r="L292" s="290"/>
      <c r="M292" s="290"/>
      <c r="N292" s="290"/>
      <c r="O292" s="274">
        <f t="shared" ref="O292:O296" si="41">SUM(E292:N292)</f>
        <v>0.40500000000000003</v>
      </c>
      <c r="P292" s="275">
        <f>(932.66+83.89)*1.245</f>
        <v>1265.60475</v>
      </c>
      <c r="Q292" s="288">
        <f t="shared" ref="Q292:Q296" si="42">TRUNC(O292*P292,2)</f>
        <v>512.55999999999995</v>
      </c>
      <c r="R292" s="167" t="s">
        <v>1937</v>
      </c>
    </row>
    <row r="293" spans="1:18" s="172" customFormat="1" ht="29.25" hidden="1" customHeight="1">
      <c r="A293" s="291" t="s">
        <v>1286</v>
      </c>
      <c r="B293" s="271" t="s">
        <v>2100</v>
      </c>
      <c r="C293" s="272" t="s">
        <v>1276</v>
      </c>
      <c r="D293" s="273" t="s">
        <v>822</v>
      </c>
      <c r="E293" s="699"/>
      <c r="F293" s="274"/>
      <c r="G293" s="274"/>
      <c r="H293" s="1120">
        <v>8</v>
      </c>
      <c r="I293" s="290"/>
      <c r="J293" s="290"/>
      <c r="K293" s="290"/>
      <c r="L293" s="290"/>
      <c r="M293" s="290"/>
      <c r="N293" s="290"/>
      <c r="O293" s="274">
        <f t="shared" si="41"/>
        <v>8</v>
      </c>
      <c r="P293" s="275">
        <f>(3774.2+80.58)*1.245</f>
        <v>4799.2011000000002</v>
      </c>
      <c r="Q293" s="288">
        <f t="shared" si="42"/>
        <v>38393.599999999999</v>
      </c>
      <c r="R293" s="167" t="s">
        <v>1937</v>
      </c>
    </row>
    <row r="294" spans="1:18" s="172" customFormat="1" ht="29.25" hidden="1" customHeight="1">
      <c r="A294" s="291"/>
      <c r="B294" s="271" t="s">
        <v>2153</v>
      </c>
      <c r="C294" s="272" t="s">
        <v>2154</v>
      </c>
      <c r="D294" s="273" t="s">
        <v>822</v>
      </c>
      <c r="E294" s="699"/>
      <c r="F294" s="274"/>
      <c r="G294" s="274"/>
      <c r="H294" s="699">
        <v>1</v>
      </c>
      <c r="I294" s="290"/>
      <c r="J294" s="290"/>
      <c r="K294" s="290"/>
      <c r="L294" s="290"/>
      <c r="M294" s="290"/>
      <c r="N294" s="290"/>
      <c r="O294" s="274">
        <f t="shared" si="41"/>
        <v>1</v>
      </c>
      <c r="P294" s="275">
        <f>(33213.4)*1.245</f>
        <v>41350.683000000005</v>
      </c>
      <c r="Q294" s="288">
        <f t="shared" si="42"/>
        <v>41350.68</v>
      </c>
      <c r="R294" s="167" t="s">
        <v>1937</v>
      </c>
    </row>
    <row r="295" spans="1:18" s="172" customFormat="1" ht="29.25" hidden="1" customHeight="1">
      <c r="A295" s="291" t="s">
        <v>1287</v>
      </c>
      <c r="B295" s="271" t="s">
        <v>2150</v>
      </c>
      <c r="C295" s="272" t="s">
        <v>2152</v>
      </c>
      <c r="D295" s="273" t="s">
        <v>101</v>
      </c>
      <c r="E295" s="699"/>
      <c r="F295" s="274"/>
      <c r="G295" s="274"/>
      <c r="H295" s="699">
        <f>((0.6+0.6+0.875+0.875)*6.75)*9.42</f>
        <v>187.57575</v>
      </c>
      <c r="I295" s="290"/>
      <c r="J295" s="290"/>
      <c r="K295" s="290"/>
      <c r="L295" s="290"/>
      <c r="M295" s="290"/>
      <c r="N295" s="290"/>
      <c r="O295" s="274">
        <f t="shared" si="41"/>
        <v>187.57575</v>
      </c>
      <c r="P295" s="275">
        <f>(31.41+23.38)*1.245</f>
        <v>68.213549999999998</v>
      </c>
      <c r="Q295" s="288">
        <f t="shared" si="42"/>
        <v>12795.2</v>
      </c>
      <c r="R295" s="167" t="s">
        <v>1937</v>
      </c>
    </row>
    <row r="296" spans="1:18" s="172" customFormat="1" ht="33.75" hidden="1" customHeight="1">
      <c r="A296" s="291" t="s">
        <v>1288</v>
      </c>
      <c r="B296" s="271" t="s">
        <v>2150</v>
      </c>
      <c r="C296" s="272" t="s">
        <v>2151</v>
      </c>
      <c r="D296" s="273" t="s">
        <v>101</v>
      </c>
      <c r="E296" s="699"/>
      <c r="F296" s="274"/>
      <c r="G296" s="274"/>
      <c r="H296" s="699">
        <f>((0.4+0.4+0.75+0.75)*6.75)*9.42</f>
        <v>146.24549999999999</v>
      </c>
      <c r="I296" s="290"/>
      <c r="J296" s="290"/>
      <c r="K296" s="290"/>
      <c r="L296" s="290"/>
      <c r="M296" s="290"/>
      <c r="N296" s="290"/>
      <c r="O296" s="274">
        <f t="shared" si="41"/>
        <v>146.24549999999999</v>
      </c>
      <c r="P296" s="275">
        <f>P295</f>
        <v>68.213549999999998</v>
      </c>
      <c r="Q296" s="288">
        <f t="shared" si="42"/>
        <v>9975.92</v>
      </c>
      <c r="R296" s="167" t="s">
        <v>1937</v>
      </c>
    </row>
    <row r="297" spans="1:18" s="172" customFormat="1" ht="27" hidden="1" customHeight="1">
      <c r="A297" s="300"/>
      <c r="B297" s="1154"/>
      <c r="C297" s="1153" t="s">
        <v>2323</v>
      </c>
      <c r="D297" s="284"/>
      <c r="E297" s="735"/>
      <c r="F297" s="285"/>
      <c r="G297" s="285"/>
      <c r="H297" s="735"/>
      <c r="I297" s="295"/>
      <c r="J297" s="295"/>
      <c r="K297" s="295"/>
      <c r="L297" s="295"/>
      <c r="M297" s="295"/>
      <c r="N297" s="295"/>
      <c r="O297" s="285"/>
      <c r="P297" s="286"/>
      <c r="Q297" s="297">
        <f>SUM(Q285:Q296)</f>
        <v>141336.91</v>
      </c>
      <c r="R297" s="167"/>
    </row>
    <row r="298" spans="1:18" s="172" customFormat="1" ht="29.25" hidden="1" customHeight="1">
      <c r="A298" s="222" t="s">
        <v>540</v>
      </c>
      <c r="B298" s="293"/>
      <c r="C298" s="218" t="s">
        <v>2241</v>
      </c>
      <c r="D298" s="293"/>
      <c r="E298" s="739"/>
      <c r="F298" s="295"/>
      <c r="G298" s="295"/>
      <c r="H298" s="295"/>
      <c r="I298" s="295"/>
      <c r="J298" s="295"/>
      <c r="K298" s="295"/>
      <c r="L298" s="295"/>
      <c r="M298" s="295"/>
      <c r="N298" s="735"/>
      <c r="O298" s="285"/>
      <c r="P298" s="296"/>
      <c r="Q298" s="297"/>
      <c r="R298" s="167"/>
    </row>
    <row r="299" spans="1:18" s="172" customFormat="1" ht="27" hidden="1" customHeight="1">
      <c r="A299" s="300" t="s">
        <v>1268</v>
      </c>
      <c r="B299" s="273" t="s">
        <v>371</v>
      </c>
      <c r="C299" s="272" t="s">
        <v>1358</v>
      </c>
      <c r="D299" s="273" t="s">
        <v>369</v>
      </c>
      <c r="E299" s="738"/>
      <c r="F299" s="290"/>
      <c r="G299" s="290"/>
      <c r="H299" s="290"/>
      <c r="I299" s="290"/>
      <c r="J299" s="290"/>
      <c r="K299" s="290"/>
      <c r="L299" s="290"/>
      <c r="M299" s="290"/>
      <c r="N299" s="699">
        <f>memoria!H228</f>
        <v>1.74</v>
      </c>
      <c r="O299" s="274">
        <f t="shared" ref="O299:O322" si="43">SUM(E299:N299)</f>
        <v>1.74</v>
      </c>
      <c r="P299" s="275">
        <f>COMPOSIÇÕES!B235</f>
        <v>77.115299999999991</v>
      </c>
      <c r="Q299" s="288">
        <f t="shared" ref="Q299:Q322" si="44">TRUNC(O299*P299,2)</f>
        <v>134.18</v>
      </c>
      <c r="R299" s="167" t="s">
        <v>886</v>
      </c>
    </row>
    <row r="300" spans="1:18" s="172" customFormat="1" ht="36.75" hidden="1" customHeight="1">
      <c r="A300" s="300" t="s">
        <v>1347</v>
      </c>
      <c r="B300" s="273" t="s">
        <v>439</v>
      </c>
      <c r="C300" s="272" t="s">
        <v>2425</v>
      </c>
      <c r="D300" s="273" t="s">
        <v>369</v>
      </c>
      <c r="E300" s="738"/>
      <c r="F300" s="290"/>
      <c r="G300" s="290"/>
      <c r="H300" s="290"/>
      <c r="I300" s="290"/>
      <c r="J300" s="290"/>
      <c r="K300" s="290"/>
      <c r="L300" s="290"/>
      <c r="M300" s="290"/>
      <c r="N300" s="699">
        <f>memoria!H229</f>
        <v>2.262</v>
      </c>
      <c r="O300" s="274">
        <f t="shared" si="43"/>
        <v>2.262</v>
      </c>
      <c r="P300" s="275">
        <f>COMPOSIÇÕES!B284</f>
        <v>23.094749999999998</v>
      </c>
      <c r="Q300" s="288">
        <f t="shared" si="44"/>
        <v>52.24</v>
      </c>
      <c r="R300" s="167" t="s">
        <v>886</v>
      </c>
    </row>
    <row r="301" spans="1:18" s="172" customFormat="1" ht="36" hidden="1" customHeight="1">
      <c r="A301" s="300" t="s">
        <v>1348</v>
      </c>
      <c r="B301" s="273" t="s">
        <v>1326</v>
      </c>
      <c r="C301" s="272" t="s">
        <v>1327</v>
      </c>
      <c r="D301" s="273" t="s">
        <v>369</v>
      </c>
      <c r="E301" s="738"/>
      <c r="F301" s="290"/>
      <c r="G301" s="290"/>
      <c r="H301" s="290"/>
      <c r="I301" s="290"/>
      <c r="J301" s="290"/>
      <c r="K301" s="290"/>
      <c r="L301" s="290"/>
      <c r="M301" s="290"/>
      <c r="N301" s="699">
        <f>memoria!H227</f>
        <v>0.435</v>
      </c>
      <c r="O301" s="274">
        <f t="shared" si="43"/>
        <v>0.435</v>
      </c>
      <c r="P301" s="275">
        <f>COMPOSIÇÕES!B328</f>
        <v>228.07155</v>
      </c>
      <c r="Q301" s="288">
        <f t="shared" si="44"/>
        <v>99.21</v>
      </c>
      <c r="R301" s="167" t="s">
        <v>886</v>
      </c>
    </row>
    <row r="302" spans="1:18" s="172" customFormat="1" ht="35.25" hidden="1" customHeight="1">
      <c r="A302" s="300" t="s">
        <v>1349</v>
      </c>
      <c r="B302" s="273" t="s">
        <v>1336</v>
      </c>
      <c r="C302" s="272" t="s">
        <v>2424</v>
      </c>
      <c r="D302" s="273" t="s">
        <v>950</v>
      </c>
      <c r="E302" s="738"/>
      <c r="F302" s="290"/>
      <c r="G302" s="290"/>
      <c r="H302" s="290"/>
      <c r="I302" s="290"/>
      <c r="J302" s="290"/>
      <c r="K302" s="290"/>
      <c r="L302" s="290"/>
      <c r="M302" s="290"/>
      <c r="N302" s="699">
        <f>memoria!H230</f>
        <v>8.6999999999999993</v>
      </c>
      <c r="O302" s="274">
        <f t="shared" si="43"/>
        <v>8.6999999999999993</v>
      </c>
      <c r="P302" s="275">
        <f>COMPOSIÇÕES!B363</f>
        <v>6.3121500000000008</v>
      </c>
      <c r="Q302" s="288">
        <f t="shared" si="44"/>
        <v>54.91</v>
      </c>
      <c r="R302" s="167" t="s">
        <v>886</v>
      </c>
    </row>
    <row r="303" spans="1:18" s="172" customFormat="1" ht="36" hidden="1" customHeight="1">
      <c r="A303" s="300" t="s">
        <v>1350</v>
      </c>
      <c r="B303" s="273" t="s">
        <v>1325</v>
      </c>
      <c r="C303" s="272" t="s">
        <v>1357</v>
      </c>
      <c r="D303" s="273" t="s">
        <v>950</v>
      </c>
      <c r="E303" s="699"/>
      <c r="F303" s="274"/>
      <c r="G303" s="274"/>
      <c r="H303" s="699"/>
      <c r="I303" s="290"/>
      <c r="J303" s="290"/>
      <c r="K303" s="290"/>
      <c r="L303" s="290"/>
      <c r="M303" s="290"/>
      <c r="N303" s="699">
        <f>memoria!H225</f>
        <v>0.63039999999999996</v>
      </c>
      <c r="O303" s="274">
        <f t="shared" si="43"/>
        <v>0.63039999999999996</v>
      </c>
      <c r="P303" s="275">
        <f>COMPOSIÇÕES!B514</f>
        <v>101.03175</v>
      </c>
      <c r="Q303" s="288">
        <f t="shared" si="44"/>
        <v>63.69</v>
      </c>
      <c r="R303" s="167" t="s">
        <v>886</v>
      </c>
    </row>
    <row r="304" spans="1:18" s="172" customFormat="1" ht="33.75" hidden="1" customHeight="1">
      <c r="A304" s="300" t="s">
        <v>1346</v>
      </c>
      <c r="B304" s="271" t="s">
        <v>1855</v>
      </c>
      <c r="C304" s="272" t="s">
        <v>2422</v>
      </c>
      <c r="D304" s="273" t="s">
        <v>685</v>
      </c>
      <c r="E304" s="699"/>
      <c r="F304" s="274"/>
      <c r="G304" s="274"/>
      <c r="H304" s="699"/>
      <c r="I304" s="290"/>
      <c r="J304" s="290"/>
      <c r="K304" s="290"/>
      <c r="L304" s="290"/>
      <c r="M304" s="290"/>
      <c r="N304" s="699">
        <f>memoria!H226</f>
        <v>27.667200000000001</v>
      </c>
      <c r="O304" s="274">
        <f t="shared" si="43"/>
        <v>27.667200000000001</v>
      </c>
      <c r="P304" s="275">
        <f>COMPOSIÇÕES!B450</f>
        <v>7.7688000000000006</v>
      </c>
      <c r="Q304" s="288">
        <f t="shared" si="44"/>
        <v>214.94</v>
      </c>
      <c r="R304" s="167" t="s">
        <v>886</v>
      </c>
    </row>
    <row r="305" spans="1:20" s="172" customFormat="1" ht="43.5" hidden="1" customHeight="1">
      <c r="A305" s="300" t="s">
        <v>1351</v>
      </c>
      <c r="B305" s="273" t="s">
        <v>446</v>
      </c>
      <c r="C305" s="272" t="s">
        <v>980</v>
      </c>
      <c r="D305" s="273" t="s">
        <v>369</v>
      </c>
      <c r="E305" s="699"/>
      <c r="F305" s="274"/>
      <c r="G305" s="274"/>
      <c r="H305" s="699"/>
      <c r="I305" s="290"/>
      <c r="J305" s="290"/>
      <c r="K305" s="290"/>
      <c r="L305" s="290"/>
      <c r="M305" s="290"/>
      <c r="N305" s="699">
        <f>memoria!L224</f>
        <v>1.6150799999999998</v>
      </c>
      <c r="O305" s="274">
        <f t="shared" si="43"/>
        <v>1.6150799999999998</v>
      </c>
      <c r="P305" s="275">
        <f>COMPOSIÇÕES!B536</f>
        <v>393.63164999999992</v>
      </c>
      <c r="Q305" s="288">
        <f t="shared" si="44"/>
        <v>635.74</v>
      </c>
      <c r="R305" s="167" t="s">
        <v>886</v>
      </c>
    </row>
    <row r="306" spans="1:20" s="172" customFormat="1" ht="36.75" hidden="1" customHeight="1">
      <c r="A306" s="300" t="s">
        <v>1352</v>
      </c>
      <c r="B306" s="271" t="s">
        <v>920</v>
      </c>
      <c r="C306" s="272" t="s">
        <v>2423</v>
      </c>
      <c r="D306" s="273" t="s">
        <v>369</v>
      </c>
      <c r="E306" s="699"/>
      <c r="F306" s="274"/>
      <c r="G306" s="274"/>
      <c r="H306" s="699"/>
      <c r="I306" s="290"/>
      <c r="J306" s="290"/>
      <c r="K306" s="290"/>
      <c r="L306" s="290"/>
      <c r="M306" s="290"/>
      <c r="N306" s="699">
        <f>N305</f>
        <v>1.6150799999999998</v>
      </c>
      <c r="O306" s="274">
        <f t="shared" si="43"/>
        <v>1.6150799999999998</v>
      </c>
      <c r="P306" s="275">
        <f>COMPOSIÇÕES!B554</f>
        <v>128.16030000000001</v>
      </c>
      <c r="Q306" s="288">
        <f t="shared" si="44"/>
        <v>206.98</v>
      </c>
      <c r="R306" s="167" t="s">
        <v>886</v>
      </c>
    </row>
    <row r="307" spans="1:20" s="172" customFormat="1" ht="37.5" hidden="1" customHeight="1">
      <c r="A307" s="300" t="s">
        <v>1353</v>
      </c>
      <c r="B307" s="271" t="s">
        <v>1339</v>
      </c>
      <c r="C307" s="792" t="s">
        <v>2426</v>
      </c>
      <c r="D307" s="273" t="s">
        <v>369</v>
      </c>
      <c r="E307" s="699"/>
      <c r="F307" s="274"/>
      <c r="G307" s="274"/>
      <c r="H307" s="699"/>
      <c r="I307" s="290"/>
      <c r="J307" s="290"/>
      <c r="K307" s="290"/>
      <c r="L307" s="290"/>
      <c r="M307" s="290"/>
      <c r="N307" s="699">
        <f>memoria!H231</f>
        <v>3.8759999999999999</v>
      </c>
      <c r="O307" s="274">
        <f t="shared" si="43"/>
        <v>3.8759999999999999</v>
      </c>
      <c r="P307" s="275">
        <f>COMPOSIÇÕES!B913</f>
        <v>35.930700000000002</v>
      </c>
      <c r="Q307" s="796">
        <f t="shared" si="44"/>
        <v>139.26</v>
      </c>
      <c r="R307" s="167" t="s">
        <v>886</v>
      </c>
    </row>
    <row r="308" spans="1:20" s="172" customFormat="1" ht="65.25" hidden="1" customHeight="1">
      <c r="A308" s="300" t="s">
        <v>1354</v>
      </c>
      <c r="B308" s="273" t="s">
        <v>1363</v>
      </c>
      <c r="C308" s="272" t="s">
        <v>1364</v>
      </c>
      <c r="D308" s="273" t="s">
        <v>950</v>
      </c>
      <c r="E308" s="699"/>
      <c r="F308" s="274"/>
      <c r="G308" s="274"/>
      <c r="H308" s="699"/>
      <c r="I308" s="290"/>
      <c r="J308" s="290"/>
      <c r="K308" s="290"/>
      <c r="L308" s="290"/>
      <c r="M308" s="290"/>
      <c r="N308" s="699">
        <f>memoria!H232</f>
        <v>7.9352000000000009</v>
      </c>
      <c r="O308" s="274">
        <f t="shared" si="43"/>
        <v>7.9352000000000009</v>
      </c>
      <c r="P308" s="275">
        <f>COMPOSIÇÕES!B951</f>
        <v>65.935200000000009</v>
      </c>
      <c r="Q308" s="796">
        <f t="shared" si="44"/>
        <v>523.20000000000005</v>
      </c>
      <c r="R308" s="167" t="s">
        <v>886</v>
      </c>
    </row>
    <row r="309" spans="1:20" s="172" customFormat="1" ht="49.5" hidden="1" customHeight="1">
      <c r="A309" s="300" t="s">
        <v>1355</v>
      </c>
      <c r="B309" s="273" t="s">
        <v>1365</v>
      </c>
      <c r="C309" s="272" t="s">
        <v>1366</v>
      </c>
      <c r="D309" s="273" t="s">
        <v>950</v>
      </c>
      <c r="E309" s="699"/>
      <c r="F309" s="274"/>
      <c r="G309" s="274"/>
      <c r="H309" s="699"/>
      <c r="I309" s="290"/>
      <c r="J309" s="290"/>
      <c r="K309" s="290"/>
      <c r="L309" s="290"/>
      <c r="M309" s="290"/>
      <c r="N309" s="699">
        <f>memoria!H233</f>
        <v>15.870400000000002</v>
      </c>
      <c r="O309" s="274">
        <f t="shared" si="43"/>
        <v>15.870400000000002</v>
      </c>
      <c r="P309" s="275">
        <f>COMPOSIÇÕES!B970</f>
        <v>4.0213500000000009</v>
      </c>
      <c r="Q309" s="796">
        <f t="shared" si="44"/>
        <v>63.82</v>
      </c>
      <c r="R309" s="167" t="s">
        <v>886</v>
      </c>
      <c r="T309" s="886"/>
    </row>
    <row r="310" spans="1:20" s="172" customFormat="1" ht="57.75" hidden="1" customHeight="1">
      <c r="A310" s="300" t="s">
        <v>1356</v>
      </c>
      <c r="B310" s="273" t="s">
        <v>1367</v>
      </c>
      <c r="C310" s="272" t="s">
        <v>1374</v>
      </c>
      <c r="D310" s="273" t="s">
        <v>950</v>
      </c>
      <c r="E310" s="699"/>
      <c r="F310" s="274"/>
      <c r="G310" s="274"/>
      <c r="H310" s="699"/>
      <c r="I310" s="290"/>
      <c r="J310" s="290"/>
      <c r="K310" s="290"/>
      <c r="L310" s="290"/>
      <c r="M310" s="290"/>
      <c r="N310" s="699">
        <f>memoria!H234</f>
        <v>7.9352000000000009</v>
      </c>
      <c r="O310" s="274">
        <f t="shared" si="43"/>
        <v>7.9352000000000009</v>
      </c>
      <c r="P310" s="275">
        <f>COMPOSIÇÕES!B989</f>
        <v>34.212600000000002</v>
      </c>
      <c r="Q310" s="796">
        <f t="shared" si="44"/>
        <v>271.48</v>
      </c>
      <c r="R310" s="167" t="s">
        <v>886</v>
      </c>
    </row>
    <row r="311" spans="1:20" s="172" customFormat="1" ht="60" hidden="1" customHeight="1">
      <c r="A311" s="300" t="s">
        <v>1377</v>
      </c>
      <c r="B311" s="273" t="s">
        <v>1373</v>
      </c>
      <c r="C311" s="272" t="s">
        <v>1375</v>
      </c>
      <c r="D311" s="273" t="s">
        <v>950</v>
      </c>
      <c r="E311" s="699"/>
      <c r="F311" s="274"/>
      <c r="G311" s="274"/>
      <c r="H311" s="699"/>
      <c r="I311" s="290"/>
      <c r="J311" s="290"/>
      <c r="K311" s="290"/>
      <c r="L311" s="290"/>
      <c r="M311" s="290"/>
      <c r="N311" s="699">
        <f>memoria!H235</f>
        <v>7.9352000000000009</v>
      </c>
      <c r="O311" s="274">
        <f t="shared" si="43"/>
        <v>7.9352000000000009</v>
      </c>
      <c r="P311" s="275">
        <f>COMPOSIÇÕES!B1008</f>
        <v>30.751500000000004</v>
      </c>
      <c r="Q311" s="796">
        <f t="shared" si="44"/>
        <v>244.01</v>
      </c>
      <c r="R311" s="167" t="s">
        <v>886</v>
      </c>
      <c r="T311" s="886"/>
    </row>
    <row r="312" spans="1:20" s="172" customFormat="1" ht="39.75" hidden="1" customHeight="1">
      <c r="A312" s="300" t="s">
        <v>1378</v>
      </c>
      <c r="B312" s="273" t="s">
        <v>1376</v>
      </c>
      <c r="C312" s="272" t="s">
        <v>1395</v>
      </c>
      <c r="D312" s="273" t="s">
        <v>950</v>
      </c>
      <c r="E312" s="699"/>
      <c r="F312" s="274"/>
      <c r="G312" s="274"/>
      <c r="H312" s="699"/>
      <c r="I312" s="290"/>
      <c r="J312" s="290"/>
      <c r="K312" s="290"/>
      <c r="L312" s="290"/>
      <c r="M312" s="290"/>
      <c r="N312" s="699">
        <f>memoria!H237</f>
        <v>7.9352000000000009</v>
      </c>
      <c r="O312" s="274">
        <f t="shared" si="43"/>
        <v>7.9352000000000009</v>
      </c>
      <c r="P312" s="275">
        <f>COMPOSIÇÕES!B1026</f>
        <v>12.46245</v>
      </c>
      <c r="Q312" s="796">
        <f t="shared" si="44"/>
        <v>98.89</v>
      </c>
      <c r="R312" s="167" t="s">
        <v>886</v>
      </c>
    </row>
    <row r="313" spans="1:20" s="172" customFormat="1" ht="37.5" hidden="1" customHeight="1">
      <c r="A313" s="300" t="s">
        <v>1379</v>
      </c>
      <c r="B313" s="273" t="s">
        <v>1385</v>
      </c>
      <c r="C313" s="272" t="s">
        <v>1384</v>
      </c>
      <c r="D313" s="273" t="s">
        <v>950</v>
      </c>
      <c r="E313" s="699"/>
      <c r="F313" s="274"/>
      <c r="G313" s="274"/>
      <c r="H313" s="699"/>
      <c r="I313" s="290"/>
      <c r="J313" s="290"/>
      <c r="K313" s="290"/>
      <c r="L313" s="290"/>
      <c r="M313" s="290"/>
      <c r="N313" s="699">
        <f>memoria!H237</f>
        <v>7.9352000000000009</v>
      </c>
      <c r="O313" s="274">
        <f t="shared" si="43"/>
        <v>7.9352000000000009</v>
      </c>
      <c r="P313" s="275">
        <f>COMPOSIÇÕES!B1044</f>
        <v>12.68655</v>
      </c>
      <c r="Q313" s="796">
        <f t="shared" si="44"/>
        <v>100.67</v>
      </c>
      <c r="R313" s="167" t="s">
        <v>886</v>
      </c>
    </row>
    <row r="314" spans="1:20" s="172" customFormat="1" ht="50.25" hidden="1" customHeight="1">
      <c r="A314" s="300" t="s">
        <v>1380</v>
      </c>
      <c r="B314" s="273" t="s">
        <v>2375</v>
      </c>
      <c r="C314" s="272" t="s">
        <v>2376</v>
      </c>
      <c r="D314" s="273" t="s">
        <v>950</v>
      </c>
      <c r="E314" s="699"/>
      <c r="F314" s="274"/>
      <c r="G314" s="274"/>
      <c r="H314" s="699"/>
      <c r="I314" s="290"/>
      <c r="J314" s="290"/>
      <c r="K314" s="290"/>
      <c r="L314" s="290"/>
      <c r="M314" s="290"/>
      <c r="N314" s="699">
        <f>memoria!H238</f>
        <v>3.23</v>
      </c>
      <c r="O314" s="274">
        <f t="shared" si="43"/>
        <v>3.23</v>
      </c>
      <c r="P314" s="275">
        <f>41.92*1.245</f>
        <v>52.190400000000004</v>
      </c>
      <c r="Q314" s="796">
        <f t="shared" si="44"/>
        <v>168.57</v>
      </c>
      <c r="R314" s="167" t="s">
        <v>1937</v>
      </c>
    </row>
    <row r="315" spans="1:20" s="172" customFormat="1" ht="64.5" hidden="1" customHeight="1">
      <c r="A315" s="300" t="s">
        <v>1381</v>
      </c>
      <c r="B315" s="273" t="s">
        <v>2377</v>
      </c>
      <c r="C315" s="272" t="s">
        <v>2378</v>
      </c>
      <c r="D315" s="273" t="s">
        <v>950</v>
      </c>
      <c r="E315" s="699"/>
      <c r="F315" s="274"/>
      <c r="G315" s="274"/>
      <c r="H315" s="699"/>
      <c r="I315" s="290"/>
      <c r="J315" s="290"/>
      <c r="K315" s="290"/>
      <c r="L315" s="290"/>
      <c r="M315" s="290"/>
      <c r="N315" s="699">
        <f>memoria!H236</f>
        <v>7.9352000000000009</v>
      </c>
      <c r="O315" s="274">
        <f t="shared" si="43"/>
        <v>7.9352000000000009</v>
      </c>
      <c r="P315" s="275">
        <f>52.98*1.245</f>
        <v>65.960099999999997</v>
      </c>
      <c r="Q315" s="796">
        <f t="shared" si="44"/>
        <v>523.4</v>
      </c>
      <c r="R315" s="167" t="s">
        <v>1937</v>
      </c>
    </row>
    <row r="316" spans="1:20" s="172" customFormat="1" ht="52.5" hidden="1" customHeight="1">
      <c r="A316" s="300" t="s">
        <v>1391</v>
      </c>
      <c r="B316" s="271" t="s">
        <v>1320</v>
      </c>
      <c r="C316" s="803" t="s">
        <v>1382</v>
      </c>
      <c r="D316" s="273" t="s">
        <v>950</v>
      </c>
      <c r="E316" s="699"/>
      <c r="F316" s="274"/>
      <c r="G316" s="274"/>
      <c r="H316" s="699"/>
      <c r="I316" s="290"/>
      <c r="J316" s="290"/>
      <c r="K316" s="290"/>
      <c r="L316" s="290"/>
      <c r="M316" s="290"/>
      <c r="N316" s="699">
        <f>memoria!H219</f>
        <v>4.28</v>
      </c>
      <c r="O316" s="274">
        <f t="shared" si="43"/>
        <v>4.28</v>
      </c>
      <c r="P316" s="275">
        <f>COMPOSIÇÕES!B1185</f>
        <v>1102.7338500000001</v>
      </c>
      <c r="Q316" s="288">
        <f t="shared" si="44"/>
        <v>4719.7</v>
      </c>
      <c r="R316" s="167" t="s">
        <v>886</v>
      </c>
    </row>
    <row r="317" spans="1:20" s="172" customFormat="1" ht="55.5" hidden="1" customHeight="1">
      <c r="A317" s="300" t="s">
        <v>1392</v>
      </c>
      <c r="B317" s="271" t="s">
        <v>1320</v>
      </c>
      <c r="C317" s="803" t="s">
        <v>1383</v>
      </c>
      <c r="D317" s="273" t="s">
        <v>950</v>
      </c>
      <c r="E317" s="699"/>
      <c r="F317" s="274"/>
      <c r="G317" s="274"/>
      <c r="H317" s="699"/>
      <c r="I317" s="290"/>
      <c r="J317" s="290"/>
      <c r="K317" s="290"/>
      <c r="L317" s="290"/>
      <c r="M317" s="290"/>
      <c r="N317" s="699">
        <f>memoria!H220</f>
        <v>4.4400000000000004</v>
      </c>
      <c r="O317" s="274">
        <f t="shared" si="43"/>
        <v>4.4400000000000004</v>
      </c>
      <c r="P317" s="275">
        <f>COMPOSIÇÕES!B1185</f>
        <v>1102.7338500000001</v>
      </c>
      <c r="Q317" s="288">
        <f t="shared" si="44"/>
        <v>4896.13</v>
      </c>
      <c r="R317" s="167" t="s">
        <v>886</v>
      </c>
    </row>
    <row r="318" spans="1:20" s="172" customFormat="1" ht="36.75" hidden="1" customHeight="1">
      <c r="A318" s="300" t="s">
        <v>1393</v>
      </c>
      <c r="B318" s="271" t="s">
        <v>1438</v>
      </c>
      <c r="C318" s="799" t="s">
        <v>1437</v>
      </c>
      <c r="D318" s="273" t="s">
        <v>950</v>
      </c>
      <c r="E318" s="699"/>
      <c r="F318" s="274"/>
      <c r="G318" s="274"/>
      <c r="H318" s="699"/>
      <c r="I318" s="290"/>
      <c r="J318" s="290"/>
      <c r="K318" s="290"/>
      <c r="L318" s="290"/>
      <c r="M318" s="290"/>
      <c r="N318" s="699">
        <f>memoria!H239</f>
        <v>8.7200000000000006</v>
      </c>
      <c r="O318" s="274">
        <f t="shared" si="43"/>
        <v>8.7200000000000006</v>
      </c>
      <c r="P318" s="275">
        <f>COMPOSIÇÕES!B1062</f>
        <v>21.638099999999998</v>
      </c>
      <c r="Q318" s="288">
        <f t="shared" si="44"/>
        <v>188.68</v>
      </c>
      <c r="R318" s="167" t="s">
        <v>886</v>
      </c>
    </row>
    <row r="319" spans="1:20" s="172" customFormat="1" ht="38.25" hidden="1" customHeight="1">
      <c r="A319" s="300" t="s">
        <v>1394</v>
      </c>
      <c r="B319" s="271" t="s">
        <v>1387</v>
      </c>
      <c r="C319" s="799" t="s">
        <v>1386</v>
      </c>
      <c r="D319" s="273" t="s">
        <v>950</v>
      </c>
      <c r="E319" s="699"/>
      <c r="F319" s="274"/>
      <c r="G319" s="274"/>
      <c r="H319" s="699"/>
      <c r="I319" s="290"/>
      <c r="J319" s="290"/>
      <c r="K319" s="290"/>
      <c r="L319" s="290"/>
      <c r="M319" s="290"/>
      <c r="N319" s="699">
        <f>memoria!H239</f>
        <v>8.7200000000000006</v>
      </c>
      <c r="O319" s="274">
        <f t="shared" si="43"/>
        <v>8.7200000000000006</v>
      </c>
      <c r="P319" s="275">
        <f>COMPOSIÇÕES!B1082</f>
        <v>28.846649999999997</v>
      </c>
      <c r="Q319" s="288">
        <f t="shared" si="44"/>
        <v>251.54</v>
      </c>
      <c r="R319" s="167" t="s">
        <v>886</v>
      </c>
    </row>
    <row r="320" spans="1:20" s="172" customFormat="1" ht="48.75" hidden="1" customHeight="1">
      <c r="A320" s="300" t="s">
        <v>1402</v>
      </c>
      <c r="B320" s="271" t="s">
        <v>1396</v>
      </c>
      <c r="C320" s="272" t="s">
        <v>1397</v>
      </c>
      <c r="D320" s="273" t="s">
        <v>822</v>
      </c>
      <c r="E320" s="699"/>
      <c r="F320" s="274"/>
      <c r="G320" s="274"/>
      <c r="H320" s="699"/>
      <c r="I320" s="290"/>
      <c r="J320" s="290"/>
      <c r="K320" s="290"/>
      <c r="L320" s="290"/>
      <c r="M320" s="290"/>
      <c r="N320" s="699">
        <f>memoria!H240</f>
        <v>1</v>
      </c>
      <c r="O320" s="274">
        <f t="shared" si="43"/>
        <v>1</v>
      </c>
      <c r="P320" s="275">
        <f>COMPOSIÇÕES!B2088</f>
        <v>25.310850000000002</v>
      </c>
      <c r="Q320" s="288">
        <f t="shared" si="44"/>
        <v>25.31</v>
      </c>
      <c r="R320" s="167" t="s">
        <v>886</v>
      </c>
    </row>
    <row r="321" spans="1:18" s="172" customFormat="1" ht="48.75" hidden="1" customHeight="1">
      <c r="A321" s="300" t="s">
        <v>1403</v>
      </c>
      <c r="B321" s="271" t="s">
        <v>137</v>
      </c>
      <c r="C321" s="799" t="s">
        <v>1069</v>
      </c>
      <c r="D321" s="273" t="s">
        <v>822</v>
      </c>
      <c r="E321" s="699"/>
      <c r="F321" s="274"/>
      <c r="G321" s="274"/>
      <c r="H321" s="699"/>
      <c r="I321" s="290"/>
      <c r="J321" s="290"/>
      <c r="K321" s="290"/>
      <c r="L321" s="290"/>
      <c r="M321" s="290"/>
      <c r="N321" s="699">
        <f>memoria!H241</f>
        <v>1</v>
      </c>
      <c r="O321" s="274">
        <f t="shared" si="43"/>
        <v>1</v>
      </c>
      <c r="P321" s="275">
        <f>COMPOSIÇÕES!B1463</f>
        <v>119.84370000000001</v>
      </c>
      <c r="Q321" s="288">
        <f t="shared" si="44"/>
        <v>119.84</v>
      </c>
      <c r="R321" s="167" t="s">
        <v>886</v>
      </c>
    </row>
    <row r="322" spans="1:18" s="172" customFormat="1" ht="39" hidden="1" customHeight="1">
      <c r="A322" s="300" t="s">
        <v>1404</v>
      </c>
      <c r="B322" s="271" t="s">
        <v>1399</v>
      </c>
      <c r="C322" s="799" t="s">
        <v>1400</v>
      </c>
      <c r="D322" s="273" t="s">
        <v>822</v>
      </c>
      <c r="E322" s="699"/>
      <c r="F322" s="274"/>
      <c r="G322" s="274"/>
      <c r="H322" s="699"/>
      <c r="I322" s="290"/>
      <c r="J322" s="290"/>
      <c r="K322" s="290"/>
      <c r="L322" s="290"/>
      <c r="M322" s="290"/>
      <c r="N322" s="699">
        <f>memoria!H241</f>
        <v>1</v>
      </c>
      <c r="O322" s="274">
        <f t="shared" si="43"/>
        <v>1</v>
      </c>
      <c r="P322" s="275">
        <f>COMPOSIÇÕES!B1949</f>
        <v>46.637700000000002</v>
      </c>
      <c r="Q322" s="288">
        <f t="shared" si="44"/>
        <v>46.63</v>
      </c>
      <c r="R322" s="167" t="s">
        <v>886</v>
      </c>
    </row>
    <row r="323" spans="1:18" s="172" customFormat="1" ht="26.25" hidden="1" customHeight="1">
      <c r="A323" s="300"/>
      <c r="B323" s="1154"/>
      <c r="C323" s="1153" t="s">
        <v>2322</v>
      </c>
      <c r="D323" s="284"/>
      <c r="E323" s="735"/>
      <c r="F323" s="285"/>
      <c r="G323" s="285"/>
      <c r="H323" s="735"/>
      <c r="I323" s="295"/>
      <c r="J323" s="295"/>
      <c r="K323" s="295"/>
      <c r="L323" s="295"/>
      <c r="M323" s="295"/>
      <c r="N323" s="735"/>
      <c r="O323" s="285"/>
      <c r="P323" s="286"/>
      <c r="Q323" s="297">
        <f>SUM(Q299:Q322)</f>
        <v>13843.02</v>
      </c>
      <c r="R323" s="167"/>
    </row>
    <row r="324" spans="1:18" s="172" customFormat="1" ht="39" hidden="1" customHeight="1">
      <c r="A324" s="222" t="s">
        <v>1344</v>
      </c>
      <c r="B324" s="293"/>
      <c r="C324" s="218" t="s">
        <v>1405</v>
      </c>
      <c r="D324" s="293"/>
      <c r="E324" s="739"/>
      <c r="F324" s="295"/>
      <c r="G324" s="295"/>
      <c r="H324" s="295"/>
      <c r="I324" s="295"/>
      <c r="J324" s="295"/>
      <c r="K324" s="295"/>
      <c r="L324" s="295"/>
      <c r="M324" s="295"/>
      <c r="N324" s="735"/>
      <c r="O324" s="285"/>
      <c r="P324" s="296"/>
      <c r="Q324" s="297"/>
      <c r="R324" s="167"/>
    </row>
    <row r="325" spans="1:18" s="172" customFormat="1" ht="25.5" hidden="1" customHeight="1">
      <c r="A325" s="300" t="s">
        <v>1345</v>
      </c>
      <c r="B325" s="273" t="s">
        <v>371</v>
      </c>
      <c r="C325" s="272" t="s">
        <v>1358</v>
      </c>
      <c r="D325" s="273" t="s">
        <v>369</v>
      </c>
      <c r="E325" s="738"/>
      <c r="F325" s="290"/>
      <c r="G325" s="290"/>
      <c r="H325" s="290"/>
      <c r="I325" s="290"/>
      <c r="J325" s="290"/>
      <c r="K325" s="290"/>
      <c r="L325" s="290"/>
      <c r="M325" s="290"/>
      <c r="N325" s="699">
        <f>memoria!H253</f>
        <v>3.0360000000000005</v>
      </c>
      <c r="O325" s="274">
        <f t="shared" ref="O325:O342" si="45">SUM(E325:N325)</f>
        <v>3.0360000000000005</v>
      </c>
      <c r="P325" s="275">
        <f>COMPOSIÇÕES!B235</f>
        <v>77.115299999999991</v>
      </c>
      <c r="Q325" s="276">
        <f t="shared" ref="Q325:Q342" si="46">TRUNC(O325*P325,2)</f>
        <v>234.12</v>
      </c>
      <c r="R325" s="167" t="s">
        <v>886</v>
      </c>
    </row>
    <row r="326" spans="1:18" s="172" customFormat="1" ht="39" hidden="1" customHeight="1">
      <c r="A326" s="300" t="s">
        <v>1407</v>
      </c>
      <c r="B326" s="273" t="s">
        <v>439</v>
      </c>
      <c r="C326" s="272" t="s">
        <v>914</v>
      </c>
      <c r="D326" s="273" t="s">
        <v>369</v>
      </c>
      <c r="E326" s="738"/>
      <c r="F326" s="290"/>
      <c r="G326" s="290"/>
      <c r="H326" s="290"/>
      <c r="I326" s="290"/>
      <c r="J326" s="290"/>
      <c r="K326" s="290"/>
      <c r="L326" s="290"/>
      <c r="M326" s="290"/>
      <c r="N326" s="699">
        <f>memoria!H254</f>
        <v>3.946800000000001</v>
      </c>
      <c r="O326" s="274">
        <f t="shared" si="45"/>
        <v>3.946800000000001</v>
      </c>
      <c r="P326" s="275">
        <f>COMPOSIÇÕES!B284</f>
        <v>23.094749999999998</v>
      </c>
      <c r="Q326" s="276">
        <f t="shared" si="46"/>
        <v>91.15</v>
      </c>
      <c r="R326" s="167" t="s">
        <v>886</v>
      </c>
    </row>
    <row r="327" spans="1:18" s="172" customFormat="1" ht="39" hidden="1" customHeight="1">
      <c r="A327" s="300" t="s">
        <v>1408</v>
      </c>
      <c r="B327" s="273" t="s">
        <v>1326</v>
      </c>
      <c r="C327" s="272" t="s">
        <v>1327</v>
      </c>
      <c r="D327" s="273" t="s">
        <v>369</v>
      </c>
      <c r="E327" s="738"/>
      <c r="F327" s="290"/>
      <c r="G327" s="290"/>
      <c r="H327" s="290"/>
      <c r="I327" s="290"/>
      <c r="J327" s="290"/>
      <c r="K327" s="290"/>
      <c r="L327" s="290"/>
      <c r="M327" s="290"/>
      <c r="N327" s="699">
        <f>memoria!H252</f>
        <v>0.75900000000000012</v>
      </c>
      <c r="O327" s="274">
        <f t="shared" si="45"/>
        <v>0.75900000000000012</v>
      </c>
      <c r="P327" s="275">
        <f>COMPOSIÇÕES!B328</f>
        <v>228.07155</v>
      </c>
      <c r="Q327" s="276">
        <f t="shared" si="46"/>
        <v>173.1</v>
      </c>
      <c r="R327" s="167" t="s">
        <v>886</v>
      </c>
    </row>
    <row r="328" spans="1:18" s="172" customFormat="1" ht="39" hidden="1" customHeight="1">
      <c r="A328" s="300" t="s">
        <v>1409</v>
      </c>
      <c r="B328" s="273" t="s">
        <v>1336</v>
      </c>
      <c r="C328" s="272" t="s">
        <v>1335</v>
      </c>
      <c r="D328" s="273" t="s">
        <v>950</v>
      </c>
      <c r="E328" s="738"/>
      <c r="F328" s="290"/>
      <c r="G328" s="290"/>
      <c r="H328" s="290"/>
      <c r="I328" s="290"/>
      <c r="J328" s="290"/>
      <c r="K328" s="290"/>
      <c r="L328" s="290"/>
      <c r="M328" s="290"/>
      <c r="N328" s="699">
        <f>memoria!H255</f>
        <v>15.180000000000001</v>
      </c>
      <c r="O328" s="274">
        <f t="shared" si="45"/>
        <v>15.180000000000001</v>
      </c>
      <c r="P328" s="275">
        <f>COMPOSIÇÕES!B363</f>
        <v>6.3121500000000008</v>
      </c>
      <c r="Q328" s="276">
        <f t="shared" si="46"/>
        <v>95.81</v>
      </c>
      <c r="R328" s="167" t="s">
        <v>886</v>
      </c>
    </row>
    <row r="329" spans="1:18" s="172" customFormat="1" ht="39" hidden="1" customHeight="1">
      <c r="A329" s="300" t="s">
        <v>1410</v>
      </c>
      <c r="B329" s="273" t="s">
        <v>1325</v>
      </c>
      <c r="C329" s="272" t="s">
        <v>1357</v>
      </c>
      <c r="D329" s="273" t="s">
        <v>950</v>
      </c>
      <c r="E329" s="738"/>
      <c r="F329" s="290"/>
      <c r="G329" s="290"/>
      <c r="H329" s="290"/>
      <c r="I329" s="290"/>
      <c r="J329" s="290"/>
      <c r="K329" s="290"/>
      <c r="L329" s="290"/>
      <c r="M329" s="290"/>
      <c r="N329" s="699">
        <f>memoria!H250</f>
        <v>1.1824000000000001</v>
      </c>
      <c r="O329" s="274">
        <f t="shared" si="45"/>
        <v>1.1824000000000001</v>
      </c>
      <c r="P329" s="275">
        <f>COMPOSIÇÕES!B514</f>
        <v>101.03175</v>
      </c>
      <c r="Q329" s="276">
        <f t="shared" si="46"/>
        <v>119.45</v>
      </c>
      <c r="R329" s="167" t="s">
        <v>886</v>
      </c>
    </row>
    <row r="330" spans="1:18" s="172" customFormat="1" ht="36" hidden="1" customHeight="1">
      <c r="A330" s="300" t="s">
        <v>1411</v>
      </c>
      <c r="B330" s="271" t="s">
        <v>1855</v>
      </c>
      <c r="C330" s="272" t="s">
        <v>1338</v>
      </c>
      <c r="D330" s="273" t="s">
        <v>685</v>
      </c>
      <c r="E330" s="738"/>
      <c r="F330" s="290"/>
      <c r="G330" s="290"/>
      <c r="H330" s="290"/>
      <c r="I330" s="290"/>
      <c r="J330" s="290"/>
      <c r="K330" s="290"/>
      <c r="L330" s="290"/>
      <c r="M330" s="290"/>
      <c r="N330" s="699">
        <f>memoria!H251</f>
        <v>52.736200000000011</v>
      </c>
      <c r="O330" s="274">
        <f t="shared" si="45"/>
        <v>52.736200000000011</v>
      </c>
      <c r="P330" s="275">
        <f>COMPOSIÇÕES!B450</f>
        <v>7.7688000000000006</v>
      </c>
      <c r="Q330" s="276">
        <f t="shared" si="46"/>
        <v>409.69</v>
      </c>
      <c r="R330" s="167" t="s">
        <v>886</v>
      </c>
    </row>
    <row r="331" spans="1:18" s="172" customFormat="1" ht="39" hidden="1" customHeight="1">
      <c r="A331" s="300" t="s">
        <v>1412</v>
      </c>
      <c r="B331" s="273" t="s">
        <v>446</v>
      </c>
      <c r="C331" s="272" t="s">
        <v>980</v>
      </c>
      <c r="D331" s="273" t="s">
        <v>369</v>
      </c>
      <c r="E331" s="738"/>
      <c r="F331" s="290"/>
      <c r="G331" s="290"/>
      <c r="H331" s="290"/>
      <c r="I331" s="290"/>
      <c r="J331" s="290"/>
      <c r="K331" s="290"/>
      <c r="L331" s="290"/>
      <c r="M331" s="290"/>
      <c r="N331" s="699">
        <f>memoria!H248+memoria!H249</f>
        <v>2.98028</v>
      </c>
      <c r="O331" s="274">
        <f t="shared" si="45"/>
        <v>2.98028</v>
      </c>
      <c r="P331" s="275">
        <f>COMPOSIÇÕES!B536</f>
        <v>393.63164999999992</v>
      </c>
      <c r="Q331" s="276">
        <f t="shared" si="46"/>
        <v>1173.1300000000001</v>
      </c>
      <c r="R331" s="167" t="s">
        <v>886</v>
      </c>
    </row>
    <row r="332" spans="1:18" s="172" customFormat="1" ht="33.75" hidden="1" customHeight="1">
      <c r="A332" s="300" t="s">
        <v>1413</v>
      </c>
      <c r="B332" s="271" t="s">
        <v>920</v>
      </c>
      <c r="C332" s="272" t="s">
        <v>1328</v>
      </c>
      <c r="D332" s="273" t="s">
        <v>369</v>
      </c>
      <c r="E332" s="738"/>
      <c r="F332" s="290"/>
      <c r="G332" s="290"/>
      <c r="H332" s="290"/>
      <c r="I332" s="290"/>
      <c r="J332" s="290"/>
      <c r="K332" s="290"/>
      <c r="L332" s="290"/>
      <c r="M332" s="290"/>
      <c r="N332" s="699">
        <f>N331</f>
        <v>2.98028</v>
      </c>
      <c r="O332" s="274">
        <f t="shared" si="45"/>
        <v>2.98028</v>
      </c>
      <c r="P332" s="275">
        <f>COMPOSIÇÕES!B554</f>
        <v>128.16030000000001</v>
      </c>
      <c r="Q332" s="276">
        <f t="shared" si="46"/>
        <v>381.95</v>
      </c>
      <c r="R332" s="167" t="s">
        <v>886</v>
      </c>
    </row>
    <row r="333" spans="1:18" s="172" customFormat="1" ht="39" hidden="1" customHeight="1">
      <c r="A333" s="300" t="s">
        <v>1414</v>
      </c>
      <c r="B333" s="271" t="s">
        <v>1339</v>
      </c>
      <c r="C333" s="792" t="s">
        <v>1340</v>
      </c>
      <c r="D333" s="273" t="s">
        <v>950</v>
      </c>
      <c r="E333" s="738"/>
      <c r="F333" s="290"/>
      <c r="G333" s="290"/>
      <c r="H333" s="290"/>
      <c r="I333" s="290"/>
      <c r="J333" s="290"/>
      <c r="K333" s="290"/>
      <c r="L333" s="290"/>
      <c r="M333" s="290"/>
      <c r="N333" s="699">
        <f>memoria!H256</f>
        <v>8.7910000000000004</v>
      </c>
      <c r="O333" s="274">
        <f t="shared" si="45"/>
        <v>8.7910000000000004</v>
      </c>
      <c r="P333" s="275">
        <f>COMPOSIÇÕES!B913</f>
        <v>35.930700000000002</v>
      </c>
      <c r="Q333" s="276">
        <f t="shared" si="46"/>
        <v>315.86</v>
      </c>
      <c r="R333" s="167" t="s">
        <v>886</v>
      </c>
    </row>
    <row r="334" spans="1:18" s="172" customFormat="1" ht="65.25" hidden="1" customHeight="1">
      <c r="A334" s="300" t="s">
        <v>1415</v>
      </c>
      <c r="B334" s="273" t="s">
        <v>1363</v>
      </c>
      <c r="C334" s="272" t="s">
        <v>1364</v>
      </c>
      <c r="D334" s="273" t="s">
        <v>950</v>
      </c>
      <c r="E334" s="699"/>
      <c r="F334" s="274"/>
      <c r="G334" s="274"/>
      <c r="H334" s="699"/>
      <c r="I334" s="290"/>
      <c r="J334" s="290"/>
      <c r="K334" s="290"/>
      <c r="L334" s="290"/>
      <c r="M334" s="290"/>
      <c r="N334" s="699">
        <f>memoria!H257</f>
        <v>18.920000000000005</v>
      </c>
      <c r="O334" s="274">
        <f t="shared" si="45"/>
        <v>18.920000000000005</v>
      </c>
      <c r="P334" s="275">
        <f>COMPOSIÇÕES!B951</f>
        <v>65.935200000000009</v>
      </c>
      <c r="Q334" s="276">
        <f t="shared" si="46"/>
        <v>1247.49</v>
      </c>
      <c r="R334" s="167" t="s">
        <v>886</v>
      </c>
    </row>
    <row r="335" spans="1:18" s="172" customFormat="1" ht="49.5" hidden="1" customHeight="1">
      <c r="A335" s="300" t="s">
        <v>1416</v>
      </c>
      <c r="B335" s="273" t="s">
        <v>1365</v>
      </c>
      <c r="C335" s="272" t="s">
        <v>1366</v>
      </c>
      <c r="D335" s="273" t="s">
        <v>950</v>
      </c>
      <c r="E335" s="699"/>
      <c r="F335" s="274"/>
      <c r="G335" s="274"/>
      <c r="H335" s="699"/>
      <c r="I335" s="290"/>
      <c r="J335" s="290"/>
      <c r="K335" s="290"/>
      <c r="L335" s="290"/>
      <c r="M335" s="290"/>
      <c r="N335" s="699">
        <f>memoria!H258</f>
        <v>37.840000000000011</v>
      </c>
      <c r="O335" s="274">
        <f t="shared" si="45"/>
        <v>37.840000000000011</v>
      </c>
      <c r="P335" s="275">
        <f>COMPOSIÇÕES!B970</f>
        <v>4.0213500000000009</v>
      </c>
      <c r="Q335" s="276">
        <f t="shared" si="46"/>
        <v>152.16</v>
      </c>
      <c r="R335" s="167" t="s">
        <v>886</v>
      </c>
    </row>
    <row r="336" spans="1:18" s="172" customFormat="1" ht="55.5" hidden="1" customHeight="1">
      <c r="A336" s="300" t="s">
        <v>1417</v>
      </c>
      <c r="B336" s="273" t="s">
        <v>1373</v>
      </c>
      <c r="C336" s="272" t="s">
        <v>1375</v>
      </c>
      <c r="D336" s="273" t="s">
        <v>950</v>
      </c>
      <c r="E336" s="699"/>
      <c r="F336" s="274"/>
      <c r="G336" s="274"/>
      <c r="H336" s="699"/>
      <c r="I336" s="290"/>
      <c r="J336" s="290"/>
      <c r="K336" s="290"/>
      <c r="L336" s="290"/>
      <c r="M336" s="290"/>
      <c r="N336" s="699">
        <f>memoria!H259</f>
        <v>37.840000000000011</v>
      </c>
      <c r="O336" s="274">
        <f t="shared" si="45"/>
        <v>37.840000000000011</v>
      </c>
      <c r="P336" s="275">
        <f>COMPOSIÇÕES!B1008</f>
        <v>30.751500000000004</v>
      </c>
      <c r="Q336" s="276">
        <f t="shared" si="46"/>
        <v>1163.6300000000001</v>
      </c>
      <c r="R336" s="167" t="s">
        <v>886</v>
      </c>
    </row>
    <row r="337" spans="1:18" s="172" customFormat="1" ht="33" hidden="1" customHeight="1">
      <c r="A337" s="300" t="s">
        <v>1418</v>
      </c>
      <c r="B337" s="273" t="s">
        <v>1376</v>
      </c>
      <c r="C337" s="272" t="s">
        <v>1425</v>
      </c>
      <c r="D337" s="273" t="s">
        <v>950</v>
      </c>
      <c r="E337" s="699"/>
      <c r="F337" s="274"/>
      <c r="G337" s="274"/>
      <c r="H337" s="699"/>
      <c r="I337" s="290"/>
      <c r="J337" s="290"/>
      <c r="K337" s="290"/>
      <c r="L337" s="290"/>
      <c r="M337" s="290"/>
      <c r="N337" s="699">
        <f>memoria!H260</f>
        <v>37.840000000000011</v>
      </c>
      <c r="O337" s="274">
        <f t="shared" si="45"/>
        <v>37.840000000000011</v>
      </c>
      <c r="P337" s="275">
        <f>COMPOSIÇÕES!B1026</f>
        <v>12.46245</v>
      </c>
      <c r="Q337" s="276">
        <f t="shared" si="46"/>
        <v>471.57</v>
      </c>
      <c r="R337" s="167" t="s">
        <v>886</v>
      </c>
    </row>
    <row r="338" spans="1:18" s="172" customFormat="1" ht="32.25" hidden="1" customHeight="1">
      <c r="A338" s="300" t="s">
        <v>1419</v>
      </c>
      <c r="B338" s="273" t="s">
        <v>1385</v>
      </c>
      <c r="C338" s="272" t="s">
        <v>1384</v>
      </c>
      <c r="D338" s="273" t="s">
        <v>950</v>
      </c>
      <c r="E338" s="699"/>
      <c r="F338" s="274"/>
      <c r="G338" s="274"/>
      <c r="H338" s="699"/>
      <c r="I338" s="290"/>
      <c r="J338" s="290"/>
      <c r="K338" s="290"/>
      <c r="L338" s="290"/>
      <c r="M338" s="290"/>
      <c r="N338" s="699">
        <f>memoria!H260</f>
        <v>37.840000000000011</v>
      </c>
      <c r="O338" s="274">
        <f t="shared" si="45"/>
        <v>37.840000000000011</v>
      </c>
      <c r="P338" s="275">
        <f>COMPOSIÇÕES!B1044</f>
        <v>12.68655</v>
      </c>
      <c r="Q338" s="276">
        <f t="shared" si="46"/>
        <v>480.05</v>
      </c>
      <c r="R338" s="167" t="s">
        <v>886</v>
      </c>
    </row>
    <row r="339" spans="1:18" s="172" customFormat="1" ht="54.75" hidden="1" customHeight="1">
      <c r="A339" s="300" t="s">
        <v>1420</v>
      </c>
      <c r="B339" s="806" t="s">
        <v>1320</v>
      </c>
      <c r="C339" s="272" t="s">
        <v>1382</v>
      </c>
      <c r="D339" s="273" t="s">
        <v>950</v>
      </c>
      <c r="E339" s="699"/>
      <c r="F339" s="274"/>
      <c r="G339" s="274"/>
      <c r="H339" s="699"/>
      <c r="I339" s="290"/>
      <c r="J339" s="290"/>
      <c r="K339" s="290"/>
      <c r="L339" s="290"/>
      <c r="M339" s="290"/>
      <c r="N339" s="699">
        <f>memoria!H262</f>
        <v>11.984</v>
      </c>
      <c r="O339" s="274">
        <f t="shared" si="45"/>
        <v>11.984</v>
      </c>
      <c r="P339" s="275">
        <f>COMPOSIÇÕES!B1185</f>
        <v>1102.7338500000001</v>
      </c>
      <c r="Q339" s="276">
        <f t="shared" si="46"/>
        <v>13215.16</v>
      </c>
      <c r="R339" s="167" t="s">
        <v>886</v>
      </c>
    </row>
    <row r="340" spans="1:18" s="172" customFormat="1" ht="39" hidden="1" customHeight="1">
      <c r="A340" s="300" t="s">
        <v>1421</v>
      </c>
      <c r="B340" s="271" t="s">
        <v>1438</v>
      </c>
      <c r="C340" s="799" t="s">
        <v>1437</v>
      </c>
      <c r="D340" s="273" t="s">
        <v>950</v>
      </c>
      <c r="E340" s="699"/>
      <c r="F340" s="274"/>
      <c r="G340" s="274"/>
      <c r="H340" s="699"/>
      <c r="I340" s="290"/>
      <c r="J340" s="290"/>
      <c r="K340" s="290"/>
      <c r="L340" s="290"/>
      <c r="M340" s="290"/>
      <c r="N340" s="699">
        <f>memoria!H262</f>
        <v>11.984</v>
      </c>
      <c r="O340" s="274">
        <f t="shared" si="45"/>
        <v>11.984</v>
      </c>
      <c r="P340" s="275">
        <f>COMPOSIÇÕES!B1062</f>
        <v>21.638099999999998</v>
      </c>
      <c r="Q340" s="276">
        <f t="shared" si="46"/>
        <v>259.31</v>
      </c>
      <c r="R340" s="167" t="s">
        <v>886</v>
      </c>
    </row>
    <row r="341" spans="1:18" s="172" customFormat="1" ht="39" hidden="1" customHeight="1">
      <c r="A341" s="300" t="s">
        <v>1422</v>
      </c>
      <c r="B341" s="271" t="s">
        <v>1387</v>
      </c>
      <c r="C341" s="799" t="s">
        <v>1386</v>
      </c>
      <c r="D341" s="273" t="s">
        <v>950</v>
      </c>
      <c r="E341" s="699"/>
      <c r="F341" s="274"/>
      <c r="G341" s="274"/>
      <c r="H341" s="699"/>
      <c r="I341" s="290"/>
      <c r="J341" s="290"/>
      <c r="K341" s="290"/>
      <c r="L341" s="290"/>
      <c r="M341" s="290"/>
      <c r="N341" s="699">
        <f>memoria!H262</f>
        <v>11.984</v>
      </c>
      <c r="O341" s="274">
        <f t="shared" si="45"/>
        <v>11.984</v>
      </c>
      <c r="P341" s="275">
        <f>COMPOSIÇÕES!B1082</f>
        <v>28.846649999999997</v>
      </c>
      <c r="Q341" s="276">
        <f t="shared" si="46"/>
        <v>345.69</v>
      </c>
      <c r="R341" s="167" t="s">
        <v>886</v>
      </c>
    </row>
    <row r="342" spans="1:18" s="172" customFormat="1" ht="53.25" hidden="1" customHeight="1">
      <c r="A342" s="300" t="s">
        <v>2273</v>
      </c>
      <c r="B342" s="273" t="s">
        <v>1462</v>
      </c>
      <c r="C342" s="272" t="s">
        <v>1461</v>
      </c>
      <c r="D342" s="273" t="s">
        <v>346</v>
      </c>
      <c r="E342" s="699"/>
      <c r="F342" s="274"/>
      <c r="G342" s="274"/>
      <c r="H342" s="699"/>
      <c r="I342" s="290"/>
      <c r="J342" s="290"/>
      <c r="K342" s="290"/>
      <c r="L342" s="290"/>
      <c r="M342" s="290"/>
      <c r="N342" s="699">
        <f>memoria!H264</f>
        <v>26.5</v>
      </c>
      <c r="O342" s="274">
        <f t="shared" si="45"/>
        <v>26.5</v>
      </c>
      <c r="P342" s="275">
        <f>COMPOSIÇÕES!B2106</f>
        <v>29.008500000000002</v>
      </c>
      <c r="Q342" s="288">
        <f t="shared" si="46"/>
        <v>768.72</v>
      </c>
      <c r="R342" s="167" t="s">
        <v>886</v>
      </c>
    </row>
    <row r="343" spans="1:18" s="172" customFormat="1" ht="24.75" hidden="1" customHeight="1">
      <c r="A343" s="300"/>
      <c r="B343" s="284"/>
      <c r="C343" s="1153" t="s">
        <v>2321</v>
      </c>
      <c r="D343" s="284"/>
      <c r="E343" s="735"/>
      <c r="F343" s="285"/>
      <c r="G343" s="285"/>
      <c r="H343" s="735"/>
      <c r="I343" s="295"/>
      <c r="J343" s="295"/>
      <c r="K343" s="295"/>
      <c r="L343" s="295"/>
      <c r="M343" s="295"/>
      <c r="N343" s="735"/>
      <c r="O343" s="285"/>
      <c r="P343" s="286"/>
      <c r="Q343" s="297">
        <f>SUM(Q325:Q342)</f>
        <v>21098.04</v>
      </c>
      <c r="R343" s="167"/>
    </row>
    <row r="344" spans="1:18" s="172" customFormat="1" ht="29.25" hidden="1" customHeight="1">
      <c r="A344" s="222" t="s">
        <v>1431</v>
      </c>
      <c r="B344" s="293"/>
      <c r="C344" s="218" t="s">
        <v>2305</v>
      </c>
      <c r="D344" s="293"/>
      <c r="E344" s="739"/>
      <c r="F344" s="295"/>
      <c r="G344" s="295"/>
      <c r="H344" s="295"/>
      <c r="I344" s="295"/>
      <c r="J344" s="295"/>
      <c r="K344" s="295"/>
      <c r="L344" s="295"/>
      <c r="M344" s="295"/>
      <c r="N344" s="735"/>
      <c r="O344" s="285"/>
      <c r="P344" s="296"/>
      <c r="Q344" s="297"/>
      <c r="R344" s="167"/>
    </row>
    <row r="345" spans="1:18" s="172" customFormat="1" ht="26.25" hidden="1" customHeight="1">
      <c r="A345" s="300" t="s">
        <v>2238</v>
      </c>
      <c r="B345" s="271" t="s">
        <v>371</v>
      </c>
      <c r="C345" s="272" t="s">
        <v>2308</v>
      </c>
      <c r="D345" s="273" t="s">
        <v>682</v>
      </c>
      <c r="E345" s="699"/>
      <c r="F345" s="274"/>
      <c r="G345" s="274"/>
      <c r="H345" s="699"/>
      <c r="I345" s="290"/>
      <c r="J345" s="290"/>
      <c r="K345" s="290"/>
      <c r="L345" s="290"/>
      <c r="M345" s="290"/>
      <c r="N345" s="699">
        <v>1.05</v>
      </c>
      <c r="O345" s="274">
        <f t="shared" ref="O345:O359" si="47">SUM(E345:N345)</f>
        <v>1.05</v>
      </c>
      <c r="P345" s="275">
        <f>COMPOSIÇÕES!B235</f>
        <v>77.115299999999991</v>
      </c>
      <c r="Q345" s="288">
        <f t="shared" ref="Q345:Q356" si="48">TRUNC(O345*P345,2)</f>
        <v>80.97</v>
      </c>
      <c r="R345" s="167" t="s">
        <v>886</v>
      </c>
    </row>
    <row r="346" spans="1:18" s="172" customFormat="1" ht="32.25" hidden="1" customHeight="1">
      <c r="A346" s="300" t="s">
        <v>2239</v>
      </c>
      <c r="B346" s="273" t="s">
        <v>439</v>
      </c>
      <c r="C346" s="272" t="s">
        <v>914</v>
      </c>
      <c r="D346" s="273" t="s">
        <v>682</v>
      </c>
      <c r="E346" s="699"/>
      <c r="F346" s="274"/>
      <c r="G346" s="274"/>
      <c r="H346" s="699"/>
      <c r="I346" s="290"/>
      <c r="J346" s="290"/>
      <c r="K346" s="290"/>
      <c r="L346" s="290"/>
      <c r="M346" s="290"/>
      <c r="N346" s="699">
        <v>1.36</v>
      </c>
      <c r="O346" s="274">
        <f t="shared" si="47"/>
        <v>1.36</v>
      </c>
      <c r="P346" s="275">
        <f>COMPOSIÇÕES!B284</f>
        <v>23.094749999999998</v>
      </c>
      <c r="Q346" s="288">
        <f t="shared" si="48"/>
        <v>31.4</v>
      </c>
      <c r="R346" s="167" t="s">
        <v>886</v>
      </c>
    </row>
    <row r="347" spans="1:18" s="172" customFormat="1" ht="33.75" hidden="1" customHeight="1">
      <c r="A347" s="300" t="s">
        <v>2242</v>
      </c>
      <c r="B347" s="273" t="s">
        <v>443</v>
      </c>
      <c r="C347" s="272" t="s">
        <v>1433</v>
      </c>
      <c r="D347" s="273" t="s">
        <v>682</v>
      </c>
      <c r="E347" s="699"/>
      <c r="F347" s="274"/>
      <c r="G347" s="274"/>
      <c r="H347" s="699"/>
      <c r="I347" s="290"/>
      <c r="J347" s="290"/>
      <c r="K347" s="290"/>
      <c r="L347" s="290"/>
      <c r="M347" s="290"/>
      <c r="N347" s="699">
        <v>0.31</v>
      </c>
      <c r="O347" s="274">
        <f t="shared" si="47"/>
        <v>0.31</v>
      </c>
      <c r="P347" s="275">
        <f>COMPOSIÇÕES!B347</f>
        <v>354.82499999999999</v>
      </c>
      <c r="Q347" s="288">
        <f t="shared" si="48"/>
        <v>109.99</v>
      </c>
      <c r="R347" s="167" t="s">
        <v>886</v>
      </c>
    </row>
    <row r="348" spans="1:18" s="172" customFormat="1" ht="41.25" hidden="1" customHeight="1">
      <c r="A348" s="300" t="s">
        <v>2243</v>
      </c>
      <c r="B348" s="273" t="s">
        <v>444</v>
      </c>
      <c r="C348" s="272" t="s">
        <v>1432</v>
      </c>
      <c r="D348" s="273" t="s">
        <v>685</v>
      </c>
      <c r="E348" s="699"/>
      <c r="F348" s="274"/>
      <c r="G348" s="274"/>
      <c r="H348" s="699"/>
      <c r="I348" s="290"/>
      <c r="J348" s="290"/>
      <c r="K348" s="290"/>
      <c r="L348" s="290"/>
      <c r="M348" s="290"/>
      <c r="N348" s="699">
        <v>142.16</v>
      </c>
      <c r="O348" s="274">
        <f t="shared" si="47"/>
        <v>142.16</v>
      </c>
      <c r="P348" s="275">
        <f>COMPOSIÇÕES!B471</f>
        <v>11.366849999999999</v>
      </c>
      <c r="Q348" s="288">
        <f t="shared" si="48"/>
        <v>1615.91</v>
      </c>
      <c r="R348" s="167" t="s">
        <v>886</v>
      </c>
    </row>
    <row r="349" spans="1:18" s="172" customFormat="1" ht="39.75" hidden="1" customHeight="1">
      <c r="A349" s="300" t="s">
        <v>2244</v>
      </c>
      <c r="B349" s="273" t="s">
        <v>446</v>
      </c>
      <c r="C349" s="272" t="s">
        <v>980</v>
      </c>
      <c r="D349" s="273" t="s">
        <v>682</v>
      </c>
      <c r="E349" s="699"/>
      <c r="F349" s="274"/>
      <c r="G349" s="274"/>
      <c r="H349" s="699"/>
      <c r="I349" s="290"/>
      <c r="J349" s="290"/>
      <c r="K349" s="290"/>
      <c r="L349" s="290"/>
      <c r="M349" s="290"/>
      <c r="N349" s="699">
        <v>1.78</v>
      </c>
      <c r="O349" s="274">
        <f t="shared" si="47"/>
        <v>1.78</v>
      </c>
      <c r="P349" s="275">
        <f>COMPOSIÇÕES!B536</f>
        <v>393.63164999999992</v>
      </c>
      <c r="Q349" s="288">
        <f t="shared" si="48"/>
        <v>700.66</v>
      </c>
      <c r="R349" s="167" t="s">
        <v>886</v>
      </c>
    </row>
    <row r="350" spans="1:18" s="172" customFormat="1" ht="34.5" hidden="1" customHeight="1">
      <c r="A350" s="300" t="s">
        <v>2245</v>
      </c>
      <c r="B350" s="271" t="s">
        <v>920</v>
      </c>
      <c r="C350" s="272" t="s">
        <v>1434</v>
      </c>
      <c r="D350" s="273" t="s">
        <v>682</v>
      </c>
      <c r="E350" s="699"/>
      <c r="F350" s="274"/>
      <c r="G350" s="274"/>
      <c r="H350" s="699"/>
      <c r="I350" s="290"/>
      <c r="J350" s="290"/>
      <c r="K350" s="290"/>
      <c r="L350" s="290"/>
      <c r="M350" s="290"/>
      <c r="N350" s="699">
        <v>1.78</v>
      </c>
      <c r="O350" s="274">
        <f t="shared" si="47"/>
        <v>1.78</v>
      </c>
      <c r="P350" s="275">
        <f>COMPOSIÇÕES!B554</f>
        <v>128.16030000000001</v>
      </c>
      <c r="Q350" s="288">
        <f t="shared" si="48"/>
        <v>228.12</v>
      </c>
      <c r="R350" s="167" t="s">
        <v>886</v>
      </c>
    </row>
    <row r="351" spans="1:18" s="172" customFormat="1" ht="70.5" customHeight="1">
      <c r="A351" s="300" t="s">
        <v>2246</v>
      </c>
      <c r="B351" s="271" t="s">
        <v>1919</v>
      </c>
      <c r="C351" s="287" t="s">
        <v>1920</v>
      </c>
      <c r="D351" s="273" t="s">
        <v>858</v>
      </c>
      <c r="E351" s="699"/>
      <c r="F351" s="274"/>
      <c r="G351" s="274"/>
      <c r="H351" s="699"/>
      <c r="I351" s="290"/>
      <c r="J351" s="290"/>
      <c r="K351" s="290"/>
      <c r="L351" s="290"/>
      <c r="M351" s="290"/>
      <c r="N351" s="699">
        <v>52.5</v>
      </c>
      <c r="O351" s="274">
        <f t="shared" si="47"/>
        <v>52.5</v>
      </c>
      <c r="P351" s="275">
        <f>COMPOSIÇÕES!B1206</f>
        <v>138.10785000000001</v>
      </c>
      <c r="Q351" s="288">
        <f t="shared" si="48"/>
        <v>7250.66</v>
      </c>
      <c r="R351" s="167" t="s">
        <v>886</v>
      </c>
    </row>
    <row r="352" spans="1:18" s="172" customFormat="1" ht="55.5" customHeight="1">
      <c r="A352" s="300" t="s">
        <v>2247</v>
      </c>
      <c r="B352" s="271" t="s">
        <v>1320</v>
      </c>
      <c r="C352" s="272" t="s">
        <v>2306</v>
      </c>
      <c r="D352" s="273" t="s">
        <v>858</v>
      </c>
      <c r="E352" s="699"/>
      <c r="F352" s="274"/>
      <c r="G352" s="274"/>
      <c r="H352" s="699"/>
      <c r="I352" s="290"/>
      <c r="J352" s="290"/>
      <c r="K352" s="290"/>
      <c r="L352" s="290"/>
      <c r="M352" s="290"/>
      <c r="N352" s="699">
        <f>memoria!H167</f>
        <v>21</v>
      </c>
      <c r="O352" s="274">
        <f t="shared" si="47"/>
        <v>21</v>
      </c>
      <c r="P352" s="275">
        <f>COMPOSIÇÕES!B1185</f>
        <v>1102.7338500000001</v>
      </c>
      <c r="Q352" s="288">
        <f t="shared" si="48"/>
        <v>23157.41</v>
      </c>
      <c r="R352" s="167" t="s">
        <v>886</v>
      </c>
    </row>
    <row r="353" spans="1:19" s="172" customFormat="1" ht="53.25" customHeight="1">
      <c r="A353" s="300" t="s">
        <v>2240</v>
      </c>
      <c r="B353" s="271" t="s">
        <v>2092</v>
      </c>
      <c r="C353" s="272" t="s">
        <v>1426</v>
      </c>
      <c r="D353" s="273" t="s">
        <v>822</v>
      </c>
      <c r="E353" s="699"/>
      <c r="F353" s="274"/>
      <c r="G353" s="274"/>
      <c r="H353" s="699"/>
      <c r="I353" s="290"/>
      <c r="J353" s="290"/>
      <c r="K353" s="290"/>
      <c r="L353" s="290"/>
      <c r="M353" s="290"/>
      <c r="N353" s="699">
        <v>1</v>
      </c>
      <c r="O353" s="274">
        <f t="shared" si="47"/>
        <v>1</v>
      </c>
      <c r="P353" s="275">
        <f>8582.95*1.245</f>
        <v>10685.772750000002</v>
      </c>
      <c r="Q353" s="288">
        <f t="shared" si="48"/>
        <v>10685.77</v>
      </c>
      <c r="R353" s="167" t="s">
        <v>1940</v>
      </c>
    </row>
    <row r="354" spans="1:19" s="172" customFormat="1" ht="29.25" hidden="1" customHeight="1">
      <c r="A354" s="300" t="s">
        <v>2248</v>
      </c>
      <c r="B354" s="289"/>
      <c r="C354" s="272" t="s">
        <v>1322</v>
      </c>
      <c r="D354" s="273" t="s">
        <v>346</v>
      </c>
      <c r="E354" s="699"/>
      <c r="F354" s="274"/>
      <c r="G354" s="274"/>
      <c r="H354" s="699"/>
      <c r="I354" s="290"/>
      <c r="J354" s="290"/>
      <c r="K354" s="290"/>
      <c r="L354" s="290"/>
      <c r="M354" s="290"/>
      <c r="N354" s="699"/>
      <c r="O354" s="274">
        <f t="shared" si="47"/>
        <v>0</v>
      </c>
      <c r="P354" s="275">
        <f>78.6*1.245</f>
        <v>97.856999999999999</v>
      </c>
      <c r="Q354" s="288">
        <f t="shared" si="48"/>
        <v>0</v>
      </c>
      <c r="R354" s="167" t="s">
        <v>378</v>
      </c>
    </row>
    <row r="355" spans="1:19" s="172" customFormat="1" ht="33" customHeight="1">
      <c r="A355" s="300" t="s">
        <v>2248</v>
      </c>
      <c r="B355" s="271" t="s">
        <v>1438</v>
      </c>
      <c r="C355" s="799" t="s">
        <v>1437</v>
      </c>
      <c r="D355" s="273" t="s">
        <v>950</v>
      </c>
      <c r="E355" s="699"/>
      <c r="F355" s="274"/>
      <c r="G355" s="274"/>
      <c r="H355" s="699"/>
      <c r="I355" s="290"/>
      <c r="J355" s="290"/>
      <c r="K355" s="290"/>
      <c r="L355" s="290"/>
      <c r="M355" s="290"/>
      <c r="N355" s="789">
        <v>78.75</v>
      </c>
      <c r="O355" s="274">
        <f t="shared" si="47"/>
        <v>78.75</v>
      </c>
      <c r="P355" s="275">
        <f>COMPOSIÇÕES!B1062</f>
        <v>21.638099999999998</v>
      </c>
      <c r="Q355" s="288">
        <f t="shared" si="48"/>
        <v>1704</v>
      </c>
      <c r="R355" s="167" t="s">
        <v>886</v>
      </c>
    </row>
    <row r="356" spans="1:19" s="172" customFormat="1" ht="36.75" customHeight="1">
      <c r="A356" s="300" t="s">
        <v>2249</v>
      </c>
      <c r="B356" s="271" t="s">
        <v>1387</v>
      </c>
      <c r="C356" s="799" t="s">
        <v>1386</v>
      </c>
      <c r="D356" s="273" t="s">
        <v>950</v>
      </c>
      <c r="E356" s="699"/>
      <c r="F356" s="274"/>
      <c r="G356" s="274"/>
      <c r="H356" s="699"/>
      <c r="I356" s="290"/>
      <c r="J356" s="290"/>
      <c r="K356" s="290"/>
      <c r="L356" s="290"/>
      <c r="M356" s="290"/>
      <c r="N356" s="789">
        <v>78.75</v>
      </c>
      <c r="O356" s="274">
        <f t="shared" si="47"/>
        <v>78.75</v>
      </c>
      <c r="P356" s="275">
        <f>COMPOSIÇÕES!B1082</f>
        <v>28.846649999999997</v>
      </c>
      <c r="Q356" s="288">
        <f t="shared" si="48"/>
        <v>2271.67</v>
      </c>
      <c r="R356" s="167" t="s">
        <v>886</v>
      </c>
    </row>
    <row r="357" spans="1:19" s="172" customFormat="1" ht="23.25" customHeight="1">
      <c r="A357" s="300"/>
      <c r="B357" s="806"/>
      <c r="C357" s="1153" t="s">
        <v>2320</v>
      </c>
      <c r="D357" s="284"/>
      <c r="E357" s="735"/>
      <c r="F357" s="285"/>
      <c r="G357" s="285"/>
      <c r="H357" s="735"/>
      <c r="I357" s="295"/>
      <c r="J357" s="295"/>
      <c r="K357" s="295"/>
      <c r="L357" s="295"/>
      <c r="M357" s="295"/>
      <c r="N357" s="1152"/>
      <c r="O357" s="285"/>
      <c r="P357" s="286"/>
      <c r="Q357" s="297">
        <f>SUM(Q345:Q356)</f>
        <v>47836.56</v>
      </c>
      <c r="R357" s="167"/>
    </row>
    <row r="358" spans="1:19" s="172" customFormat="1" ht="29.25" customHeight="1">
      <c r="A358" s="222" t="s">
        <v>1458</v>
      </c>
      <c r="B358" s="804"/>
      <c r="C358" s="218" t="s">
        <v>1267</v>
      </c>
      <c r="D358" s="293"/>
      <c r="E358" s="739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6"/>
      <c r="Q358" s="297"/>
      <c r="R358" s="167"/>
    </row>
    <row r="359" spans="1:19" s="172" customFormat="1" ht="29.25" customHeight="1">
      <c r="A359" s="317" t="s">
        <v>1459</v>
      </c>
      <c r="B359" s="956" t="s">
        <v>1930</v>
      </c>
      <c r="C359" s="318" t="s">
        <v>538</v>
      </c>
      <c r="D359" s="864" t="s">
        <v>950</v>
      </c>
      <c r="E359" s="749"/>
      <c r="F359" s="319"/>
      <c r="G359" s="319"/>
      <c r="H359" s="319"/>
      <c r="I359" s="319"/>
      <c r="J359" s="319"/>
      <c r="K359" s="319"/>
      <c r="L359" s="319"/>
      <c r="M359" s="319"/>
      <c r="N359" s="687">
        <v>6315</v>
      </c>
      <c r="O359" s="682">
        <f t="shared" si="47"/>
        <v>6315</v>
      </c>
      <c r="P359" s="955">
        <f>COMPOSIÇÕES!B1222</f>
        <v>2.9132999999999996</v>
      </c>
      <c r="Q359" s="984">
        <f t="shared" ref="Q359" si="49">TRUNC(O359*P359,2)</f>
        <v>18397.48</v>
      </c>
      <c r="R359" s="167" t="s">
        <v>886</v>
      </c>
    </row>
    <row r="360" spans="1:19" s="172" customFormat="1" ht="29.25" customHeight="1">
      <c r="A360" s="300"/>
      <c r="B360" s="284"/>
      <c r="C360" s="1153" t="s">
        <v>2369</v>
      </c>
      <c r="D360" s="284"/>
      <c r="E360" s="739"/>
      <c r="F360" s="295"/>
      <c r="G360" s="295"/>
      <c r="H360" s="295"/>
      <c r="I360" s="295"/>
      <c r="J360" s="295"/>
      <c r="K360" s="295"/>
      <c r="L360" s="295"/>
      <c r="M360" s="295"/>
      <c r="N360" s="285"/>
      <c r="O360" s="285"/>
      <c r="P360" s="286"/>
      <c r="Q360" s="297">
        <f>Q359</f>
        <v>18397.48</v>
      </c>
      <c r="R360" s="167"/>
    </row>
    <row r="361" spans="1:19" s="172" customFormat="1" ht="29.25" customHeight="1">
      <c r="A361" s="223"/>
      <c r="B361" s="253"/>
      <c r="C361" s="263" t="s">
        <v>539</v>
      </c>
      <c r="D361" s="253"/>
      <c r="E361" s="733"/>
      <c r="F361" s="254"/>
      <c r="G361" s="254"/>
      <c r="H361" s="254"/>
      <c r="I361" s="254"/>
      <c r="J361" s="254"/>
      <c r="K361" s="254"/>
      <c r="L361" s="254"/>
      <c r="M361" s="254"/>
      <c r="N361" s="254"/>
      <c r="O361" s="254"/>
      <c r="P361" s="255"/>
      <c r="Q361" s="256">
        <f>Q357+Q343+Q323+Q297+Q360</f>
        <v>242512.01000000004</v>
      </c>
      <c r="R361" s="167"/>
    </row>
    <row r="362" spans="1:19" s="158" customFormat="1" ht="16.5" customHeight="1">
      <c r="A362" s="320"/>
      <c r="B362" s="321"/>
      <c r="C362" s="322"/>
      <c r="D362" s="321"/>
      <c r="E362" s="750"/>
      <c r="F362" s="323"/>
      <c r="G362" s="323"/>
      <c r="H362" s="323"/>
      <c r="I362" s="323"/>
      <c r="J362" s="323"/>
      <c r="K362" s="323"/>
      <c r="L362" s="323"/>
      <c r="M362" s="323"/>
      <c r="N362" s="323"/>
      <c r="O362" s="323"/>
      <c r="P362" s="324"/>
      <c r="Q362" s="325"/>
      <c r="R362" s="771"/>
    </row>
    <row r="363" spans="1:19" s="172" customFormat="1" ht="34.5" customHeight="1">
      <c r="A363" s="1062"/>
      <c r="B363" s="1063"/>
      <c r="C363" s="1064" t="s">
        <v>2021</v>
      </c>
      <c r="D363" s="1063"/>
      <c r="E363" s="1066"/>
      <c r="F363" s="1067"/>
      <c r="G363" s="1067"/>
      <c r="H363" s="1067"/>
      <c r="I363" s="1067"/>
      <c r="J363" s="1067"/>
      <c r="K363" s="1067"/>
      <c r="L363" s="1067"/>
      <c r="M363" s="1067"/>
      <c r="N363" s="1067"/>
      <c r="O363" s="1067"/>
      <c r="P363" s="1068"/>
      <c r="Q363" s="1065">
        <f>Q45+Q73+Q77+Q96+Q107+Q118+Q129+Q281+Q361</f>
        <v>5062267.84</v>
      </c>
      <c r="R363" s="1196"/>
      <c r="S363" s="1279">
        <v>5062267.84</v>
      </c>
    </row>
    <row r="364" spans="1:19" s="167" customFormat="1" ht="42" customHeight="1">
      <c r="A364" s="1297"/>
      <c r="B364" s="1298"/>
      <c r="C364" s="1298"/>
      <c r="D364" s="1298"/>
      <c r="E364" s="1298"/>
      <c r="F364" s="1298"/>
      <c r="G364" s="1298"/>
      <c r="H364" s="1298"/>
      <c r="I364" s="1298"/>
      <c r="J364" s="1298"/>
      <c r="K364" s="1298"/>
      <c r="L364" s="1298"/>
      <c r="M364" s="1298"/>
      <c r="N364" s="1298"/>
      <c r="O364" s="1298"/>
      <c r="P364" s="1298"/>
      <c r="Q364" s="1299"/>
      <c r="R364" s="179"/>
      <c r="S364" s="179">
        <f>Q363-S363</f>
        <v>0</v>
      </c>
    </row>
    <row r="365" spans="1:19" ht="63" customHeight="1">
      <c r="A365" s="1263"/>
      <c r="B365" s="1266"/>
      <c r="C365" s="1254" t="s">
        <v>2022</v>
      </c>
      <c r="D365" s="1264"/>
      <c r="E365" s="1264"/>
      <c r="F365" s="1264"/>
      <c r="G365" s="1264"/>
      <c r="H365" s="1264"/>
      <c r="I365" s="1264"/>
      <c r="J365" s="1264"/>
      <c r="K365" s="1264"/>
      <c r="L365" s="1264"/>
      <c r="M365" s="1264"/>
      <c r="N365" s="1264"/>
      <c r="O365" s="1264"/>
      <c r="P365" s="1269" t="s">
        <v>2405</v>
      </c>
      <c r="Q365" s="1265"/>
    </row>
    <row r="366" spans="1:19" ht="17.25" customHeight="1" thickBot="1">
      <c r="A366" s="237"/>
      <c r="B366" s="202"/>
      <c r="C366" s="203"/>
      <c r="D366" s="204"/>
      <c r="E366" s="751"/>
      <c r="F366" s="205"/>
      <c r="G366" s="205"/>
      <c r="H366" s="205"/>
      <c r="I366" s="205"/>
      <c r="J366" s="205"/>
      <c r="K366" s="205"/>
      <c r="L366" s="205"/>
      <c r="M366" s="205"/>
      <c r="N366" s="205"/>
      <c r="O366" s="205"/>
      <c r="P366" s="205"/>
      <c r="Q366" s="206"/>
    </row>
    <row r="367" spans="1:19" ht="63" customHeight="1">
      <c r="A367" s="238"/>
      <c r="B367" s="207"/>
      <c r="C367" s="208"/>
      <c r="D367" s="207"/>
      <c r="E367" s="752"/>
      <c r="F367" s="209"/>
      <c r="G367" s="209"/>
      <c r="H367" s="209"/>
      <c r="I367" s="209"/>
      <c r="J367" s="209"/>
      <c r="K367" s="209"/>
      <c r="L367" s="209"/>
      <c r="M367" s="209"/>
      <c r="N367" s="209"/>
      <c r="O367" s="209"/>
      <c r="P367" s="209"/>
      <c r="Q367" s="209"/>
    </row>
    <row r="368" spans="1:19" ht="63" customHeight="1">
      <c r="A368" s="239"/>
      <c r="B368" s="210"/>
      <c r="C368" s="211"/>
      <c r="D368" s="210"/>
      <c r="E368" s="753"/>
      <c r="F368" s="212"/>
      <c r="G368" s="212"/>
      <c r="H368" s="212"/>
      <c r="I368" s="212"/>
      <c r="J368" s="212"/>
      <c r="K368" s="212"/>
      <c r="L368" s="212"/>
      <c r="M368" s="212"/>
      <c r="N368" s="212"/>
      <c r="O368" s="212"/>
      <c r="P368" s="212"/>
      <c r="Q368" s="212"/>
    </row>
    <row r="369" spans="1:20" ht="63" customHeight="1">
      <c r="A369" s="239"/>
      <c r="B369" s="210"/>
      <c r="C369" s="211"/>
      <c r="D369" s="210"/>
      <c r="E369" s="753"/>
      <c r="F369" s="212"/>
      <c r="G369" s="212"/>
      <c r="H369" s="212"/>
      <c r="I369" s="212"/>
      <c r="J369" s="212"/>
      <c r="K369" s="212"/>
      <c r="L369" s="212"/>
      <c r="M369" s="212"/>
      <c r="N369" s="212"/>
      <c r="O369" s="212"/>
      <c r="P369" s="212"/>
      <c r="Q369" s="212"/>
    </row>
    <row r="370" spans="1:20" ht="20.100000000000001" customHeight="1"/>
    <row r="371" spans="1:20" ht="20.100000000000001" customHeight="1">
      <c r="T371" s="201">
        <v>6386.25</v>
      </c>
    </row>
    <row r="372" spans="1:20" ht="20.100000000000001" customHeight="1">
      <c r="Q372" s="215">
        <v>210.7</v>
      </c>
      <c r="R372" s="215">
        <v>7.21</v>
      </c>
      <c r="S372" s="201">
        <f>Q372*R372</f>
        <v>1519.1469999999999</v>
      </c>
    </row>
    <row r="373" spans="1:20" ht="20.100000000000001" customHeight="1">
      <c r="Q373" s="215">
        <v>3.73</v>
      </c>
      <c r="R373" s="201">
        <v>384.62</v>
      </c>
      <c r="S373" s="201">
        <f t="shared" ref="S373:S378" si="50">Q373*R373</f>
        <v>1434.6325999999999</v>
      </c>
    </row>
    <row r="374" spans="1:20" ht="20.100000000000001" customHeight="1">
      <c r="Q374" s="215">
        <v>5.3</v>
      </c>
      <c r="R374" s="201">
        <v>142.83000000000001</v>
      </c>
      <c r="S374" s="201">
        <f t="shared" si="50"/>
        <v>756.99900000000002</v>
      </c>
    </row>
    <row r="375" spans="1:20" ht="20.100000000000001" customHeight="1">
      <c r="Q375" s="215">
        <v>5.3</v>
      </c>
      <c r="R375" s="201">
        <v>266.93</v>
      </c>
      <c r="S375" s="201">
        <f t="shared" si="50"/>
        <v>1414.729</v>
      </c>
    </row>
    <row r="376" spans="1:20" ht="20.100000000000001" customHeight="1">
      <c r="Q376" s="215">
        <v>0.41</v>
      </c>
      <c r="R376" s="201">
        <v>382.02</v>
      </c>
      <c r="S376" s="201">
        <f t="shared" si="50"/>
        <v>156.62819999999999</v>
      </c>
    </row>
    <row r="377" spans="1:20" ht="20.100000000000001" customHeight="1">
      <c r="Q377" s="215">
        <v>397.44</v>
      </c>
      <c r="R377" s="201">
        <v>7.2</v>
      </c>
      <c r="S377" s="201">
        <f t="shared" si="50"/>
        <v>2861.5680000000002</v>
      </c>
    </row>
    <row r="378" spans="1:20" ht="20.100000000000001" customHeight="1">
      <c r="Q378" s="215">
        <v>233.05</v>
      </c>
      <c r="R378" s="201">
        <v>7.47</v>
      </c>
      <c r="S378" s="201">
        <f t="shared" si="50"/>
        <v>1740.8835000000001</v>
      </c>
    </row>
    <row r="379" spans="1:20" ht="20.100000000000001" customHeight="1">
      <c r="Q379" s="215">
        <v>15.56</v>
      </c>
      <c r="R379" s="1255" t="s">
        <v>2397</v>
      </c>
    </row>
    <row r="380" spans="1:20" ht="20.100000000000001" customHeight="1">
      <c r="Q380" s="215">
        <v>15.56</v>
      </c>
      <c r="R380" s="1255">
        <v>125.47</v>
      </c>
    </row>
    <row r="381" spans="1:20" ht="20.100000000000001" customHeight="1"/>
    <row r="382" spans="1:20" ht="20.100000000000001" customHeight="1"/>
    <row r="383" spans="1:20" ht="20.100000000000001" customHeight="1"/>
    <row r="384" spans="1:20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</sheetData>
  <mergeCells count="13">
    <mergeCell ref="E1:Q2"/>
    <mergeCell ref="A364:Q364"/>
    <mergeCell ref="A1:B2"/>
    <mergeCell ref="S76:T76"/>
    <mergeCell ref="A4:A5"/>
    <mergeCell ref="B4:B5"/>
    <mergeCell ref="C4:C5"/>
    <mergeCell ref="D4:D5"/>
    <mergeCell ref="O4:O5"/>
    <mergeCell ref="P4:P5"/>
    <mergeCell ref="Q4:Q5"/>
    <mergeCell ref="E4:N4"/>
    <mergeCell ref="C109:O109"/>
  </mergeCells>
  <printOptions horizontalCentered="1" verticalCentered="1"/>
  <pageMargins left="0.70866141732283472" right="0.31496062992125984" top="0.39370078740157483" bottom="0.39370078740157483" header="0" footer="0"/>
  <pageSetup paperSize="9" scale="92" fitToHeight="0" orientation="landscape" horizontalDpi="300" verticalDpi="300" r:id="rId1"/>
  <headerFooter>
    <oddFooter>Página &amp;P de &amp;N</oddFooter>
  </headerFooter>
  <rowBreaks count="7" manualBreakCount="7">
    <brk id="29" max="16" man="1"/>
    <brk id="62" max="16" man="1"/>
    <brk id="95" max="16" man="1"/>
    <brk id="207" max="16" man="1"/>
    <brk id="292" max="16" man="1"/>
    <brk id="319" max="16" man="1"/>
    <brk id="347" max="16" man="1"/>
  </rowBreaks>
  <ignoredErrors>
    <ignoredError sqref="H289" formula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K2197"/>
  <sheetViews>
    <sheetView showGridLines="0" tabSelected="1" zoomScale="124" zoomScaleNormal="124" zoomScaleSheetLayoutView="106" workbookViewId="0">
      <selection activeCell="B7" sqref="B7:B8"/>
    </sheetView>
  </sheetViews>
  <sheetFormatPr defaultRowHeight="11.25"/>
  <cols>
    <col min="1" max="1" width="11.5703125" style="130" customWidth="1"/>
    <col min="2" max="2" width="45.140625" style="135" customWidth="1"/>
    <col min="3" max="3" width="6.85546875" style="133" customWidth="1"/>
    <col min="4" max="4" width="7.28515625" style="130" customWidth="1"/>
    <col min="5" max="5" width="9.5703125" style="135" customWidth="1"/>
    <col min="6" max="6" width="26.140625" style="135" customWidth="1"/>
    <col min="7" max="7" width="9.42578125" style="135" customWidth="1"/>
    <col min="8" max="8" width="7.7109375" style="130" customWidth="1"/>
    <col min="9" max="11" width="9.140625" style="130"/>
    <col min="12" max="12" width="10.42578125" style="130" customWidth="1"/>
    <col min="13" max="13" width="11.140625" style="130" customWidth="1"/>
    <col min="14" max="249" width="9.140625" style="130"/>
    <col min="250" max="250" width="5.85546875" style="130" customWidth="1"/>
    <col min="251" max="251" width="50.42578125" style="130" customWidth="1"/>
    <col min="252" max="255" width="7.7109375" style="130" customWidth="1"/>
    <col min="256" max="256" width="10.140625" style="130" customWidth="1"/>
    <col min="257" max="260" width="7.7109375" style="130" customWidth="1"/>
    <col min="261" max="261" width="31.7109375" style="130" bestFit="1" customWidth="1"/>
    <col min="262" max="505" width="9.140625" style="130"/>
    <col min="506" max="506" width="5.85546875" style="130" customWidth="1"/>
    <col min="507" max="507" width="50.42578125" style="130" customWidth="1"/>
    <col min="508" max="511" width="7.7109375" style="130" customWidth="1"/>
    <col min="512" max="512" width="10.140625" style="130" customWidth="1"/>
    <col min="513" max="516" width="7.7109375" style="130" customWidth="1"/>
    <col min="517" max="517" width="31.7109375" style="130" bestFit="1" customWidth="1"/>
    <col min="518" max="761" width="9.140625" style="130"/>
    <col min="762" max="762" width="5.85546875" style="130" customWidth="1"/>
    <col min="763" max="763" width="50.42578125" style="130" customWidth="1"/>
    <col min="764" max="767" width="7.7109375" style="130" customWidth="1"/>
    <col min="768" max="768" width="10.140625" style="130" customWidth="1"/>
    <col min="769" max="772" width="7.7109375" style="130" customWidth="1"/>
    <col min="773" max="773" width="31.7109375" style="130" bestFit="1" customWidth="1"/>
    <col min="774" max="1017" width="9.140625" style="130"/>
    <col min="1018" max="1018" width="5.85546875" style="130" customWidth="1"/>
    <col min="1019" max="1019" width="50.42578125" style="130" customWidth="1"/>
    <col min="1020" max="1023" width="7.7109375" style="130" customWidth="1"/>
    <col min="1024" max="1024" width="10.140625" style="130" customWidth="1"/>
    <col min="1025" max="1028" width="7.7109375" style="130" customWidth="1"/>
    <col min="1029" max="1029" width="31.7109375" style="130" bestFit="1" customWidth="1"/>
    <col min="1030" max="1273" width="9.140625" style="130"/>
    <col min="1274" max="1274" width="5.85546875" style="130" customWidth="1"/>
    <col min="1275" max="1275" width="50.42578125" style="130" customWidth="1"/>
    <col min="1276" max="1279" width="7.7109375" style="130" customWidth="1"/>
    <col min="1280" max="1280" width="10.140625" style="130" customWidth="1"/>
    <col min="1281" max="1284" width="7.7109375" style="130" customWidth="1"/>
    <col min="1285" max="1285" width="31.7109375" style="130" bestFit="1" customWidth="1"/>
    <col min="1286" max="1529" width="9.140625" style="130"/>
    <col min="1530" max="1530" width="5.85546875" style="130" customWidth="1"/>
    <col min="1531" max="1531" width="50.42578125" style="130" customWidth="1"/>
    <col min="1532" max="1535" width="7.7109375" style="130" customWidth="1"/>
    <col min="1536" max="1536" width="10.140625" style="130" customWidth="1"/>
    <col min="1537" max="1540" width="7.7109375" style="130" customWidth="1"/>
    <col min="1541" max="1541" width="31.7109375" style="130" bestFit="1" customWidth="1"/>
    <col min="1542" max="1785" width="9.140625" style="130"/>
    <col min="1786" max="1786" width="5.85546875" style="130" customWidth="1"/>
    <col min="1787" max="1787" width="50.42578125" style="130" customWidth="1"/>
    <col min="1788" max="1791" width="7.7109375" style="130" customWidth="1"/>
    <col min="1792" max="1792" width="10.140625" style="130" customWidth="1"/>
    <col min="1793" max="1796" width="7.7109375" style="130" customWidth="1"/>
    <col min="1797" max="1797" width="31.7109375" style="130" bestFit="1" customWidth="1"/>
    <col min="1798" max="2041" width="9.140625" style="130"/>
    <col min="2042" max="2042" width="5.85546875" style="130" customWidth="1"/>
    <col min="2043" max="2043" width="50.42578125" style="130" customWidth="1"/>
    <col min="2044" max="2047" width="7.7109375" style="130" customWidth="1"/>
    <col min="2048" max="2048" width="10.140625" style="130" customWidth="1"/>
    <col min="2049" max="2052" width="7.7109375" style="130" customWidth="1"/>
    <col min="2053" max="2053" width="31.7109375" style="130" bestFit="1" customWidth="1"/>
    <col min="2054" max="2297" width="9.140625" style="130"/>
    <col min="2298" max="2298" width="5.85546875" style="130" customWidth="1"/>
    <col min="2299" max="2299" width="50.42578125" style="130" customWidth="1"/>
    <col min="2300" max="2303" width="7.7109375" style="130" customWidth="1"/>
    <col min="2304" max="2304" width="10.140625" style="130" customWidth="1"/>
    <col min="2305" max="2308" width="7.7109375" style="130" customWidth="1"/>
    <col min="2309" max="2309" width="31.7109375" style="130" bestFit="1" customWidth="1"/>
    <col min="2310" max="2553" width="9.140625" style="130"/>
    <col min="2554" max="2554" width="5.85546875" style="130" customWidth="1"/>
    <col min="2555" max="2555" width="50.42578125" style="130" customWidth="1"/>
    <col min="2556" max="2559" width="7.7109375" style="130" customWidth="1"/>
    <col min="2560" max="2560" width="10.140625" style="130" customWidth="1"/>
    <col min="2561" max="2564" width="7.7109375" style="130" customWidth="1"/>
    <col min="2565" max="2565" width="31.7109375" style="130" bestFit="1" customWidth="1"/>
    <col min="2566" max="2809" width="9.140625" style="130"/>
    <col min="2810" max="2810" width="5.85546875" style="130" customWidth="1"/>
    <col min="2811" max="2811" width="50.42578125" style="130" customWidth="1"/>
    <col min="2812" max="2815" width="7.7109375" style="130" customWidth="1"/>
    <col min="2816" max="2816" width="10.140625" style="130" customWidth="1"/>
    <col min="2817" max="2820" width="7.7109375" style="130" customWidth="1"/>
    <col min="2821" max="2821" width="31.7109375" style="130" bestFit="1" customWidth="1"/>
    <col min="2822" max="3065" width="9.140625" style="130"/>
    <col min="3066" max="3066" width="5.85546875" style="130" customWidth="1"/>
    <col min="3067" max="3067" width="50.42578125" style="130" customWidth="1"/>
    <col min="3068" max="3071" width="7.7109375" style="130" customWidth="1"/>
    <col min="3072" max="3072" width="10.140625" style="130" customWidth="1"/>
    <col min="3073" max="3076" width="7.7109375" style="130" customWidth="1"/>
    <col min="3077" max="3077" width="31.7109375" style="130" bestFit="1" customWidth="1"/>
    <col min="3078" max="3321" width="9.140625" style="130"/>
    <col min="3322" max="3322" width="5.85546875" style="130" customWidth="1"/>
    <col min="3323" max="3323" width="50.42578125" style="130" customWidth="1"/>
    <col min="3324" max="3327" width="7.7109375" style="130" customWidth="1"/>
    <col min="3328" max="3328" width="10.140625" style="130" customWidth="1"/>
    <col min="3329" max="3332" width="7.7109375" style="130" customWidth="1"/>
    <col min="3333" max="3333" width="31.7109375" style="130" bestFit="1" customWidth="1"/>
    <col min="3334" max="3577" width="9.140625" style="130"/>
    <col min="3578" max="3578" width="5.85546875" style="130" customWidth="1"/>
    <col min="3579" max="3579" width="50.42578125" style="130" customWidth="1"/>
    <col min="3580" max="3583" width="7.7109375" style="130" customWidth="1"/>
    <col min="3584" max="3584" width="10.140625" style="130" customWidth="1"/>
    <col min="3585" max="3588" width="7.7109375" style="130" customWidth="1"/>
    <col min="3589" max="3589" width="31.7109375" style="130" bestFit="1" customWidth="1"/>
    <col min="3590" max="3833" width="9.140625" style="130"/>
    <col min="3834" max="3834" width="5.85546875" style="130" customWidth="1"/>
    <col min="3835" max="3835" width="50.42578125" style="130" customWidth="1"/>
    <col min="3836" max="3839" width="7.7109375" style="130" customWidth="1"/>
    <col min="3840" max="3840" width="10.140625" style="130" customWidth="1"/>
    <col min="3841" max="3844" width="7.7109375" style="130" customWidth="1"/>
    <col min="3845" max="3845" width="31.7109375" style="130" bestFit="1" customWidth="1"/>
    <col min="3846" max="4089" width="9.140625" style="130"/>
    <col min="4090" max="4090" width="5.85546875" style="130" customWidth="1"/>
    <col min="4091" max="4091" width="50.42578125" style="130" customWidth="1"/>
    <col min="4092" max="4095" width="7.7109375" style="130" customWidth="1"/>
    <col min="4096" max="4096" width="10.140625" style="130" customWidth="1"/>
    <col min="4097" max="4100" width="7.7109375" style="130" customWidth="1"/>
    <col min="4101" max="4101" width="31.7109375" style="130" bestFit="1" customWidth="1"/>
    <col min="4102" max="4345" width="9.140625" style="130"/>
    <col min="4346" max="4346" width="5.85546875" style="130" customWidth="1"/>
    <col min="4347" max="4347" width="50.42578125" style="130" customWidth="1"/>
    <col min="4348" max="4351" width="7.7109375" style="130" customWidth="1"/>
    <col min="4352" max="4352" width="10.140625" style="130" customWidth="1"/>
    <col min="4353" max="4356" width="7.7109375" style="130" customWidth="1"/>
    <col min="4357" max="4357" width="31.7109375" style="130" bestFit="1" customWidth="1"/>
    <col min="4358" max="4601" width="9.140625" style="130"/>
    <col min="4602" max="4602" width="5.85546875" style="130" customWidth="1"/>
    <col min="4603" max="4603" width="50.42578125" style="130" customWidth="1"/>
    <col min="4604" max="4607" width="7.7109375" style="130" customWidth="1"/>
    <col min="4608" max="4608" width="10.140625" style="130" customWidth="1"/>
    <col min="4609" max="4612" width="7.7109375" style="130" customWidth="1"/>
    <col min="4613" max="4613" width="31.7109375" style="130" bestFit="1" customWidth="1"/>
    <col min="4614" max="4857" width="9.140625" style="130"/>
    <col min="4858" max="4858" width="5.85546875" style="130" customWidth="1"/>
    <col min="4859" max="4859" width="50.42578125" style="130" customWidth="1"/>
    <col min="4860" max="4863" width="7.7109375" style="130" customWidth="1"/>
    <col min="4864" max="4864" width="10.140625" style="130" customWidth="1"/>
    <col min="4865" max="4868" width="7.7109375" style="130" customWidth="1"/>
    <col min="4869" max="4869" width="31.7109375" style="130" bestFit="1" customWidth="1"/>
    <col min="4870" max="5113" width="9.140625" style="130"/>
    <col min="5114" max="5114" width="5.85546875" style="130" customWidth="1"/>
    <col min="5115" max="5115" width="50.42578125" style="130" customWidth="1"/>
    <col min="5116" max="5119" width="7.7109375" style="130" customWidth="1"/>
    <col min="5120" max="5120" width="10.140625" style="130" customWidth="1"/>
    <col min="5121" max="5124" width="7.7109375" style="130" customWidth="1"/>
    <col min="5125" max="5125" width="31.7109375" style="130" bestFit="1" customWidth="1"/>
    <col min="5126" max="5369" width="9.140625" style="130"/>
    <col min="5370" max="5370" width="5.85546875" style="130" customWidth="1"/>
    <col min="5371" max="5371" width="50.42578125" style="130" customWidth="1"/>
    <col min="5372" max="5375" width="7.7109375" style="130" customWidth="1"/>
    <col min="5376" max="5376" width="10.140625" style="130" customWidth="1"/>
    <col min="5377" max="5380" width="7.7109375" style="130" customWidth="1"/>
    <col min="5381" max="5381" width="31.7109375" style="130" bestFit="1" customWidth="1"/>
    <col min="5382" max="5625" width="9.140625" style="130"/>
    <col min="5626" max="5626" width="5.85546875" style="130" customWidth="1"/>
    <col min="5627" max="5627" width="50.42578125" style="130" customWidth="1"/>
    <col min="5628" max="5631" width="7.7109375" style="130" customWidth="1"/>
    <col min="5632" max="5632" width="10.140625" style="130" customWidth="1"/>
    <col min="5633" max="5636" width="7.7109375" style="130" customWidth="1"/>
    <col min="5637" max="5637" width="31.7109375" style="130" bestFit="1" customWidth="1"/>
    <col min="5638" max="5881" width="9.140625" style="130"/>
    <col min="5882" max="5882" width="5.85546875" style="130" customWidth="1"/>
    <col min="5883" max="5883" width="50.42578125" style="130" customWidth="1"/>
    <col min="5884" max="5887" width="7.7109375" style="130" customWidth="1"/>
    <col min="5888" max="5888" width="10.140625" style="130" customWidth="1"/>
    <col min="5889" max="5892" width="7.7109375" style="130" customWidth="1"/>
    <col min="5893" max="5893" width="31.7109375" style="130" bestFit="1" customWidth="1"/>
    <col min="5894" max="6137" width="9.140625" style="130"/>
    <col min="6138" max="6138" width="5.85546875" style="130" customWidth="1"/>
    <col min="6139" max="6139" width="50.42578125" style="130" customWidth="1"/>
    <col min="6140" max="6143" width="7.7109375" style="130" customWidth="1"/>
    <col min="6144" max="6144" width="10.140625" style="130" customWidth="1"/>
    <col min="6145" max="6148" width="7.7109375" style="130" customWidth="1"/>
    <col min="6149" max="6149" width="31.7109375" style="130" bestFit="1" customWidth="1"/>
    <col min="6150" max="6393" width="9.140625" style="130"/>
    <col min="6394" max="6394" width="5.85546875" style="130" customWidth="1"/>
    <col min="6395" max="6395" width="50.42578125" style="130" customWidth="1"/>
    <col min="6396" max="6399" width="7.7109375" style="130" customWidth="1"/>
    <col min="6400" max="6400" width="10.140625" style="130" customWidth="1"/>
    <col min="6401" max="6404" width="7.7109375" style="130" customWidth="1"/>
    <col min="6405" max="6405" width="31.7109375" style="130" bestFit="1" customWidth="1"/>
    <col min="6406" max="6649" width="9.140625" style="130"/>
    <col min="6650" max="6650" width="5.85546875" style="130" customWidth="1"/>
    <col min="6651" max="6651" width="50.42578125" style="130" customWidth="1"/>
    <col min="6652" max="6655" width="7.7109375" style="130" customWidth="1"/>
    <col min="6656" max="6656" width="10.140625" style="130" customWidth="1"/>
    <col min="6657" max="6660" width="7.7109375" style="130" customWidth="1"/>
    <col min="6661" max="6661" width="31.7109375" style="130" bestFit="1" customWidth="1"/>
    <col min="6662" max="6905" width="9.140625" style="130"/>
    <col min="6906" max="6906" width="5.85546875" style="130" customWidth="1"/>
    <col min="6907" max="6907" width="50.42578125" style="130" customWidth="1"/>
    <col min="6908" max="6911" width="7.7109375" style="130" customWidth="1"/>
    <col min="6912" max="6912" width="10.140625" style="130" customWidth="1"/>
    <col min="6913" max="6916" width="7.7109375" style="130" customWidth="1"/>
    <col min="6917" max="6917" width="31.7109375" style="130" bestFit="1" customWidth="1"/>
    <col min="6918" max="7161" width="9.140625" style="130"/>
    <col min="7162" max="7162" width="5.85546875" style="130" customWidth="1"/>
    <col min="7163" max="7163" width="50.42578125" style="130" customWidth="1"/>
    <col min="7164" max="7167" width="7.7109375" style="130" customWidth="1"/>
    <col min="7168" max="7168" width="10.140625" style="130" customWidth="1"/>
    <col min="7169" max="7172" width="7.7109375" style="130" customWidth="1"/>
    <col min="7173" max="7173" width="31.7109375" style="130" bestFit="1" customWidth="1"/>
    <col min="7174" max="7417" width="9.140625" style="130"/>
    <col min="7418" max="7418" width="5.85546875" style="130" customWidth="1"/>
    <col min="7419" max="7419" width="50.42578125" style="130" customWidth="1"/>
    <col min="7420" max="7423" width="7.7109375" style="130" customWidth="1"/>
    <col min="7424" max="7424" width="10.140625" style="130" customWidth="1"/>
    <col min="7425" max="7428" width="7.7109375" style="130" customWidth="1"/>
    <col min="7429" max="7429" width="31.7109375" style="130" bestFit="1" customWidth="1"/>
    <col min="7430" max="7673" width="9.140625" style="130"/>
    <col min="7674" max="7674" width="5.85546875" style="130" customWidth="1"/>
    <col min="7675" max="7675" width="50.42578125" style="130" customWidth="1"/>
    <col min="7676" max="7679" width="7.7109375" style="130" customWidth="1"/>
    <col min="7680" max="7680" width="10.140625" style="130" customWidth="1"/>
    <col min="7681" max="7684" width="7.7109375" style="130" customWidth="1"/>
    <col min="7685" max="7685" width="31.7109375" style="130" bestFit="1" customWidth="1"/>
    <col min="7686" max="7929" width="9.140625" style="130"/>
    <col min="7930" max="7930" width="5.85546875" style="130" customWidth="1"/>
    <col min="7931" max="7931" width="50.42578125" style="130" customWidth="1"/>
    <col min="7932" max="7935" width="7.7109375" style="130" customWidth="1"/>
    <col min="7936" max="7936" width="10.140625" style="130" customWidth="1"/>
    <col min="7937" max="7940" width="7.7109375" style="130" customWidth="1"/>
    <col min="7941" max="7941" width="31.7109375" style="130" bestFit="1" customWidth="1"/>
    <col min="7942" max="8185" width="9.140625" style="130"/>
    <col min="8186" max="8186" width="5.85546875" style="130" customWidth="1"/>
    <col min="8187" max="8187" width="50.42578125" style="130" customWidth="1"/>
    <col min="8188" max="8191" width="7.7109375" style="130" customWidth="1"/>
    <col min="8192" max="8192" width="10.140625" style="130" customWidth="1"/>
    <col min="8193" max="8196" width="7.7109375" style="130" customWidth="1"/>
    <col min="8197" max="8197" width="31.7109375" style="130" bestFit="1" customWidth="1"/>
    <col min="8198" max="8441" width="9.140625" style="130"/>
    <col min="8442" max="8442" width="5.85546875" style="130" customWidth="1"/>
    <col min="8443" max="8443" width="50.42578125" style="130" customWidth="1"/>
    <col min="8444" max="8447" width="7.7109375" style="130" customWidth="1"/>
    <col min="8448" max="8448" width="10.140625" style="130" customWidth="1"/>
    <col min="8449" max="8452" width="7.7109375" style="130" customWidth="1"/>
    <col min="8453" max="8453" width="31.7109375" style="130" bestFit="1" customWidth="1"/>
    <col min="8454" max="8697" width="9.140625" style="130"/>
    <col min="8698" max="8698" width="5.85546875" style="130" customWidth="1"/>
    <col min="8699" max="8699" width="50.42578125" style="130" customWidth="1"/>
    <col min="8700" max="8703" width="7.7109375" style="130" customWidth="1"/>
    <col min="8704" max="8704" width="10.140625" style="130" customWidth="1"/>
    <col min="8705" max="8708" width="7.7109375" style="130" customWidth="1"/>
    <col min="8709" max="8709" width="31.7109375" style="130" bestFit="1" customWidth="1"/>
    <col min="8710" max="8953" width="9.140625" style="130"/>
    <col min="8954" max="8954" width="5.85546875" style="130" customWidth="1"/>
    <col min="8955" max="8955" width="50.42578125" style="130" customWidth="1"/>
    <col min="8956" max="8959" width="7.7109375" style="130" customWidth="1"/>
    <col min="8960" max="8960" width="10.140625" style="130" customWidth="1"/>
    <col min="8961" max="8964" width="7.7109375" style="130" customWidth="1"/>
    <col min="8965" max="8965" width="31.7109375" style="130" bestFit="1" customWidth="1"/>
    <col min="8966" max="9209" width="9.140625" style="130"/>
    <col min="9210" max="9210" width="5.85546875" style="130" customWidth="1"/>
    <col min="9211" max="9211" width="50.42578125" style="130" customWidth="1"/>
    <col min="9212" max="9215" width="7.7109375" style="130" customWidth="1"/>
    <col min="9216" max="9216" width="10.140625" style="130" customWidth="1"/>
    <col min="9217" max="9220" width="7.7109375" style="130" customWidth="1"/>
    <col min="9221" max="9221" width="31.7109375" style="130" bestFit="1" customWidth="1"/>
    <col min="9222" max="9465" width="9.140625" style="130"/>
    <col min="9466" max="9466" width="5.85546875" style="130" customWidth="1"/>
    <col min="9467" max="9467" width="50.42578125" style="130" customWidth="1"/>
    <col min="9468" max="9471" width="7.7109375" style="130" customWidth="1"/>
    <col min="9472" max="9472" width="10.140625" style="130" customWidth="1"/>
    <col min="9473" max="9476" width="7.7109375" style="130" customWidth="1"/>
    <col min="9477" max="9477" width="31.7109375" style="130" bestFit="1" customWidth="1"/>
    <col min="9478" max="9721" width="9.140625" style="130"/>
    <col min="9722" max="9722" width="5.85546875" style="130" customWidth="1"/>
    <col min="9723" max="9723" width="50.42578125" style="130" customWidth="1"/>
    <col min="9724" max="9727" width="7.7109375" style="130" customWidth="1"/>
    <col min="9728" max="9728" width="10.140625" style="130" customWidth="1"/>
    <col min="9729" max="9732" width="7.7109375" style="130" customWidth="1"/>
    <col min="9733" max="9733" width="31.7109375" style="130" bestFit="1" customWidth="1"/>
    <col min="9734" max="9977" width="9.140625" style="130"/>
    <col min="9978" max="9978" width="5.85546875" style="130" customWidth="1"/>
    <col min="9979" max="9979" width="50.42578125" style="130" customWidth="1"/>
    <col min="9980" max="9983" width="7.7109375" style="130" customWidth="1"/>
    <col min="9984" max="9984" width="10.140625" style="130" customWidth="1"/>
    <col min="9985" max="9988" width="7.7109375" style="130" customWidth="1"/>
    <col min="9989" max="9989" width="31.7109375" style="130" bestFit="1" customWidth="1"/>
    <col min="9990" max="10233" width="9.140625" style="130"/>
    <col min="10234" max="10234" width="5.85546875" style="130" customWidth="1"/>
    <col min="10235" max="10235" width="50.42578125" style="130" customWidth="1"/>
    <col min="10236" max="10239" width="7.7109375" style="130" customWidth="1"/>
    <col min="10240" max="10240" width="10.140625" style="130" customWidth="1"/>
    <col min="10241" max="10244" width="7.7109375" style="130" customWidth="1"/>
    <col min="10245" max="10245" width="31.7109375" style="130" bestFit="1" customWidth="1"/>
    <col min="10246" max="10489" width="9.140625" style="130"/>
    <col min="10490" max="10490" width="5.85546875" style="130" customWidth="1"/>
    <col min="10491" max="10491" width="50.42578125" style="130" customWidth="1"/>
    <col min="10492" max="10495" width="7.7109375" style="130" customWidth="1"/>
    <col min="10496" max="10496" width="10.140625" style="130" customWidth="1"/>
    <col min="10497" max="10500" width="7.7109375" style="130" customWidth="1"/>
    <col min="10501" max="10501" width="31.7109375" style="130" bestFit="1" customWidth="1"/>
    <col min="10502" max="10745" width="9.140625" style="130"/>
    <col min="10746" max="10746" width="5.85546875" style="130" customWidth="1"/>
    <col min="10747" max="10747" width="50.42578125" style="130" customWidth="1"/>
    <col min="10748" max="10751" width="7.7109375" style="130" customWidth="1"/>
    <col min="10752" max="10752" width="10.140625" style="130" customWidth="1"/>
    <col min="10753" max="10756" width="7.7109375" style="130" customWidth="1"/>
    <col min="10757" max="10757" width="31.7109375" style="130" bestFit="1" customWidth="1"/>
    <col min="10758" max="11001" width="9.140625" style="130"/>
    <col min="11002" max="11002" width="5.85546875" style="130" customWidth="1"/>
    <col min="11003" max="11003" width="50.42578125" style="130" customWidth="1"/>
    <col min="11004" max="11007" width="7.7109375" style="130" customWidth="1"/>
    <col min="11008" max="11008" width="10.140625" style="130" customWidth="1"/>
    <col min="11009" max="11012" width="7.7109375" style="130" customWidth="1"/>
    <col min="11013" max="11013" width="31.7109375" style="130" bestFit="1" customWidth="1"/>
    <col min="11014" max="11257" width="9.140625" style="130"/>
    <col min="11258" max="11258" width="5.85546875" style="130" customWidth="1"/>
    <col min="11259" max="11259" width="50.42578125" style="130" customWidth="1"/>
    <col min="11260" max="11263" width="7.7109375" style="130" customWidth="1"/>
    <col min="11264" max="11264" width="10.140625" style="130" customWidth="1"/>
    <col min="11265" max="11268" width="7.7109375" style="130" customWidth="1"/>
    <col min="11269" max="11269" width="31.7109375" style="130" bestFit="1" customWidth="1"/>
    <col min="11270" max="11513" width="9.140625" style="130"/>
    <col min="11514" max="11514" width="5.85546875" style="130" customWidth="1"/>
    <col min="11515" max="11515" width="50.42578125" style="130" customWidth="1"/>
    <col min="11516" max="11519" width="7.7109375" style="130" customWidth="1"/>
    <col min="11520" max="11520" width="10.140625" style="130" customWidth="1"/>
    <col min="11521" max="11524" width="7.7109375" style="130" customWidth="1"/>
    <col min="11525" max="11525" width="31.7109375" style="130" bestFit="1" customWidth="1"/>
    <col min="11526" max="11769" width="9.140625" style="130"/>
    <col min="11770" max="11770" width="5.85546875" style="130" customWidth="1"/>
    <col min="11771" max="11771" width="50.42578125" style="130" customWidth="1"/>
    <col min="11772" max="11775" width="7.7109375" style="130" customWidth="1"/>
    <col min="11776" max="11776" width="10.140625" style="130" customWidth="1"/>
    <col min="11777" max="11780" width="7.7109375" style="130" customWidth="1"/>
    <col min="11781" max="11781" width="31.7109375" style="130" bestFit="1" customWidth="1"/>
    <col min="11782" max="12025" width="9.140625" style="130"/>
    <col min="12026" max="12026" width="5.85546875" style="130" customWidth="1"/>
    <col min="12027" max="12027" width="50.42578125" style="130" customWidth="1"/>
    <col min="12028" max="12031" width="7.7109375" style="130" customWidth="1"/>
    <col min="12032" max="12032" width="10.140625" style="130" customWidth="1"/>
    <col min="12033" max="12036" width="7.7109375" style="130" customWidth="1"/>
    <col min="12037" max="12037" width="31.7109375" style="130" bestFit="1" customWidth="1"/>
    <col min="12038" max="12281" width="9.140625" style="130"/>
    <col min="12282" max="12282" width="5.85546875" style="130" customWidth="1"/>
    <col min="12283" max="12283" width="50.42578125" style="130" customWidth="1"/>
    <col min="12284" max="12287" width="7.7109375" style="130" customWidth="1"/>
    <col min="12288" max="12288" width="10.140625" style="130" customWidth="1"/>
    <col min="12289" max="12292" width="7.7109375" style="130" customWidth="1"/>
    <col min="12293" max="12293" width="31.7109375" style="130" bestFit="1" customWidth="1"/>
    <col min="12294" max="12537" width="9.140625" style="130"/>
    <col min="12538" max="12538" width="5.85546875" style="130" customWidth="1"/>
    <col min="12539" max="12539" width="50.42578125" style="130" customWidth="1"/>
    <col min="12540" max="12543" width="7.7109375" style="130" customWidth="1"/>
    <col min="12544" max="12544" width="10.140625" style="130" customWidth="1"/>
    <col min="12545" max="12548" width="7.7109375" style="130" customWidth="1"/>
    <col min="12549" max="12549" width="31.7109375" style="130" bestFit="1" customWidth="1"/>
    <col min="12550" max="12793" width="9.140625" style="130"/>
    <col min="12794" max="12794" width="5.85546875" style="130" customWidth="1"/>
    <col min="12795" max="12795" width="50.42578125" style="130" customWidth="1"/>
    <col min="12796" max="12799" width="7.7109375" style="130" customWidth="1"/>
    <col min="12800" max="12800" width="10.140625" style="130" customWidth="1"/>
    <col min="12801" max="12804" width="7.7109375" style="130" customWidth="1"/>
    <col min="12805" max="12805" width="31.7109375" style="130" bestFit="1" customWidth="1"/>
    <col min="12806" max="13049" width="9.140625" style="130"/>
    <col min="13050" max="13050" width="5.85546875" style="130" customWidth="1"/>
    <col min="13051" max="13051" width="50.42578125" style="130" customWidth="1"/>
    <col min="13052" max="13055" width="7.7109375" style="130" customWidth="1"/>
    <col min="13056" max="13056" width="10.140625" style="130" customWidth="1"/>
    <col min="13057" max="13060" width="7.7109375" style="130" customWidth="1"/>
    <col min="13061" max="13061" width="31.7109375" style="130" bestFit="1" customWidth="1"/>
    <col min="13062" max="13305" width="9.140625" style="130"/>
    <col min="13306" max="13306" width="5.85546875" style="130" customWidth="1"/>
    <col min="13307" max="13307" width="50.42578125" style="130" customWidth="1"/>
    <col min="13308" max="13311" width="7.7109375" style="130" customWidth="1"/>
    <col min="13312" max="13312" width="10.140625" style="130" customWidth="1"/>
    <col min="13313" max="13316" width="7.7109375" style="130" customWidth="1"/>
    <col min="13317" max="13317" width="31.7109375" style="130" bestFit="1" customWidth="1"/>
    <col min="13318" max="13561" width="9.140625" style="130"/>
    <col min="13562" max="13562" width="5.85546875" style="130" customWidth="1"/>
    <col min="13563" max="13563" width="50.42578125" style="130" customWidth="1"/>
    <col min="13564" max="13567" width="7.7109375" style="130" customWidth="1"/>
    <col min="13568" max="13568" width="10.140625" style="130" customWidth="1"/>
    <col min="13569" max="13572" width="7.7109375" style="130" customWidth="1"/>
    <col min="13573" max="13573" width="31.7109375" style="130" bestFit="1" customWidth="1"/>
    <col min="13574" max="13817" width="9.140625" style="130"/>
    <col min="13818" max="13818" width="5.85546875" style="130" customWidth="1"/>
    <col min="13819" max="13819" width="50.42578125" style="130" customWidth="1"/>
    <col min="13820" max="13823" width="7.7109375" style="130" customWidth="1"/>
    <col min="13824" max="13824" width="10.140625" style="130" customWidth="1"/>
    <col min="13825" max="13828" width="7.7109375" style="130" customWidth="1"/>
    <col min="13829" max="13829" width="31.7109375" style="130" bestFit="1" customWidth="1"/>
    <col min="13830" max="14073" width="9.140625" style="130"/>
    <col min="14074" max="14074" width="5.85546875" style="130" customWidth="1"/>
    <col min="14075" max="14075" width="50.42578125" style="130" customWidth="1"/>
    <col min="14076" max="14079" width="7.7109375" style="130" customWidth="1"/>
    <col min="14080" max="14080" width="10.140625" style="130" customWidth="1"/>
    <col min="14081" max="14084" width="7.7109375" style="130" customWidth="1"/>
    <col min="14085" max="14085" width="31.7109375" style="130" bestFit="1" customWidth="1"/>
    <col min="14086" max="14329" width="9.140625" style="130"/>
    <col min="14330" max="14330" width="5.85546875" style="130" customWidth="1"/>
    <col min="14331" max="14331" width="50.42578125" style="130" customWidth="1"/>
    <col min="14332" max="14335" width="7.7109375" style="130" customWidth="1"/>
    <col min="14336" max="14336" width="10.140625" style="130" customWidth="1"/>
    <col min="14337" max="14340" width="7.7109375" style="130" customWidth="1"/>
    <col min="14341" max="14341" width="31.7109375" style="130" bestFit="1" customWidth="1"/>
    <col min="14342" max="14585" width="9.140625" style="130"/>
    <col min="14586" max="14586" width="5.85546875" style="130" customWidth="1"/>
    <col min="14587" max="14587" width="50.42578125" style="130" customWidth="1"/>
    <col min="14588" max="14591" width="7.7109375" style="130" customWidth="1"/>
    <col min="14592" max="14592" width="10.140625" style="130" customWidth="1"/>
    <col min="14593" max="14596" width="7.7109375" style="130" customWidth="1"/>
    <col min="14597" max="14597" width="31.7109375" style="130" bestFit="1" customWidth="1"/>
    <col min="14598" max="14841" width="9.140625" style="130"/>
    <col min="14842" max="14842" width="5.85546875" style="130" customWidth="1"/>
    <col min="14843" max="14843" width="50.42578125" style="130" customWidth="1"/>
    <col min="14844" max="14847" width="7.7109375" style="130" customWidth="1"/>
    <col min="14848" max="14848" width="10.140625" style="130" customWidth="1"/>
    <col min="14849" max="14852" width="7.7109375" style="130" customWidth="1"/>
    <col min="14853" max="14853" width="31.7109375" style="130" bestFit="1" customWidth="1"/>
    <col min="14854" max="15097" width="9.140625" style="130"/>
    <col min="15098" max="15098" width="5.85546875" style="130" customWidth="1"/>
    <col min="15099" max="15099" width="50.42578125" style="130" customWidth="1"/>
    <col min="15100" max="15103" width="7.7109375" style="130" customWidth="1"/>
    <col min="15104" max="15104" width="10.140625" style="130" customWidth="1"/>
    <col min="15105" max="15108" width="7.7109375" style="130" customWidth="1"/>
    <col min="15109" max="15109" width="31.7109375" style="130" bestFit="1" customWidth="1"/>
    <col min="15110" max="15353" width="9.140625" style="130"/>
    <col min="15354" max="15354" width="5.85546875" style="130" customWidth="1"/>
    <col min="15355" max="15355" width="50.42578125" style="130" customWidth="1"/>
    <col min="15356" max="15359" width="7.7109375" style="130" customWidth="1"/>
    <col min="15360" max="15360" width="10.140625" style="130" customWidth="1"/>
    <col min="15361" max="15364" width="7.7109375" style="130" customWidth="1"/>
    <col min="15365" max="15365" width="31.7109375" style="130" bestFit="1" customWidth="1"/>
    <col min="15366" max="15609" width="9.140625" style="130"/>
    <col min="15610" max="15610" width="5.85546875" style="130" customWidth="1"/>
    <col min="15611" max="15611" width="50.42578125" style="130" customWidth="1"/>
    <col min="15612" max="15615" width="7.7109375" style="130" customWidth="1"/>
    <col min="15616" max="15616" width="10.140625" style="130" customWidth="1"/>
    <col min="15617" max="15620" width="7.7109375" style="130" customWidth="1"/>
    <col min="15621" max="15621" width="31.7109375" style="130" bestFit="1" customWidth="1"/>
    <col min="15622" max="15865" width="9.140625" style="130"/>
    <col min="15866" max="15866" width="5.85546875" style="130" customWidth="1"/>
    <col min="15867" max="15867" width="50.42578125" style="130" customWidth="1"/>
    <col min="15868" max="15871" width="7.7109375" style="130" customWidth="1"/>
    <col min="15872" max="15872" width="10.140625" style="130" customWidth="1"/>
    <col min="15873" max="15876" width="7.7109375" style="130" customWidth="1"/>
    <col min="15877" max="15877" width="31.7109375" style="130" bestFit="1" customWidth="1"/>
    <col min="15878" max="16121" width="9.140625" style="130"/>
    <col min="16122" max="16122" width="5.85546875" style="130" customWidth="1"/>
    <col min="16123" max="16123" width="50.42578125" style="130" customWidth="1"/>
    <col min="16124" max="16127" width="7.7109375" style="130" customWidth="1"/>
    <col min="16128" max="16128" width="10.140625" style="130" customWidth="1"/>
    <col min="16129" max="16132" width="7.7109375" style="130" customWidth="1"/>
    <col min="16133" max="16133" width="31.7109375" style="130" bestFit="1" customWidth="1"/>
    <col min="16134" max="16384" width="9.140625" style="130"/>
  </cols>
  <sheetData>
    <row r="1" spans="1:8">
      <c r="B1" s="135" t="s">
        <v>859</v>
      </c>
      <c r="C1" s="1267" t="s">
        <v>2406</v>
      </c>
    </row>
    <row r="3" spans="1:8" ht="12.75">
      <c r="A3" s="130" t="s">
        <v>542</v>
      </c>
      <c r="B3" s="247"/>
      <c r="C3" s="247"/>
      <c r="D3" s="247"/>
      <c r="E3" s="247"/>
      <c r="F3" s="247"/>
      <c r="G3" s="247"/>
      <c r="H3" s="247"/>
    </row>
    <row r="4" spans="1:8" ht="15" customHeight="1">
      <c r="A4" s="1197" t="s">
        <v>2124</v>
      </c>
      <c r="B4" s="623"/>
      <c r="C4" s="623"/>
      <c r="D4" s="623"/>
      <c r="E4" s="623"/>
      <c r="F4" s="623"/>
      <c r="G4" s="623"/>
      <c r="H4" s="623"/>
    </row>
    <row r="5" spans="1:8" ht="25.5" customHeight="1">
      <c r="A5" s="676" t="s">
        <v>924</v>
      </c>
      <c r="B5" s="676" t="s">
        <v>2421</v>
      </c>
      <c r="C5" s="512" t="s">
        <v>858</v>
      </c>
      <c r="D5" s="676"/>
      <c r="E5" s="676"/>
      <c r="G5" s="511"/>
      <c r="H5" s="511"/>
    </row>
    <row r="6" spans="1:8" ht="27" customHeight="1">
      <c r="A6" s="341" t="s">
        <v>30</v>
      </c>
      <c r="B6" s="342" t="s">
        <v>19</v>
      </c>
      <c r="C6" s="343" t="s">
        <v>82</v>
      </c>
      <c r="D6" s="343" t="s">
        <v>79</v>
      </c>
      <c r="E6" s="344" t="s">
        <v>83</v>
      </c>
      <c r="F6" s="345" t="s">
        <v>84</v>
      </c>
      <c r="G6" s="421" t="s">
        <v>85</v>
      </c>
      <c r="H6" s="248" t="s">
        <v>86</v>
      </c>
    </row>
    <row r="7" spans="1:8" ht="15" customHeight="1">
      <c r="A7" s="1381">
        <v>88262</v>
      </c>
      <c r="B7" s="1404" t="s">
        <v>116</v>
      </c>
      <c r="C7" s="343" t="s">
        <v>102</v>
      </c>
      <c r="D7" s="1385" t="s">
        <v>345</v>
      </c>
      <c r="E7" s="1387">
        <v>0.4</v>
      </c>
      <c r="F7" s="414">
        <f>'COMP AUX'!G87</f>
        <v>14.81</v>
      </c>
      <c r="G7" s="513">
        <f>TRUNC(E7*F7,2)</f>
        <v>5.92</v>
      </c>
      <c r="H7" s="248"/>
    </row>
    <row r="8" spans="1:8" ht="15" customHeight="1">
      <c r="A8" s="1382"/>
      <c r="B8" s="1405"/>
      <c r="C8" s="439" t="s">
        <v>89</v>
      </c>
      <c r="D8" s="1386"/>
      <c r="E8" s="1388"/>
      <c r="F8" s="514">
        <f>'COMP AUX'!G88</f>
        <v>4.5600000000000005</v>
      </c>
      <c r="G8" s="483">
        <f>TRUNC(E7*F8,2)</f>
        <v>1.82</v>
      </c>
      <c r="H8" s="249"/>
    </row>
    <row r="9" spans="1:8" ht="15" customHeight="1">
      <c r="A9" s="1381">
        <v>88316</v>
      </c>
      <c r="B9" s="1383" t="s">
        <v>106</v>
      </c>
      <c r="C9" s="439" t="s">
        <v>102</v>
      </c>
      <c r="D9" s="1385" t="s">
        <v>345</v>
      </c>
      <c r="E9" s="1387">
        <v>0.4</v>
      </c>
      <c r="F9" s="514">
        <f>'COMP AUX'!G104</f>
        <v>11.1</v>
      </c>
      <c r="G9" s="513">
        <f>TRUNC(E9*F9,2)</f>
        <v>4.4400000000000004</v>
      </c>
      <c r="H9" s="269"/>
    </row>
    <row r="10" spans="1:8" ht="15" customHeight="1">
      <c r="A10" s="1382"/>
      <c r="B10" s="1384"/>
      <c r="C10" s="439" t="s">
        <v>89</v>
      </c>
      <c r="D10" s="1386"/>
      <c r="E10" s="1388"/>
      <c r="F10" s="514">
        <f>'COMP AUX'!G105</f>
        <v>4.5600000000000005</v>
      </c>
      <c r="G10" s="483">
        <f>TRUNC(E9*F10,2)</f>
        <v>1.82</v>
      </c>
      <c r="H10" s="249"/>
    </row>
    <row r="11" spans="1:8" ht="29.25" customHeight="1">
      <c r="A11" s="510">
        <v>4509</v>
      </c>
      <c r="B11" s="479" t="s">
        <v>2416</v>
      </c>
      <c r="C11" s="439" t="s">
        <v>89</v>
      </c>
      <c r="D11" s="439" t="s">
        <v>4</v>
      </c>
      <c r="E11" s="481">
        <v>1.65</v>
      </c>
      <c r="F11" s="482">
        <v>2.2200000000000002</v>
      </c>
      <c r="G11" s="483">
        <f t="shared" ref="G11:G14" si="0">TRUNC(E11*F11,2)</f>
        <v>3.66</v>
      </c>
      <c r="H11" s="249"/>
    </row>
    <row r="12" spans="1:8" ht="16.5" customHeight="1">
      <c r="A12" s="510">
        <v>5075</v>
      </c>
      <c r="B12" s="480" t="s">
        <v>2414</v>
      </c>
      <c r="C12" s="439" t="s">
        <v>89</v>
      </c>
      <c r="D12" s="439" t="s">
        <v>101</v>
      </c>
      <c r="E12" s="481">
        <v>0.05</v>
      </c>
      <c r="F12" s="482">
        <v>9.15</v>
      </c>
      <c r="G12" s="483">
        <f t="shared" si="0"/>
        <v>0.45</v>
      </c>
      <c r="H12" s="249"/>
    </row>
    <row r="13" spans="1:8" ht="29.25" customHeight="1">
      <c r="A13" s="510">
        <v>4433</v>
      </c>
      <c r="B13" s="479" t="s">
        <v>2417</v>
      </c>
      <c r="C13" s="439" t="s">
        <v>89</v>
      </c>
      <c r="D13" s="439" t="s">
        <v>4</v>
      </c>
      <c r="E13" s="481">
        <v>1.6</v>
      </c>
      <c r="F13" s="482">
        <v>6.18</v>
      </c>
      <c r="G13" s="483">
        <f t="shared" si="0"/>
        <v>9.8800000000000008</v>
      </c>
      <c r="H13" s="249"/>
    </row>
    <row r="14" spans="1:8" ht="24.75" customHeight="1">
      <c r="A14" s="510">
        <v>7243</v>
      </c>
      <c r="B14" s="479" t="s">
        <v>2418</v>
      </c>
      <c r="C14" s="439" t="s">
        <v>89</v>
      </c>
      <c r="D14" s="439" t="s">
        <v>12</v>
      </c>
      <c r="E14" s="481">
        <v>1.05</v>
      </c>
      <c r="F14" s="484">
        <v>27.2</v>
      </c>
      <c r="G14" s="483">
        <f t="shared" si="0"/>
        <v>28.56</v>
      </c>
      <c r="H14" s="249"/>
    </row>
    <row r="15" spans="1:8" ht="15" customHeight="1">
      <c r="A15" s="249"/>
      <c r="B15" s="249"/>
      <c r="C15" s="485"/>
      <c r="D15" s="485"/>
      <c r="E15" s="485"/>
      <c r="F15" s="516" t="s">
        <v>92</v>
      </c>
      <c r="G15" s="513">
        <f>G7+G9</f>
        <v>10.36</v>
      </c>
      <c r="H15" s="249"/>
    </row>
    <row r="16" spans="1:8" ht="15" customHeight="1">
      <c r="A16" s="249"/>
      <c r="B16" s="249"/>
      <c r="C16" s="485"/>
      <c r="D16" s="485"/>
      <c r="E16" s="485"/>
      <c r="F16" s="516" t="s">
        <v>94</v>
      </c>
      <c r="G16" s="483">
        <f>G8+G10+G11+G12+G13+G14</f>
        <v>46.19</v>
      </c>
      <c r="H16" s="249"/>
    </row>
    <row r="17" spans="1:89" ht="15" customHeight="1">
      <c r="A17" s="506" t="s">
        <v>96</v>
      </c>
      <c r="B17" s="249"/>
      <c r="C17" s="485"/>
      <c r="D17" s="485"/>
      <c r="E17" s="485"/>
      <c r="F17" s="516" t="s">
        <v>95</v>
      </c>
      <c r="G17" s="517">
        <f>SUM(G15:G16)</f>
        <v>56.55</v>
      </c>
      <c r="H17" s="249"/>
    </row>
    <row r="18" spans="1:89" ht="15" customHeight="1">
      <c r="A18" s="507" t="s">
        <v>97</v>
      </c>
      <c r="B18" s="508">
        <f>G17</f>
        <v>56.55</v>
      </c>
      <c r="C18" s="247"/>
      <c r="D18" s="247"/>
      <c r="E18" s="247"/>
      <c r="F18" s="247"/>
      <c r="G18" s="247"/>
      <c r="H18" s="247"/>
    </row>
    <row r="19" spans="1:89" ht="15" customHeight="1">
      <c r="A19" s="455" t="s">
        <v>1936</v>
      </c>
      <c r="B19" s="454"/>
      <c r="C19" s="438"/>
      <c r="D19" s="438"/>
      <c r="E19" s="438"/>
      <c r="F19" s="438"/>
      <c r="G19" s="438"/>
      <c r="H19" s="438"/>
    </row>
    <row r="20" spans="1:89" ht="15" customHeight="1">
      <c r="A20" s="535" t="s">
        <v>1995</v>
      </c>
      <c r="B20" s="454">
        <f>(B18+B19)*0.245</f>
        <v>13.854749999999999</v>
      </c>
      <c r="C20" s="249"/>
      <c r="D20" s="249"/>
      <c r="E20" s="249"/>
      <c r="F20" s="249"/>
      <c r="G20" s="249"/>
      <c r="H20" s="249"/>
    </row>
    <row r="21" spans="1:89" ht="15" customHeight="1">
      <c r="A21" s="509" t="s">
        <v>98</v>
      </c>
      <c r="B21" s="515">
        <f>SUM(B18:B20)</f>
        <v>70.404749999999993</v>
      </c>
      <c r="C21" s="249"/>
      <c r="D21" s="249"/>
      <c r="E21" s="249"/>
      <c r="F21" s="249"/>
      <c r="G21" s="249"/>
      <c r="H21" s="469"/>
      <c r="I21" s="130" t="s">
        <v>1940</v>
      </c>
    </row>
    <row r="22" spans="1:89" ht="12.75">
      <c r="A22" s="429"/>
      <c r="B22" s="429"/>
      <c r="C22" s="440"/>
      <c r="D22" s="440"/>
      <c r="E22" s="440"/>
      <c r="F22" s="440"/>
      <c r="G22" s="440"/>
      <c r="H22" s="440"/>
    </row>
    <row r="23" spans="1:89" ht="10.5" customHeight="1">
      <c r="A23" s="249"/>
      <c r="B23" s="249"/>
      <c r="C23" s="249"/>
      <c r="D23" s="249"/>
      <c r="E23" s="249"/>
      <c r="F23" s="249"/>
      <c r="G23" s="249"/>
      <c r="H23" s="249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</row>
    <row r="24" spans="1:89" ht="10.5" customHeight="1">
      <c r="A24" s="130" t="s">
        <v>542</v>
      </c>
      <c r="B24" s="268"/>
      <c r="C24" s="268"/>
      <c r="D24" s="268"/>
      <c r="E24" s="268"/>
      <c r="F24" s="268"/>
      <c r="G24" s="268"/>
      <c r="H24" s="268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</row>
    <row r="25" spans="1:89" ht="12.75" customHeight="1">
      <c r="A25" s="675" t="s">
        <v>862</v>
      </c>
      <c r="B25" s="622"/>
      <c r="C25" s="622"/>
      <c r="D25" s="622"/>
      <c r="E25" s="622"/>
      <c r="F25" s="622"/>
      <c r="G25" s="622"/>
      <c r="H25" s="622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</row>
    <row r="26" spans="1:89" ht="18" customHeight="1">
      <c r="A26" s="448" t="s">
        <v>924</v>
      </c>
      <c r="B26" s="448" t="s">
        <v>1105</v>
      </c>
      <c r="C26" s="448" t="s">
        <v>950</v>
      </c>
      <c r="D26" s="446"/>
      <c r="E26" s="446"/>
      <c r="F26" s="446"/>
      <c r="G26" s="446"/>
      <c r="H26" s="132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</row>
    <row r="27" spans="1:89" ht="22.5" customHeight="1">
      <c r="A27" s="341" t="s">
        <v>30</v>
      </c>
      <c r="B27" s="347" t="s">
        <v>19</v>
      </c>
      <c r="C27" s="343" t="s">
        <v>82</v>
      </c>
      <c r="D27" s="343" t="s">
        <v>79</v>
      </c>
      <c r="E27" s="344" t="s">
        <v>83</v>
      </c>
      <c r="F27" s="345" t="s">
        <v>84</v>
      </c>
      <c r="G27" s="421" t="s">
        <v>85</v>
      </c>
      <c r="H27" s="132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</row>
    <row r="28" spans="1:89" ht="27" customHeight="1">
      <c r="A28" s="470">
        <v>4517</v>
      </c>
      <c r="B28" s="447" t="s">
        <v>2412</v>
      </c>
      <c r="C28" s="441" t="s">
        <v>89</v>
      </c>
      <c r="D28" s="441" t="s">
        <v>4</v>
      </c>
      <c r="E28" s="450">
        <v>1</v>
      </c>
      <c r="F28" s="471">
        <v>1.17</v>
      </c>
      <c r="G28" s="442">
        <f t="shared" ref="G28:G32" si="1">TRUNC(E28*F28,2)</f>
        <v>1.17</v>
      </c>
      <c r="H28" s="132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</row>
    <row r="29" spans="1:89" ht="35.25" customHeight="1">
      <c r="A29" s="470">
        <v>4433</v>
      </c>
      <c r="B29" s="447" t="s">
        <v>2411</v>
      </c>
      <c r="C29" s="441" t="s">
        <v>89</v>
      </c>
      <c r="D29" s="441" t="s">
        <v>4</v>
      </c>
      <c r="E29" s="450">
        <v>4</v>
      </c>
      <c r="F29" s="471">
        <v>6.18</v>
      </c>
      <c r="G29" s="442">
        <f t="shared" si="1"/>
        <v>24.72</v>
      </c>
      <c r="H29" s="132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</row>
    <row r="30" spans="1:89" ht="24" customHeight="1">
      <c r="A30" s="445" t="s">
        <v>118</v>
      </c>
      <c r="B30" s="447" t="s">
        <v>2413</v>
      </c>
      <c r="C30" s="441" t="s">
        <v>89</v>
      </c>
      <c r="D30" s="441" t="s">
        <v>99</v>
      </c>
      <c r="E30" s="450">
        <v>1</v>
      </c>
      <c r="F30" s="451">
        <v>400</v>
      </c>
      <c r="G30" s="449">
        <f t="shared" si="1"/>
        <v>400</v>
      </c>
      <c r="H30" s="132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</row>
    <row r="31" spans="1:89" ht="16.5" customHeight="1">
      <c r="A31" s="470">
        <v>5075</v>
      </c>
      <c r="B31" s="447" t="s">
        <v>2414</v>
      </c>
      <c r="C31" s="441" t="s">
        <v>89</v>
      </c>
      <c r="D31" s="441" t="s">
        <v>101</v>
      </c>
      <c r="E31" s="450">
        <v>0.11</v>
      </c>
      <c r="F31" s="471">
        <v>9.15</v>
      </c>
      <c r="G31" s="449">
        <f t="shared" si="1"/>
        <v>1</v>
      </c>
      <c r="H31" s="132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</row>
    <row r="32" spans="1:89" ht="15" customHeight="1">
      <c r="A32" s="1397">
        <v>88262</v>
      </c>
      <c r="B32" s="1395" t="s">
        <v>116</v>
      </c>
      <c r="C32" s="441" t="s">
        <v>102</v>
      </c>
      <c r="D32" s="1399" t="s">
        <v>345</v>
      </c>
      <c r="E32" s="1372">
        <v>1</v>
      </c>
      <c r="F32" s="451">
        <f>'COMP AUX'!G87</f>
        <v>14.81</v>
      </c>
      <c r="G32" s="442">
        <f t="shared" si="1"/>
        <v>14.81</v>
      </c>
      <c r="H32" s="132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</row>
    <row r="33" spans="1:89" ht="15" customHeight="1">
      <c r="A33" s="1398"/>
      <c r="B33" s="1396"/>
      <c r="C33" s="441" t="s">
        <v>89</v>
      </c>
      <c r="D33" s="1400"/>
      <c r="E33" s="1373"/>
      <c r="F33" s="451">
        <f>'COMP AUX'!G88</f>
        <v>4.5600000000000005</v>
      </c>
      <c r="G33" s="442">
        <f>TRUNC(E32*F33,2)</f>
        <v>4.5599999999999996</v>
      </c>
      <c r="H33" s="132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</row>
    <row r="34" spans="1:89" ht="15" customHeight="1">
      <c r="A34" s="1397">
        <v>88316</v>
      </c>
      <c r="B34" s="1395" t="s">
        <v>106</v>
      </c>
      <c r="C34" s="441" t="s">
        <v>102</v>
      </c>
      <c r="D34" s="1399" t="s">
        <v>345</v>
      </c>
      <c r="E34" s="1372">
        <v>2</v>
      </c>
      <c r="F34" s="451">
        <f>'COMP AUX'!G104</f>
        <v>11.1</v>
      </c>
      <c r="G34" s="449">
        <f>TRUNC(E34*F34,2)</f>
        <v>22.2</v>
      </c>
      <c r="H34" s="132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</row>
    <row r="35" spans="1:89" ht="15" customHeight="1">
      <c r="A35" s="1398"/>
      <c r="B35" s="1396"/>
      <c r="C35" s="441" t="s">
        <v>89</v>
      </c>
      <c r="D35" s="1400"/>
      <c r="E35" s="1373"/>
      <c r="F35" s="451">
        <f>'COMP AUX'!G105</f>
        <v>4.5600000000000005</v>
      </c>
      <c r="G35" s="442">
        <f>TRUNC(E34*F35,2)</f>
        <v>9.1199999999999992</v>
      </c>
      <c r="H35" s="132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</row>
    <row r="36" spans="1:89" ht="18" customHeight="1">
      <c r="A36" s="1401">
        <v>94962</v>
      </c>
      <c r="B36" s="1374" t="s">
        <v>871</v>
      </c>
      <c r="C36" s="441" t="s">
        <v>102</v>
      </c>
      <c r="D36" s="1399" t="s">
        <v>107</v>
      </c>
      <c r="E36" s="1372">
        <v>0.01</v>
      </c>
      <c r="F36" s="451">
        <f>'COMP AUX'!G804</f>
        <v>43.58</v>
      </c>
      <c r="G36" s="449">
        <f>TRUNC(E36*F36,2)</f>
        <v>0.43</v>
      </c>
      <c r="H36" s="132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</row>
    <row r="37" spans="1:89" ht="18" customHeight="1">
      <c r="A37" s="1402"/>
      <c r="B37" s="1375"/>
      <c r="C37" s="441" t="s">
        <v>89</v>
      </c>
      <c r="D37" s="1400"/>
      <c r="E37" s="1373"/>
      <c r="F37" s="451">
        <f>'COMP AUX'!G805</f>
        <v>207.62000000000003</v>
      </c>
      <c r="G37" s="449">
        <f>TRUNC(E36*F37,2)</f>
        <v>2.0699999999999998</v>
      </c>
      <c r="H37" s="132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</row>
    <row r="38" spans="1:89" ht="15" customHeight="1">
      <c r="A38" s="142"/>
      <c r="B38" s="142"/>
      <c r="C38" s="443"/>
      <c r="D38" s="443"/>
      <c r="E38" s="443"/>
      <c r="F38" s="444" t="s">
        <v>92</v>
      </c>
      <c r="G38" s="452">
        <f>G34+G32+G36</f>
        <v>37.44</v>
      </c>
      <c r="H38" s="132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</row>
    <row r="39" spans="1:89" ht="15" customHeight="1">
      <c r="A39" s="142"/>
      <c r="B39" s="142"/>
      <c r="C39" s="443"/>
      <c r="D39" s="443"/>
      <c r="E39" s="443"/>
      <c r="F39" s="444" t="s">
        <v>94</v>
      </c>
      <c r="G39" s="452">
        <f>G28+G29+G30+G31+G33+G35+G37</f>
        <v>442.64</v>
      </c>
      <c r="H39" s="132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</row>
    <row r="40" spans="1:89" ht="15" customHeight="1">
      <c r="A40" s="448" t="s">
        <v>96</v>
      </c>
      <c r="B40" s="142"/>
      <c r="C40" s="443"/>
      <c r="D40" s="443"/>
      <c r="E40" s="443"/>
      <c r="F40" s="444" t="s">
        <v>95</v>
      </c>
      <c r="G40" s="457">
        <f>SUM(G38:G39)</f>
        <v>480.08</v>
      </c>
      <c r="H40" s="132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</row>
    <row r="41" spans="1:89" ht="15" customHeight="1">
      <c r="A41" s="455" t="s">
        <v>97</v>
      </c>
      <c r="B41" s="453">
        <f>G40</f>
        <v>480.08</v>
      </c>
      <c r="C41" s="142"/>
      <c r="D41" s="142"/>
      <c r="E41" s="142"/>
      <c r="F41" s="145"/>
      <c r="G41" s="145"/>
      <c r="H41" s="132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</row>
    <row r="42" spans="1:89" ht="15" customHeight="1">
      <c r="A42" s="455" t="s">
        <v>1936</v>
      </c>
      <c r="B42" s="454"/>
      <c r="C42" s="142"/>
      <c r="D42" s="142"/>
      <c r="E42" s="142"/>
      <c r="F42" s="145"/>
      <c r="G42" s="145"/>
    </row>
    <row r="43" spans="1:89" ht="15" customHeight="1">
      <c r="A43" s="535" t="s">
        <v>1995</v>
      </c>
      <c r="B43" s="454">
        <f>(B41+B42)*0.245</f>
        <v>117.61959999999999</v>
      </c>
      <c r="C43" s="142"/>
      <c r="D43" s="142"/>
      <c r="E43" s="142"/>
      <c r="F43" s="145"/>
      <c r="G43" s="145"/>
    </row>
    <row r="44" spans="1:89" ht="15" customHeight="1">
      <c r="A44" s="455" t="s">
        <v>98</v>
      </c>
      <c r="B44" s="456">
        <f>SUM(B41:B43)</f>
        <v>597.69959999999992</v>
      </c>
      <c r="C44" s="142"/>
      <c r="D44" s="142"/>
      <c r="E44" s="142"/>
      <c r="F44" s="145"/>
      <c r="G44" s="145"/>
      <c r="H44" s="473"/>
      <c r="I44" s="130" t="s">
        <v>1940</v>
      </c>
    </row>
    <row r="45" spans="1:89" ht="15" customHeight="1">
      <c r="A45" s="1406"/>
      <c r="B45" s="1407"/>
      <c r="C45" s="1407"/>
      <c r="D45" s="1407"/>
      <c r="E45" s="1407"/>
      <c r="F45" s="1407"/>
      <c r="G45" s="1407"/>
      <c r="H45" s="1407"/>
    </row>
    <row r="47" spans="1:89" ht="12.75">
      <c r="A47" s="130" t="s">
        <v>653</v>
      </c>
      <c r="B47" s="268"/>
      <c r="C47" s="268"/>
      <c r="D47" s="268"/>
      <c r="E47" s="268"/>
      <c r="F47" s="268"/>
      <c r="G47" s="268"/>
      <c r="H47" s="268"/>
    </row>
    <row r="48" spans="1:89">
      <c r="A48" s="621" t="s">
        <v>2122</v>
      </c>
      <c r="B48" s="466"/>
      <c r="C48" s="466"/>
      <c r="D48" s="466"/>
      <c r="E48" s="466"/>
      <c r="F48" s="466"/>
      <c r="G48" s="466"/>
      <c r="H48" s="466"/>
    </row>
    <row r="49" spans="1:9" ht="43.5" customHeight="1">
      <c r="A49" s="673" t="s">
        <v>933</v>
      </c>
      <c r="B49" s="1403" t="s">
        <v>2123</v>
      </c>
      <c r="C49" s="1403"/>
      <c r="D49" s="1403"/>
      <c r="E49" s="465" t="s">
        <v>863</v>
      </c>
      <c r="G49" s="466"/>
      <c r="H49" s="466"/>
    </row>
    <row r="50" spans="1:9" ht="26.25" customHeight="1">
      <c r="A50" s="415" t="s">
        <v>30</v>
      </c>
      <c r="B50" s="420" t="s">
        <v>19</v>
      </c>
      <c r="C50" s="343" t="s">
        <v>82</v>
      </c>
      <c r="D50" s="425" t="s">
        <v>79</v>
      </c>
      <c r="E50" s="425" t="s">
        <v>83</v>
      </c>
      <c r="F50" s="345" t="s">
        <v>84</v>
      </c>
      <c r="G50" s="421" t="s">
        <v>85</v>
      </c>
      <c r="H50" s="463"/>
    </row>
    <row r="51" spans="1:9" ht="36.75" customHeight="1">
      <c r="A51" s="415">
        <v>10775</v>
      </c>
      <c r="B51" s="347" t="s">
        <v>864</v>
      </c>
      <c r="C51" s="343" t="s">
        <v>626</v>
      </c>
      <c r="D51" s="425" t="s">
        <v>863</v>
      </c>
      <c r="E51" s="368">
        <v>1</v>
      </c>
      <c r="F51" s="348">
        <v>505</v>
      </c>
      <c r="G51" s="369">
        <f>TRUNC(E51*F51,2)</f>
        <v>505</v>
      </c>
    </row>
    <row r="52" spans="1:9" ht="15" customHeight="1">
      <c r="E52" s="146"/>
      <c r="F52" s="427" t="s">
        <v>92</v>
      </c>
      <c r="G52" s="379"/>
    </row>
    <row r="53" spans="1:9" ht="15" customHeight="1">
      <c r="E53" s="146"/>
      <c r="F53" s="460" t="s">
        <v>94</v>
      </c>
      <c r="G53" s="369">
        <f>G51</f>
        <v>505</v>
      </c>
    </row>
    <row r="54" spans="1:9" s="337" customFormat="1" ht="15" customHeight="1">
      <c r="A54" s="130" t="s">
        <v>96</v>
      </c>
      <c r="B54" s="135"/>
      <c r="C54" s="133"/>
      <c r="D54" s="130"/>
      <c r="E54" s="146"/>
      <c r="F54" s="460" t="s">
        <v>95</v>
      </c>
      <c r="G54" s="370">
        <f>SUM(G52:G53)</f>
        <v>505</v>
      </c>
      <c r="H54" s="130"/>
    </row>
    <row r="55" spans="1:9" ht="15" customHeight="1">
      <c r="A55" s="350" t="s">
        <v>97</v>
      </c>
      <c r="B55" s="461">
        <f>G54</f>
        <v>505</v>
      </c>
    </row>
    <row r="56" spans="1:9" ht="15" customHeight="1">
      <c r="A56" s="455" t="s">
        <v>1936</v>
      </c>
      <c r="B56" s="454"/>
    </row>
    <row r="57" spans="1:9" ht="15" customHeight="1">
      <c r="A57" s="535" t="s">
        <v>1995</v>
      </c>
      <c r="B57" s="454">
        <f>(B55+B56)*0.245</f>
        <v>123.72499999999999</v>
      </c>
    </row>
    <row r="58" spans="1:9" ht="15" customHeight="1">
      <c r="A58" s="350" t="s">
        <v>98</v>
      </c>
      <c r="B58" s="462">
        <f>SUM(B55:B57)</f>
        <v>628.72500000000002</v>
      </c>
      <c r="H58" s="473"/>
      <c r="I58" s="130" t="s">
        <v>1940</v>
      </c>
    </row>
    <row r="59" spans="1:9">
      <c r="A59" s="429"/>
      <c r="B59" s="429"/>
      <c r="C59" s="429"/>
      <c r="D59" s="429"/>
      <c r="E59" s="429"/>
      <c r="F59" s="429"/>
      <c r="G59" s="429"/>
      <c r="H59" s="429"/>
    </row>
    <row r="61" spans="1:9" ht="12.75">
      <c r="A61" s="130" t="s">
        <v>653</v>
      </c>
      <c r="B61" s="268"/>
      <c r="C61" s="268"/>
      <c r="D61" s="268"/>
      <c r="E61" s="268"/>
      <c r="F61" s="268"/>
      <c r="G61" s="268"/>
      <c r="H61" s="268"/>
    </row>
    <row r="62" spans="1:9">
      <c r="A62" s="621" t="s">
        <v>1721</v>
      </c>
      <c r="B62" s="466"/>
      <c r="C62" s="466"/>
      <c r="D62" s="466"/>
      <c r="E62" s="466"/>
      <c r="F62" s="466"/>
      <c r="G62" s="466"/>
      <c r="H62" s="466"/>
    </row>
    <row r="63" spans="1:9" ht="23.25" customHeight="1">
      <c r="A63" s="673" t="s">
        <v>933</v>
      </c>
      <c r="B63" s="674" t="s">
        <v>1720</v>
      </c>
      <c r="C63" s="465" t="s">
        <v>822</v>
      </c>
      <c r="D63" s="674"/>
      <c r="G63" s="466"/>
      <c r="H63" s="466"/>
    </row>
    <row r="64" spans="1:9" ht="27" customHeight="1">
      <c r="A64" s="892" t="s">
        <v>30</v>
      </c>
      <c r="B64" s="420" t="s">
        <v>19</v>
      </c>
      <c r="C64" s="343" t="s">
        <v>82</v>
      </c>
      <c r="D64" s="894" t="s">
        <v>79</v>
      </c>
      <c r="E64" s="894" t="s">
        <v>83</v>
      </c>
      <c r="F64" s="345" t="s">
        <v>84</v>
      </c>
      <c r="G64" s="421" t="s">
        <v>85</v>
      </c>
      <c r="H64" s="463"/>
    </row>
    <row r="65" spans="1:8" ht="22.5">
      <c r="A65" s="892" t="s">
        <v>1722</v>
      </c>
      <c r="B65" s="893" t="s">
        <v>1723</v>
      </c>
      <c r="C65" s="343" t="s">
        <v>89</v>
      </c>
      <c r="D65" s="894" t="s">
        <v>344</v>
      </c>
      <c r="E65" s="895">
        <v>0.13333329999999999</v>
      </c>
      <c r="F65" s="345">
        <v>50.94</v>
      </c>
      <c r="G65" s="424">
        <f t="shared" ref="G65:G80" si="2">TRUNC(E65*F65,2)</f>
        <v>6.79</v>
      </c>
      <c r="H65" s="463"/>
    </row>
    <row r="66" spans="1:8" ht="22.5">
      <c r="A66" s="892" t="s">
        <v>1724</v>
      </c>
      <c r="B66" s="893" t="s">
        <v>1725</v>
      </c>
      <c r="C66" s="343" t="s">
        <v>89</v>
      </c>
      <c r="D66" s="894" t="s">
        <v>344</v>
      </c>
      <c r="E66" s="895">
        <v>2</v>
      </c>
      <c r="F66" s="345">
        <v>19.38</v>
      </c>
      <c r="G66" s="424">
        <f t="shared" si="2"/>
        <v>38.76</v>
      </c>
      <c r="H66" s="463"/>
    </row>
    <row r="67" spans="1:8" ht="14.1" customHeight="1">
      <c r="A67" s="892" t="s">
        <v>1726</v>
      </c>
      <c r="B67" s="893" t="s">
        <v>1727</v>
      </c>
      <c r="C67" s="343" t="s">
        <v>89</v>
      </c>
      <c r="D67" s="894" t="s">
        <v>346</v>
      </c>
      <c r="E67" s="895">
        <v>3</v>
      </c>
      <c r="F67" s="345">
        <v>8.0399999999999991</v>
      </c>
      <c r="G67" s="424">
        <f t="shared" si="2"/>
        <v>24.12</v>
      </c>
      <c r="H67" s="463"/>
    </row>
    <row r="68" spans="1:8" ht="22.5">
      <c r="A68" s="892" t="s">
        <v>1728</v>
      </c>
      <c r="B68" s="893" t="s">
        <v>1729</v>
      </c>
      <c r="C68" s="343" t="s">
        <v>89</v>
      </c>
      <c r="D68" s="894" t="s">
        <v>346</v>
      </c>
      <c r="E68" s="895">
        <v>27</v>
      </c>
      <c r="F68" s="345">
        <v>4.51</v>
      </c>
      <c r="G68" s="424">
        <f t="shared" si="2"/>
        <v>121.77</v>
      </c>
      <c r="H68" s="463"/>
    </row>
    <row r="69" spans="1:8" ht="33.75">
      <c r="A69" s="892" t="s">
        <v>1730</v>
      </c>
      <c r="B69" s="893" t="s">
        <v>1731</v>
      </c>
      <c r="C69" s="343" t="s">
        <v>89</v>
      </c>
      <c r="D69" s="894" t="s">
        <v>344</v>
      </c>
      <c r="E69" s="895">
        <v>1</v>
      </c>
      <c r="F69" s="414">
        <v>149.5</v>
      </c>
      <c r="G69" s="424">
        <f t="shared" si="2"/>
        <v>149.5</v>
      </c>
      <c r="H69" s="463"/>
    </row>
    <row r="70" spans="1:8" ht="22.5">
      <c r="A70" s="892" t="s">
        <v>1732</v>
      </c>
      <c r="B70" s="893" t="s">
        <v>1733</v>
      </c>
      <c r="C70" s="343" t="s">
        <v>89</v>
      </c>
      <c r="D70" s="894" t="s">
        <v>344</v>
      </c>
      <c r="E70" s="895">
        <v>2</v>
      </c>
      <c r="F70" s="414">
        <v>64.3</v>
      </c>
      <c r="G70" s="424">
        <f t="shared" si="2"/>
        <v>128.6</v>
      </c>
      <c r="H70" s="463"/>
    </row>
    <row r="71" spans="1:8" ht="22.5">
      <c r="A71" s="892" t="s">
        <v>1734</v>
      </c>
      <c r="B71" s="893" t="s">
        <v>1735</v>
      </c>
      <c r="C71" s="343" t="s">
        <v>89</v>
      </c>
      <c r="D71" s="894" t="s">
        <v>344</v>
      </c>
      <c r="E71" s="895">
        <v>8</v>
      </c>
      <c r="F71" s="414">
        <v>4</v>
      </c>
      <c r="G71" s="424">
        <f t="shared" si="2"/>
        <v>32</v>
      </c>
      <c r="H71" s="463"/>
    </row>
    <row r="72" spans="1:8" ht="14.1" customHeight="1">
      <c r="A72" s="892" t="s">
        <v>1736</v>
      </c>
      <c r="B72" s="893" t="s">
        <v>368</v>
      </c>
      <c r="C72" s="343" t="s">
        <v>89</v>
      </c>
      <c r="D72" s="894" t="s">
        <v>344</v>
      </c>
      <c r="E72" s="895">
        <v>4</v>
      </c>
      <c r="F72" s="345">
        <v>1.1599999999999999</v>
      </c>
      <c r="G72" s="424">
        <f t="shared" si="2"/>
        <v>4.6399999999999997</v>
      </c>
      <c r="H72" s="463"/>
    </row>
    <row r="73" spans="1:8" ht="22.5">
      <c r="A73" s="892" t="s">
        <v>1737</v>
      </c>
      <c r="B73" s="893" t="s">
        <v>1738</v>
      </c>
      <c r="C73" s="343" t="s">
        <v>89</v>
      </c>
      <c r="D73" s="894" t="s">
        <v>344</v>
      </c>
      <c r="E73" s="895">
        <v>1</v>
      </c>
      <c r="F73" s="345">
        <v>57.39</v>
      </c>
      <c r="G73" s="424">
        <f t="shared" si="2"/>
        <v>57.39</v>
      </c>
      <c r="H73" s="463"/>
    </row>
    <row r="74" spans="1:8" ht="14.1" customHeight="1">
      <c r="A74" s="892" t="s">
        <v>1739</v>
      </c>
      <c r="B74" s="893" t="s">
        <v>366</v>
      </c>
      <c r="C74" s="343" t="s">
        <v>89</v>
      </c>
      <c r="D74" s="894" t="s">
        <v>346</v>
      </c>
      <c r="E74" s="895">
        <v>8</v>
      </c>
      <c r="F74" s="345">
        <v>3.23</v>
      </c>
      <c r="G74" s="424">
        <f t="shared" si="2"/>
        <v>25.84</v>
      </c>
      <c r="H74" s="463"/>
    </row>
    <row r="75" spans="1:8" ht="22.5">
      <c r="A75" s="892" t="s">
        <v>1740</v>
      </c>
      <c r="B75" s="893" t="s">
        <v>1741</v>
      </c>
      <c r="C75" s="343" t="s">
        <v>89</v>
      </c>
      <c r="D75" s="894" t="s">
        <v>346</v>
      </c>
      <c r="E75" s="895">
        <v>7.96</v>
      </c>
      <c r="F75" s="345">
        <v>50.23</v>
      </c>
      <c r="G75" s="424">
        <f t="shared" si="2"/>
        <v>399.83</v>
      </c>
      <c r="H75" s="463"/>
    </row>
    <row r="76" spans="1:8" ht="33.75">
      <c r="A76" s="892" t="s">
        <v>428</v>
      </c>
      <c r="B76" s="893" t="s">
        <v>429</v>
      </c>
      <c r="C76" s="343" t="s">
        <v>89</v>
      </c>
      <c r="D76" s="894" t="s">
        <v>344</v>
      </c>
      <c r="E76" s="895">
        <v>1</v>
      </c>
      <c r="F76" s="345">
        <v>30.88</v>
      </c>
      <c r="G76" s="424">
        <f t="shared" si="2"/>
        <v>30.88</v>
      </c>
      <c r="H76" s="463"/>
    </row>
    <row r="77" spans="1:8" ht="33.75">
      <c r="A77" s="892" t="s">
        <v>1742</v>
      </c>
      <c r="B77" s="893" t="s">
        <v>1743</v>
      </c>
      <c r="C77" s="343" t="s">
        <v>89</v>
      </c>
      <c r="D77" s="894" t="s">
        <v>344</v>
      </c>
      <c r="E77" s="895">
        <v>2</v>
      </c>
      <c r="F77" s="345">
        <v>5.38</v>
      </c>
      <c r="G77" s="424">
        <f t="shared" si="2"/>
        <v>10.76</v>
      </c>
      <c r="H77" s="463"/>
    </row>
    <row r="78" spans="1:8" ht="22.5">
      <c r="A78" s="892" t="s">
        <v>1744</v>
      </c>
      <c r="B78" s="893" t="s">
        <v>1745</v>
      </c>
      <c r="C78" s="343" t="s">
        <v>89</v>
      </c>
      <c r="D78" s="894" t="s">
        <v>344</v>
      </c>
      <c r="E78" s="895">
        <v>2</v>
      </c>
      <c r="F78" s="345">
        <v>5.26</v>
      </c>
      <c r="G78" s="424">
        <f t="shared" si="2"/>
        <v>10.52</v>
      </c>
      <c r="H78" s="463"/>
    </row>
    <row r="79" spans="1:8" ht="22.5">
      <c r="A79" s="892" t="s">
        <v>1746</v>
      </c>
      <c r="B79" s="893" t="s">
        <v>1747</v>
      </c>
      <c r="C79" s="343" t="s">
        <v>89</v>
      </c>
      <c r="D79" s="894" t="s">
        <v>344</v>
      </c>
      <c r="E79" s="895">
        <v>2</v>
      </c>
      <c r="F79" s="414">
        <v>3.3</v>
      </c>
      <c r="G79" s="424">
        <f t="shared" si="2"/>
        <v>6.6</v>
      </c>
      <c r="H79" s="463"/>
    </row>
    <row r="80" spans="1:8" ht="14.1" customHeight="1">
      <c r="A80" s="892" t="s">
        <v>1748</v>
      </c>
      <c r="B80" s="893" t="s">
        <v>1749</v>
      </c>
      <c r="C80" s="343" t="s">
        <v>89</v>
      </c>
      <c r="D80" s="894" t="s">
        <v>344</v>
      </c>
      <c r="E80" s="895">
        <v>2</v>
      </c>
      <c r="F80" s="345">
        <v>0.65</v>
      </c>
      <c r="G80" s="424">
        <f t="shared" si="2"/>
        <v>1.3</v>
      </c>
      <c r="H80" s="463"/>
    </row>
    <row r="81" spans="1:9" ht="14.1" customHeight="1">
      <c r="A81" s="892" t="s">
        <v>1750</v>
      </c>
      <c r="B81" s="893" t="s">
        <v>1751</v>
      </c>
      <c r="C81" s="343" t="s">
        <v>89</v>
      </c>
      <c r="D81" s="894" t="s">
        <v>344</v>
      </c>
      <c r="E81" s="895">
        <v>2</v>
      </c>
      <c r="F81" s="348">
        <v>0.48</v>
      </c>
      <c r="G81" s="369">
        <f>TRUNC(E81*F81,2)</f>
        <v>0.96</v>
      </c>
    </row>
    <row r="82" spans="1:9" ht="15" customHeight="1">
      <c r="A82" s="1308" t="s">
        <v>1262</v>
      </c>
      <c r="B82" s="1310" t="s">
        <v>249</v>
      </c>
      <c r="C82" s="908" t="s">
        <v>102</v>
      </c>
      <c r="D82" s="1364" t="s">
        <v>345</v>
      </c>
      <c r="E82" s="1315">
        <v>8</v>
      </c>
      <c r="F82" s="348">
        <f>'COMP AUX'!G253</f>
        <v>15.639999999999999</v>
      </c>
      <c r="G82" s="369">
        <f t="shared" ref="G82:G84" si="3">TRUNC(E82*F82,2)</f>
        <v>125.12</v>
      </c>
    </row>
    <row r="83" spans="1:9" ht="15" customHeight="1">
      <c r="A83" s="1309"/>
      <c r="B83" s="1311"/>
      <c r="C83" s="909" t="s">
        <v>89</v>
      </c>
      <c r="D83" s="1365"/>
      <c r="E83" s="1316"/>
      <c r="F83" s="348">
        <f>'COMP AUX'!G254</f>
        <v>4.5600000000000005</v>
      </c>
      <c r="G83" s="369">
        <f>TRUNC(E82*F83,2)</f>
        <v>36.479999999999997</v>
      </c>
    </row>
    <row r="84" spans="1:9" ht="15" customHeight="1">
      <c r="A84" s="1308" t="s">
        <v>688</v>
      </c>
      <c r="B84" s="1310" t="s">
        <v>106</v>
      </c>
      <c r="C84" s="908" t="s">
        <v>102</v>
      </c>
      <c r="D84" s="1364" t="s">
        <v>345</v>
      </c>
      <c r="E84" s="1315">
        <v>8</v>
      </c>
      <c r="F84" s="348">
        <f>'COMP AUX'!G104</f>
        <v>11.1</v>
      </c>
      <c r="G84" s="369">
        <f t="shared" si="3"/>
        <v>88.8</v>
      </c>
    </row>
    <row r="85" spans="1:9" ht="15" customHeight="1">
      <c r="A85" s="1309"/>
      <c r="B85" s="1342"/>
      <c r="C85" s="909" t="s">
        <v>89</v>
      </c>
      <c r="D85" s="1365"/>
      <c r="E85" s="1316"/>
      <c r="F85" s="348">
        <f>'COMP AUX'!G105</f>
        <v>4.5600000000000005</v>
      </c>
      <c r="G85" s="369">
        <f>TRUNC(E84*F85,2)</f>
        <v>36.479999999999997</v>
      </c>
    </row>
    <row r="86" spans="1:9" ht="15" customHeight="1">
      <c r="E86" s="146"/>
      <c r="F86" s="427" t="s">
        <v>92</v>
      </c>
      <c r="G86" s="379">
        <f>G82+G84</f>
        <v>213.92000000000002</v>
      </c>
    </row>
    <row r="87" spans="1:9" ht="15" customHeight="1">
      <c r="E87" s="146"/>
      <c r="F87" s="460" t="s">
        <v>94</v>
      </c>
      <c r="G87" s="387">
        <f>SUM(G65:G81)+G83+G85</f>
        <v>1123.22</v>
      </c>
    </row>
    <row r="88" spans="1:9" ht="15" customHeight="1">
      <c r="A88" s="130" t="s">
        <v>96</v>
      </c>
      <c r="E88" s="146"/>
      <c r="F88" s="460" t="s">
        <v>95</v>
      </c>
      <c r="G88" s="392">
        <f>SUM(G86:G87)</f>
        <v>1337.14</v>
      </c>
    </row>
    <row r="89" spans="1:9" ht="15" customHeight="1">
      <c r="A89" s="350" t="s">
        <v>97</v>
      </c>
      <c r="B89" s="569">
        <f>G88</f>
        <v>1337.14</v>
      </c>
    </row>
    <row r="90" spans="1:9" ht="15" customHeight="1">
      <c r="A90" s="455" t="s">
        <v>1936</v>
      </c>
      <c r="B90" s="454"/>
    </row>
    <row r="91" spans="1:9" ht="15" customHeight="1">
      <c r="A91" s="535" t="s">
        <v>1995</v>
      </c>
      <c r="B91" s="454">
        <f>(B89+B90)*0.245</f>
        <v>327.59930000000003</v>
      </c>
    </row>
    <row r="92" spans="1:9" ht="15" customHeight="1">
      <c r="A92" s="350" t="s">
        <v>98</v>
      </c>
      <c r="B92" s="570">
        <f>SUM(B89:B91)</f>
        <v>1664.7393000000002</v>
      </c>
      <c r="H92" s="473"/>
      <c r="I92" s="130" t="s">
        <v>1940</v>
      </c>
    </row>
    <row r="93" spans="1:9">
      <c r="A93" s="429"/>
      <c r="B93" s="429"/>
      <c r="C93" s="429"/>
      <c r="D93" s="429"/>
      <c r="E93" s="429"/>
      <c r="F93" s="429"/>
      <c r="G93" s="429"/>
      <c r="H93" s="429"/>
    </row>
    <row r="95" spans="1:9" ht="12.75">
      <c r="A95" s="130" t="s">
        <v>542</v>
      </c>
      <c r="B95" s="268"/>
      <c r="C95" s="268"/>
      <c r="D95" s="268"/>
      <c r="E95" s="268"/>
      <c r="F95" s="268"/>
      <c r="G95" s="268"/>
      <c r="H95" s="268"/>
    </row>
    <row r="96" spans="1:9" ht="12.75">
      <c r="A96" s="675" t="s">
        <v>2024</v>
      </c>
      <c r="B96" s="622"/>
      <c r="C96" s="622"/>
      <c r="D96" s="622"/>
      <c r="E96" s="622"/>
      <c r="F96" s="622"/>
      <c r="G96" s="622"/>
      <c r="H96" s="622"/>
    </row>
    <row r="97" spans="1:11" ht="18" customHeight="1">
      <c r="A97" s="448" t="s">
        <v>924</v>
      </c>
      <c r="B97" s="448" t="s">
        <v>2026</v>
      </c>
      <c r="C97" s="448" t="s">
        <v>682</v>
      </c>
      <c r="D97" s="446"/>
      <c r="E97" s="446"/>
      <c r="F97" s="446"/>
      <c r="G97" s="446"/>
      <c r="H97" s="132"/>
    </row>
    <row r="98" spans="1:11" ht="22.5">
      <c r="A98" s="341" t="s">
        <v>30</v>
      </c>
      <c r="B98" s="986" t="s">
        <v>19</v>
      </c>
      <c r="C98" s="343" t="s">
        <v>82</v>
      </c>
      <c r="D98" s="343" t="s">
        <v>79</v>
      </c>
      <c r="E98" s="987" t="s">
        <v>83</v>
      </c>
      <c r="F98" s="345" t="s">
        <v>84</v>
      </c>
      <c r="G98" s="421" t="s">
        <v>85</v>
      </c>
      <c r="H98" s="132"/>
      <c r="J98" s="338" t="s">
        <v>2077</v>
      </c>
      <c r="K98" s="461">
        <f>998/20</f>
        <v>49.9</v>
      </c>
    </row>
    <row r="99" spans="1:11" ht="14.1" customHeight="1">
      <c r="A99" s="470" t="s">
        <v>81</v>
      </c>
      <c r="B99" s="447" t="s">
        <v>2078</v>
      </c>
      <c r="C99" s="441" t="s">
        <v>89</v>
      </c>
      <c r="D99" s="441" t="s">
        <v>822</v>
      </c>
      <c r="E99" s="450">
        <v>49.9</v>
      </c>
      <c r="F99" s="451">
        <v>1.8</v>
      </c>
      <c r="G99" s="646">
        <f t="shared" ref="G99:G102" si="4">TRUNC(E99*F99,2)</f>
        <v>89.82</v>
      </c>
      <c r="H99" s="132"/>
      <c r="I99" s="135" t="s">
        <v>2079</v>
      </c>
    </row>
    <row r="100" spans="1:11" ht="22.5">
      <c r="A100" s="470">
        <v>3997</v>
      </c>
      <c r="B100" s="447" t="s">
        <v>2027</v>
      </c>
      <c r="C100" s="441" t="s">
        <v>89</v>
      </c>
      <c r="D100" s="441" t="s">
        <v>682</v>
      </c>
      <c r="E100" s="450">
        <v>1.1000000000000001</v>
      </c>
      <c r="F100" s="1018">
        <v>1531.01</v>
      </c>
      <c r="G100" s="646">
        <f t="shared" si="4"/>
        <v>1684.11</v>
      </c>
      <c r="H100" s="132"/>
    </row>
    <row r="101" spans="1:11" ht="14.1" customHeight="1">
      <c r="A101" s="470">
        <v>5061</v>
      </c>
      <c r="B101" s="447" t="s">
        <v>390</v>
      </c>
      <c r="C101" s="441" t="s">
        <v>89</v>
      </c>
      <c r="D101" s="441" t="s">
        <v>101</v>
      </c>
      <c r="E101" s="450">
        <v>4.8</v>
      </c>
      <c r="F101" s="451">
        <v>9</v>
      </c>
      <c r="G101" s="646">
        <f t="shared" si="4"/>
        <v>43.2</v>
      </c>
      <c r="H101" s="132"/>
    </row>
    <row r="102" spans="1:11" ht="14.1" customHeight="1">
      <c r="A102" s="1397">
        <v>88262</v>
      </c>
      <c r="B102" s="1395" t="s">
        <v>116</v>
      </c>
      <c r="C102" s="441" t="s">
        <v>102</v>
      </c>
      <c r="D102" s="1399" t="s">
        <v>345</v>
      </c>
      <c r="E102" s="1372">
        <v>48</v>
      </c>
      <c r="F102" s="451">
        <f>'COMP AUX'!G87</f>
        <v>14.81</v>
      </c>
      <c r="G102" s="646">
        <f t="shared" si="4"/>
        <v>710.88</v>
      </c>
      <c r="H102" s="132"/>
    </row>
    <row r="103" spans="1:11" ht="14.1" customHeight="1">
      <c r="A103" s="1398"/>
      <c r="B103" s="1396"/>
      <c r="C103" s="441" t="s">
        <v>89</v>
      </c>
      <c r="D103" s="1400"/>
      <c r="E103" s="1373"/>
      <c r="F103" s="451">
        <f>'COMP AUX'!G88</f>
        <v>4.5600000000000005</v>
      </c>
      <c r="G103" s="646">
        <f>TRUNC(E102*F103,2)</f>
        <v>218.88</v>
      </c>
      <c r="H103" s="132"/>
    </row>
    <row r="104" spans="1:11" ht="14.1" customHeight="1">
      <c r="A104" s="1397">
        <v>88241</v>
      </c>
      <c r="B104" s="1395" t="s">
        <v>2025</v>
      </c>
      <c r="C104" s="441" t="s">
        <v>102</v>
      </c>
      <c r="D104" s="1399" t="s">
        <v>345</v>
      </c>
      <c r="E104" s="1372">
        <v>48</v>
      </c>
      <c r="F104" s="451">
        <f>'COMP AUX'!G53</f>
        <v>10.74</v>
      </c>
      <c r="G104" s="646">
        <f>TRUNC(E104*F104,2)</f>
        <v>515.52</v>
      </c>
      <c r="H104" s="132"/>
    </row>
    <row r="105" spans="1:11" ht="14.1" customHeight="1">
      <c r="A105" s="1398"/>
      <c r="B105" s="1396"/>
      <c r="C105" s="441" t="s">
        <v>89</v>
      </c>
      <c r="D105" s="1400"/>
      <c r="E105" s="1373"/>
      <c r="F105" s="451">
        <f>'COMP AUX'!G54</f>
        <v>4.5600000000000005</v>
      </c>
      <c r="G105" s="646">
        <f>TRUNC(E104*F105,2)</f>
        <v>218.88</v>
      </c>
      <c r="H105" s="132"/>
    </row>
    <row r="106" spans="1:11" ht="14.1" customHeight="1">
      <c r="A106" s="988"/>
      <c r="B106" s="988"/>
      <c r="C106" s="443"/>
      <c r="D106" s="443"/>
      <c r="E106" s="443"/>
      <c r="F106" s="444" t="s">
        <v>92</v>
      </c>
      <c r="G106" s="1019">
        <f>G104+G102</f>
        <v>1226.4000000000001</v>
      </c>
      <c r="H106" s="132"/>
    </row>
    <row r="107" spans="1:11" ht="14.1" customHeight="1">
      <c r="A107" s="988"/>
      <c r="B107" s="988"/>
      <c r="C107" s="443"/>
      <c r="D107" s="443"/>
      <c r="E107" s="443"/>
      <c r="F107" s="444" t="s">
        <v>94</v>
      </c>
      <c r="G107" s="1019">
        <f>G99+G100+G101+G103+G105</f>
        <v>2254.89</v>
      </c>
      <c r="H107" s="132"/>
    </row>
    <row r="108" spans="1:11" ht="14.1" customHeight="1">
      <c r="A108" s="448" t="s">
        <v>96</v>
      </c>
      <c r="B108" s="988"/>
      <c r="C108" s="443"/>
      <c r="D108" s="443"/>
      <c r="E108" s="443"/>
      <c r="F108" s="444" t="s">
        <v>95</v>
      </c>
      <c r="G108" s="1020">
        <f>SUM(G106:G107)</f>
        <v>3481.29</v>
      </c>
      <c r="H108" s="132"/>
    </row>
    <row r="109" spans="1:11" ht="14.1" customHeight="1">
      <c r="A109" s="455" t="s">
        <v>97</v>
      </c>
      <c r="B109" s="1021">
        <f>G108</f>
        <v>3481.29</v>
      </c>
      <c r="C109" s="988"/>
      <c r="D109" s="988"/>
      <c r="E109" s="988"/>
      <c r="F109" s="145"/>
      <c r="G109" s="145"/>
      <c r="H109" s="132"/>
    </row>
    <row r="110" spans="1:11" ht="14.1" customHeight="1">
      <c r="A110" s="455" t="s">
        <v>1936</v>
      </c>
      <c r="B110" s="1021"/>
      <c r="C110" s="988"/>
      <c r="D110" s="988"/>
      <c r="E110" s="988"/>
      <c r="F110" s="145"/>
      <c r="G110" s="145"/>
    </row>
    <row r="111" spans="1:11" ht="14.1" customHeight="1">
      <c r="A111" s="535" t="s">
        <v>1995</v>
      </c>
      <c r="B111" s="1021">
        <f>(B109+B110)*0.245</f>
        <v>852.91604999999993</v>
      </c>
      <c r="C111" s="988"/>
      <c r="D111" s="988"/>
      <c r="E111" s="988"/>
      <c r="F111" s="145"/>
      <c r="G111" s="145"/>
    </row>
    <row r="112" spans="1:11" ht="14.1" customHeight="1">
      <c r="A112" s="455" t="s">
        <v>98</v>
      </c>
      <c r="B112" s="1022">
        <f>SUM(B109:B111)</f>
        <v>4334.2060499999998</v>
      </c>
      <c r="C112" s="988"/>
      <c r="D112" s="988"/>
      <c r="E112" s="988"/>
      <c r="F112" s="145"/>
      <c r="G112" s="145"/>
      <c r="H112" s="473"/>
      <c r="I112" s="130" t="s">
        <v>1940</v>
      </c>
    </row>
    <row r="113" spans="1:8" ht="12.75">
      <c r="A113" s="1406"/>
      <c r="B113" s="1407"/>
      <c r="C113" s="1407"/>
      <c r="D113" s="1407"/>
      <c r="E113" s="1407"/>
      <c r="F113" s="1407"/>
      <c r="G113" s="1407"/>
      <c r="H113" s="1407"/>
    </row>
    <row r="115" spans="1:8">
      <c r="A115" s="130" t="s">
        <v>653</v>
      </c>
      <c r="B115" s="468"/>
      <c r="C115" s="468"/>
      <c r="D115" s="468"/>
      <c r="E115" s="468"/>
      <c r="F115" s="468"/>
      <c r="G115" s="468"/>
      <c r="H115" s="468"/>
    </row>
    <row r="116" spans="1:8">
      <c r="A116" s="467" t="s">
        <v>872</v>
      </c>
    </row>
    <row r="117" spans="1:8" ht="25.5" customHeight="1">
      <c r="A117" s="491" t="s">
        <v>924</v>
      </c>
      <c r="B117" s="887" t="s">
        <v>949</v>
      </c>
      <c r="C117" s="528" t="s">
        <v>682</v>
      </c>
      <c r="E117" s="492"/>
      <c r="F117" s="492"/>
      <c r="G117" s="492"/>
      <c r="H117" s="492"/>
    </row>
    <row r="118" spans="1:8" ht="22.5">
      <c r="A118" s="415" t="s">
        <v>30</v>
      </c>
      <c r="B118" s="420" t="s">
        <v>19</v>
      </c>
      <c r="C118" s="343" t="s">
        <v>82</v>
      </c>
      <c r="D118" s="425" t="s">
        <v>79</v>
      </c>
      <c r="E118" s="425" t="s">
        <v>83</v>
      </c>
      <c r="F118" s="345" t="s">
        <v>84</v>
      </c>
      <c r="G118" s="421" t="s">
        <v>85</v>
      </c>
      <c r="H118" s="464"/>
    </row>
    <row r="119" spans="1:8" ht="15" customHeight="1">
      <c r="A119" s="1391">
        <v>88309</v>
      </c>
      <c r="B119" s="1389" t="s">
        <v>110</v>
      </c>
      <c r="C119" s="477" t="s">
        <v>102</v>
      </c>
      <c r="D119" s="1392" t="s">
        <v>345</v>
      </c>
      <c r="E119" s="1429">
        <v>0.22500000000000001</v>
      </c>
      <c r="F119" s="487">
        <f>'COMP AUX'!G151</f>
        <v>14.93</v>
      </c>
      <c r="G119" s="478">
        <f t="shared" ref="G119:G121" si="5">TRUNC(E119*F119,2)</f>
        <v>3.35</v>
      </c>
      <c r="H119" s="138"/>
    </row>
    <row r="120" spans="1:8" ht="15" customHeight="1">
      <c r="A120" s="1341"/>
      <c r="B120" s="1390"/>
      <c r="C120" s="475" t="s">
        <v>89</v>
      </c>
      <c r="D120" s="1344"/>
      <c r="E120" s="1346"/>
      <c r="F120" s="486">
        <f>'COMP AUX'!G152</f>
        <v>4.5600000000000005</v>
      </c>
      <c r="G120" s="476">
        <f>TRUNC(E119*F120,2)</f>
        <v>1.02</v>
      </c>
      <c r="H120" s="332"/>
    </row>
    <row r="121" spans="1:8" ht="15" customHeight="1">
      <c r="A121" s="1340">
        <v>88316</v>
      </c>
      <c r="B121" s="1410" t="s">
        <v>106</v>
      </c>
      <c r="C121" s="475" t="s">
        <v>102</v>
      </c>
      <c r="D121" s="1343" t="s">
        <v>345</v>
      </c>
      <c r="E121" s="1393">
        <v>2.3248000000000002</v>
      </c>
      <c r="F121" s="486">
        <f>'COMP AUX'!G104</f>
        <v>11.1</v>
      </c>
      <c r="G121" s="476">
        <f t="shared" si="5"/>
        <v>25.8</v>
      </c>
      <c r="H121" s="332"/>
    </row>
    <row r="122" spans="1:8" ht="15" customHeight="1">
      <c r="A122" s="1341"/>
      <c r="B122" s="1390"/>
      <c r="C122" s="475" t="s">
        <v>89</v>
      </c>
      <c r="D122" s="1344"/>
      <c r="E122" s="1394"/>
      <c r="F122" s="486">
        <f>'COMP AUX'!G105</f>
        <v>4.5600000000000005</v>
      </c>
      <c r="G122" s="476">
        <f>TRUNC(E121*F122,2)</f>
        <v>10.6</v>
      </c>
      <c r="H122" s="138"/>
    </row>
    <row r="123" spans="1:8" ht="15" customHeight="1">
      <c r="A123" s="138"/>
      <c r="B123" s="138"/>
      <c r="C123" s="138"/>
      <c r="D123" s="138"/>
      <c r="E123" s="138"/>
      <c r="F123" s="494" t="s">
        <v>92</v>
      </c>
      <c r="G123" s="488">
        <f>G119+G121</f>
        <v>29.150000000000002</v>
      </c>
      <c r="H123" s="138"/>
    </row>
    <row r="124" spans="1:8" ht="15" customHeight="1">
      <c r="A124" s="138"/>
      <c r="B124" s="138"/>
      <c r="C124" s="138"/>
      <c r="D124" s="138"/>
      <c r="E124" s="138"/>
      <c r="F124" s="494" t="s">
        <v>94</v>
      </c>
      <c r="G124" s="488">
        <f>G120+G122</f>
        <v>11.62</v>
      </c>
      <c r="H124" s="138"/>
    </row>
    <row r="125" spans="1:8" ht="15" customHeight="1">
      <c r="A125" s="495" t="s">
        <v>96</v>
      </c>
      <c r="B125" s="138"/>
      <c r="C125" s="138"/>
      <c r="D125" s="138"/>
      <c r="E125" s="138"/>
      <c r="F125" s="494" t="s">
        <v>95</v>
      </c>
      <c r="G125" s="489">
        <f>SUM(G123:G124)</f>
        <v>40.770000000000003</v>
      </c>
      <c r="H125" s="138"/>
    </row>
    <row r="126" spans="1:8" ht="15" customHeight="1">
      <c r="A126" s="350" t="s">
        <v>97</v>
      </c>
      <c r="B126" s="461">
        <f>G125</f>
        <v>40.770000000000003</v>
      </c>
      <c r="C126" s="138"/>
      <c r="D126" s="138"/>
      <c r="E126" s="138"/>
      <c r="F126" s="139"/>
      <c r="G126" s="139"/>
      <c r="H126" s="138"/>
    </row>
    <row r="127" spans="1:8" ht="15" customHeight="1">
      <c r="A127" s="455" t="s">
        <v>1936</v>
      </c>
      <c r="B127" s="454"/>
      <c r="C127" s="138"/>
      <c r="D127" s="138"/>
      <c r="E127" s="138"/>
      <c r="F127" s="139"/>
      <c r="G127" s="139"/>
      <c r="H127" s="138"/>
    </row>
    <row r="128" spans="1:8" ht="15" customHeight="1">
      <c r="A128" s="535" t="s">
        <v>1995</v>
      </c>
      <c r="B128" s="454">
        <f>(B126+B127)*0.245</f>
        <v>9.9886499999999998</v>
      </c>
      <c r="C128" s="138"/>
      <c r="D128" s="138"/>
      <c r="E128" s="138"/>
      <c r="F128" s="139"/>
      <c r="G128" s="139"/>
      <c r="H128" s="138"/>
    </row>
    <row r="129" spans="1:9" ht="15" customHeight="1">
      <c r="A129" s="350" t="s">
        <v>98</v>
      </c>
      <c r="B129" s="462">
        <f>SUM(B126:B128)</f>
        <v>50.758650000000003</v>
      </c>
      <c r="C129" s="138"/>
      <c r="D129" s="138"/>
      <c r="E129" s="138"/>
      <c r="F129" s="139"/>
      <c r="G129" s="139"/>
      <c r="H129" s="490"/>
      <c r="I129" s="130" t="s">
        <v>1937</v>
      </c>
    </row>
    <row r="130" spans="1:9">
      <c r="A130" s="429"/>
      <c r="B130" s="430"/>
      <c r="C130" s="431"/>
      <c r="D130" s="429"/>
      <c r="E130" s="430"/>
      <c r="F130" s="430"/>
      <c r="G130" s="430"/>
      <c r="H130" s="429"/>
    </row>
    <row r="132" spans="1:9">
      <c r="A132" s="130" t="s">
        <v>653</v>
      </c>
      <c r="B132" s="468"/>
      <c r="C132" s="468"/>
      <c r="D132" s="468"/>
      <c r="E132" s="468"/>
      <c r="F132" s="468"/>
      <c r="G132" s="468"/>
      <c r="H132" s="468"/>
    </row>
    <row r="133" spans="1:9" ht="15" customHeight="1">
      <c r="A133" s="467" t="s">
        <v>1682</v>
      </c>
    </row>
    <row r="134" spans="1:9" ht="24.75" customHeight="1">
      <c r="A134" s="875" t="s">
        <v>924</v>
      </c>
      <c r="B134" s="887" t="s">
        <v>2121</v>
      </c>
      <c r="C134" s="528" t="s">
        <v>858</v>
      </c>
      <c r="E134" s="876"/>
      <c r="F134" s="876"/>
      <c r="G134" s="876"/>
      <c r="H134" s="876"/>
    </row>
    <row r="135" spans="1:9" ht="22.5">
      <c r="A135" s="872" t="s">
        <v>30</v>
      </c>
      <c r="B135" s="420" t="s">
        <v>19</v>
      </c>
      <c r="C135" s="343" t="s">
        <v>82</v>
      </c>
      <c r="D135" s="870" t="s">
        <v>79</v>
      </c>
      <c r="E135" s="870" t="s">
        <v>83</v>
      </c>
      <c r="F135" s="345" t="s">
        <v>84</v>
      </c>
      <c r="G135" s="421" t="s">
        <v>85</v>
      </c>
      <c r="H135" s="464"/>
    </row>
    <row r="136" spans="1:9" ht="15" customHeight="1">
      <c r="A136" s="1391">
        <v>88309</v>
      </c>
      <c r="B136" s="1389" t="s">
        <v>110</v>
      </c>
      <c r="C136" s="866" t="s">
        <v>102</v>
      </c>
      <c r="D136" s="1392" t="s">
        <v>345</v>
      </c>
      <c r="E136" s="1429">
        <v>0.13</v>
      </c>
      <c r="F136" s="867">
        <f>'COMP AUX'!G151</f>
        <v>14.93</v>
      </c>
      <c r="G136" s="478">
        <f t="shared" ref="G136" si="6">TRUNC(E136*F136,2)</f>
        <v>1.94</v>
      </c>
      <c r="H136" s="877"/>
    </row>
    <row r="137" spans="1:9" ht="15" customHeight="1">
      <c r="A137" s="1341"/>
      <c r="B137" s="1390"/>
      <c r="C137" s="878" t="s">
        <v>89</v>
      </c>
      <c r="D137" s="1344"/>
      <c r="E137" s="1346"/>
      <c r="F137" s="486">
        <f>'COMP AUX'!G152</f>
        <v>4.5600000000000005</v>
      </c>
      <c r="G137" s="476">
        <f>TRUNC(E136*F137,2)</f>
        <v>0.59</v>
      </c>
      <c r="H137" s="877"/>
    </row>
    <row r="138" spans="1:9" ht="15" customHeight="1">
      <c r="A138" s="1340">
        <v>88316</v>
      </c>
      <c r="B138" s="1410" t="s">
        <v>106</v>
      </c>
      <c r="C138" s="878" t="s">
        <v>102</v>
      </c>
      <c r="D138" s="1343" t="s">
        <v>345</v>
      </c>
      <c r="E138" s="1393">
        <v>1.3</v>
      </c>
      <c r="F138" s="486">
        <f>'COMP AUX'!G104</f>
        <v>11.1</v>
      </c>
      <c r="G138" s="476">
        <f t="shared" ref="G138" si="7">TRUNC(E138*F138,2)</f>
        <v>14.43</v>
      </c>
      <c r="H138" s="877"/>
    </row>
    <row r="139" spans="1:9" ht="15" customHeight="1">
      <c r="A139" s="1341"/>
      <c r="B139" s="1390"/>
      <c r="C139" s="878" t="s">
        <v>89</v>
      </c>
      <c r="D139" s="1344"/>
      <c r="E139" s="1394"/>
      <c r="F139" s="486">
        <f>'COMP AUX'!G105</f>
        <v>4.5600000000000005</v>
      </c>
      <c r="G139" s="476">
        <f>TRUNC(E138*F139,2)</f>
        <v>5.92</v>
      </c>
      <c r="H139" s="877"/>
    </row>
    <row r="140" spans="1:9" ht="15" customHeight="1">
      <c r="A140" s="877"/>
      <c r="B140" s="877"/>
      <c r="C140" s="877"/>
      <c r="D140" s="877"/>
      <c r="E140" s="877"/>
      <c r="F140" s="494" t="s">
        <v>92</v>
      </c>
      <c r="G140" s="488">
        <f>G136+G138</f>
        <v>16.37</v>
      </c>
      <c r="H140" s="877"/>
    </row>
    <row r="141" spans="1:9" ht="15" customHeight="1">
      <c r="A141" s="877"/>
      <c r="B141" s="877"/>
      <c r="C141" s="877"/>
      <c r="D141" s="877"/>
      <c r="E141" s="877"/>
      <c r="F141" s="494" t="s">
        <v>94</v>
      </c>
      <c r="G141" s="488">
        <f>G137+G139</f>
        <v>6.51</v>
      </c>
      <c r="H141" s="877"/>
    </row>
    <row r="142" spans="1:9" ht="15" customHeight="1">
      <c r="A142" s="495" t="s">
        <v>96</v>
      </c>
      <c r="B142" s="877"/>
      <c r="C142" s="877"/>
      <c r="D142" s="877"/>
      <c r="E142" s="877"/>
      <c r="F142" s="494" t="s">
        <v>95</v>
      </c>
      <c r="G142" s="489">
        <f>SUM(G140:G141)</f>
        <v>22.880000000000003</v>
      </c>
      <c r="H142" s="877"/>
    </row>
    <row r="143" spans="1:9" ht="15" customHeight="1">
      <c r="A143" s="350" t="s">
        <v>97</v>
      </c>
      <c r="B143" s="461">
        <f>G142</f>
        <v>22.880000000000003</v>
      </c>
      <c r="C143" s="877"/>
      <c r="D143" s="877"/>
      <c r="E143" s="877"/>
      <c r="F143" s="139"/>
      <c r="G143" s="139"/>
      <c r="H143" s="877"/>
    </row>
    <row r="144" spans="1:9" ht="15" customHeight="1">
      <c r="A144" s="455" t="s">
        <v>1936</v>
      </c>
      <c r="B144" s="454"/>
      <c r="C144" s="877"/>
      <c r="D144" s="877"/>
      <c r="E144" s="877"/>
      <c r="F144" s="139"/>
      <c r="G144" s="139"/>
      <c r="H144" s="877"/>
    </row>
    <row r="145" spans="1:9" ht="15" customHeight="1">
      <c r="A145" s="535" t="s">
        <v>1995</v>
      </c>
      <c r="B145" s="454">
        <f>(B143+B144)*0.245</f>
        <v>5.6056000000000008</v>
      </c>
      <c r="C145" s="877"/>
      <c r="D145" s="877"/>
      <c r="E145" s="877"/>
      <c r="F145" s="139"/>
      <c r="G145" s="139"/>
      <c r="H145" s="877"/>
    </row>
    <row r="146" spans="1:9" ht="15" customHeight="1">
      <c r="A146" s="350" t="s">
        <v>98</v>
      </c>
      <c r="B146" s="462">
        <f>SUM(B143:B145)</f>
        <v>28.485600000000005</v>
      </c>
      <c r="C146" s="877"/>
      <c r="D146" s="877"/>
      <c r="E146" s="877"/>
      <c r="F146" s="139"/>
      <c r="G146" s="139"/>
      <c r="H146" s="490"/>
      <c r="I146" s="130" t="s">
        <v>1937</v>
      </c>
    </row>
    <row r="147" spans="1:9">
      <c r="A147" s="429"/>
      <c r="B147" s="430"/>
      <c r="C147" s="431"/>
      <c r="D147" s="429"/>
      <c r="E147" s="430"/>
      <c r="F147" s="430"/>
      <c r="G147" s="430"/>
      <c r="H147" s="429"/>
    </row>
    <row r="149" spans="1:9">
      <c r="A149" s="130" t="s">
        <v>653</v>
      </c>
      <c r="B149" s="468"/>
      <c r="C149" s="468"/>
      <c r="D149" s="468"/>
      <c r="E149" s="468"/>
      <c r="F149" s="468"/>
      <c r="G149" s="468"/>
      <c r="H149" s="468"/>
    </row>
    <row r="150" spans="1:9">
      <c r="A150" s="467" t="s">
        <v>1683</v>
      </c>
    </row>
    <row r="151" spans="1:9" ht="19.5" customHeight="1">
      <c r="A151" s="875" t="s">
        <v>924</v>
      </c>
      <c r="B151" s="887" t="s">
        <v>1684</v>
      </c>
      <c r="C151" s="528" t="s">
        <v>858</v>
      </c>
      <c r="E151" s="876"/>
      <c r="F151" s="876"/>
      <c r="G151" s="876"/>
      <c r="H151" s="876"/>
    </row>
    <row r="152" spans="1:9" ht="22.5">
      <c r="A152" s="872" t="s">
        <v>30</v>
      </c>
      <c r="B152" s="420" t="s">
        <v>19</v>
      </c>
      <c r="C152" s="343" t="s">
        <v>82</v>
      </c>
      <c r="D152" s="870" t="s">
        <v>79</v>
      </c>
      <c r="E152" s="870" t="s">
        <v>83</v>
      </c>
      <c r="F152" s="345" t="s">
        <v>84</v>
      </c>
      <c r="G152" s="421" t="s">
        <v>85</v>
      </c>
      <c r="H152" s="464"/>
    </row>
    <row r="153" spans="1:9" ht="15" customHeight="1">
      <c r="A153" s="1391">
        <v>88309</v>
      </c>
      <c r="B153" s="1389" t="s">
        <v>110</v>
      </c>
      <c r="C153" s="866" t="s">
        <v>102</v>
      </c>
      <c r="D153" s="1392" t="s">
        <v>345</v>
      </c>
      <c r="E153" s="1429">
        <v>0.39</v>
      </c>
      <c r="F153" s="867">
        <f>'COMP AUX'!G151</f>
        <v>14.93</v>
      </c>
      <c r="G153" s="478">
        <f t="shared" ref="G153" si="8">TRUNC(E153*F153,2)</f>
        <v>5.82</v>
      </c>
      <c r="H153" s="877"/>
    </row>
    <row r="154" spans="1:9" ht="15" customHeight="1">
      <c r="A154" s="1341"/>
      <c r="B154" s="1390"/>
      <c r="C154" s="878" t="s">
        <v>89</v>
      </c>
      <c r="D154" s="1344"/>
      <c r="E154" s="1346"/>
      <c r="F154" s="486">
        <f>'COMP AUX'!G152</f>
        <v>4.5600000000000005</v>
      </c>
      <c r="G154" s="476">
        <f>TRUNC(E153*F154,2)</f>
        <v>1.77</v>
      </c>
      <c r="H154" s="877"/>
    </row>
    <row r="155" spans="1:9" ht="15" customHeight="1">
      <c r="A155" s="1340">
        <v>88316</v>
      </c>
      <c r="B155" s="1410" t="s">
        <v>106</v>
      </c>
      <c r="C155" s="878" t="s">
        <v>102</v>
      </c>
      <c r="D155" s="1343" t="s">
        <v>345</v>
      </c>
      <c r="E155" s="1393">
        <v>2.75</v>
      </c>
      <c r="F155" s="486">
        <f>'COMP AUX'!G104</f>
        <v>11.1</v>
      </c>
      <c r="G155" s="476">
        <f t="shared" ref="G155" si="9">TRUNC(E155*F155,2)</f>
        <v>30.52</v>
      </c>
      <c r="H155" s="877"/>
    </row>
    <row r="156" spans="1:9" ht="15" customHeight="1">
      <c r="A156" s="1341"/>
      <c r="B156" s="1390"/>
      <c r="C156" s="878" t="s">
        <v>89</v>
      </c>
      <c r="D156" s="1344"/>
      <c r="E156" s="1394"/>
      <c r="F156" s="486">
        <f>'COMP AUX'!G105</f>
        <v>4.5600000000000005</v>
      </c>
      <c r="G156" s="476">
        <f>TRUNC(E155*F156,2)</f>
        <v>12.54</v>
      </c>
      <c r="H156" s="877"/>
    </row>
    <row r="157" spans="1:9" ht="15" customHeight="1">
      <c r="A157" s="877"/>
      <c r="B157" s="877"/>
      <c r="C157" s="877"/>
      <c r="D157" s="877"/>
      <c r="E157" s="877"/>
      <c r="F157" s="494" t="s">
        <v>92</v>
      </c>
      <c r="G157" s="488">
        <f>G153+G155</f>
        <v>36.340000000000003</v>
      </c>
      <c r="H157" s="877"/>
    </row>
    <row r="158" spans="1:9" ht="15" customHeight="1">
      <c r="A158" s="877"/>
      <c r="B158" s="877"/>
      <c r="C158" s="877"/>
      <c r="D158" s="877"/>
      <c r="E158" s="877"/>
      <c r="F158" s="494" t="s">
        <v>94</v>
      </c>
      <c r="G158" s="488">
        <f>G154+G156</f>
        <v>14.309999999999999</v>
      </c>
      <c r="H158" s="877"/>
    </row>
    <row r="159" spans="1:9" ht="15" customHeight="1">
      <c r="A159" s="495" t="s">
        <v>96</v>
      </c>
      <c r="B159" s="877"/>
      <c r="C159" s="877"/>
      <c r="D159" s="877"/>
      <c r="E159" s="877"/>
      <c r="F159" s="494" t="s">
        <v>95</v>
      </c>
      <c r="G159" s="489">
        <f>SUM(G157:G158)</f>
        <v>50.650000000000006</v>
      </c>
      <c r="H159" s="877"/>
    </row>
    <row r="160" spans="1:9" ht="15" customHeight="1">
      <c r="A160" s="350" t="s">
        <v>97</v>
      </c>
      <c r="B160" s="461">
        <f>G159</f>
        <v>50.650000000000006</v>
      </c>
      <c r="C160" s="877"/>
      <c r="D160" s="877"/>
      <c r="E160" s="877"/>
      <c r="F160" s="139"/>
      <c r="G160" s="139"/>
      <c r="H160" s="877"/>
    </row>
    <row r="161" spans="1:9" ht="15" customHeight="1">
      <c r="A161" s="455" t="s">
        <v>1936</v>
      </c>
      <c r="B161" s="454"/>
      <c r="C161" s="877"/>
      <c r="D161" s="877"/>
      <c r="E161" s="877"/>
      <c r="F161" s="139"/>
      <c r="G161" s="139"/>
      <c r="H161" s="877"/>
    </row>
    <row r="162" spans="1:9" ht="15" customHeight="1">
      <c r="A162" s="535" t="s">
        <v>1995</v>
      </c>
      <c r="B162" s="454">
        <f>(B160+B161)*0.245</f>
        <v>12.409250000000002</v>
      </c>
      <c r="C162" s="877"/>
      <c r="D162" s="877"/>
      <c r="E162" s="877"/>
      <c r="F162" s="139"/>
      <c r="G162" s="139"/>
      <c r="H162" s="877"/>
    </row>
    <row r="163" spans="1:9" ht="15" customHeight="1">
      <c r="A163" s="350" t="s">
        <v>98</v>
      </c>
      <c r="B163" s="462">
        <f>SUM(B160:B162)</f>
        <v>63.059250000000006</v>
      </c>
      <c r="C163" s="877"/>
      <c r="D163" s="877"/>
      <c r="E163" s="877"/>
      <c r="F163" s="139"/>
      <c r="G163" s="139"/>
      <c r="H163" s="490"/>
      <c r="I163" s="130" t="s">
        <v>1937</v>
      </c>
    </row>
    <row r="164" spans="1:9">
      <c r="A164" s="429"/>
      <c r="B164" s="430"/>
      <c r="C164" s="431"/>
      <c r="D164" s="429"/>
      <c r="E164" s="430"/>
      <c r="F164" s="430"/>
      <c r="G164" s="430"/>
      <c r="H164" s="429"/>
    </row>
    <row r="166" spans="1:9">
      <c r="A166" s="130" t="s">
        <v>653</v>
      </c>
      <c r="B166" s="468"/>
      <c r="C166" s="468"/>
      <c r="D166" s="468"/>
      <c r="E166" s="468"/>
      <c r="F166" s="468"/>
      <c r="G166" s="468"/>
      <c r="H166" s="468"/>
    </row>
    <row r="167" spans="1:9">
      <c r="A167" s="467" t="s">
        <v>1686</v>
      </c>
    </row>
    <row r="168" spans="1:9" ht="18" customHeight="1">
      <c r="A168" s="875" t="s">
        <v>924</v>
      </c>
      <c r="B168" s="887" t="s">
        <v>1685</v>
      </c>
      <c r="C168" s="493" t="s">
        <v>346</v>
      </c>
      <c r="E168" s="876"/>
      <c r="F168" s="876"/>
      <c r="G168" s="876"/>
      <c r="H168" s="876"/>
    </row>
    <row r="169" spans="1:9" ht="22.5">
      <c r="A169" s="872" t="s">
        <v>30</v>
      </c>
      <c r="B169" s="420" t="s">
        <v>19</v>
      </c>
      <c r="C169" s="343" t="s">
        <v>82</v>
      </c>
      <c r="D169" s="870" t="s">
        <v>79</v>
      </c>
      <c r="E169" s="870" t="s">
        <v>83</v>
      </c>
      <c r="F169" s="345" t="s">
        <v>84</v>
      </c>
      <c r="G169" s="421" t="s">
        <v>85</v>
      </c>
      <c r="H169" s="464"/>
    </row>
    <row r="170" spans="1:9" ht="15" customHeight="1">
      <c r="A170" s="1340">
        <v>88316</v>
      </c>
      <c r="B170" s="1410" t="s">
        <v>106</v>
      </c>
      <c r="C170" s="878" t="s">
        <v>102</v>
      </c>
      <c r="D170" s="1343" t="s">
        <v>345</v>
      </c>
      <c r="E170" s="1393">
        <v>2.4</v>
      </c>
      <c r="F170" s="486">
        <f>'COMP AUX'!G104</f>
        <v>11.1</v>
      </c>
      <c r="G170" s="476">
        <f t="shared" ref="G170" si="10">TRUNC(E170*F170,2)</f>
        <v>26.64</v>
      </c>
      <c r="H170" s="877"/>
    </row>
    <row r="171" spans="1:9" ht="15" customHeight="1">
      <c r="A171" s="1341"/>
      <c r="B171" s="1390"/>
      <c r="C171" s="878" t="s">
        <v>89</v>
      </c>
      <c r="D171" s="1344"/>
      <c r="E171" s="1394"/>
      <c r="F171" s="486">
        <f>'COMP AUX'!G105</f>
        <v>4.5600000000000005</v>
      </c>
      <c r="G171" s="476">
        <f>TRUNC(E170*F171,2)</f>
        <v>10.94</v>
      </c>
      <c r="H171" s="877"/>
    </row>
    <row r="172" spans="1:9" ht="15" customHeight="1">
      <c r="A172" s="877"/>
      <c r="B172" s="877"/>
      <c r="C172" s="877"/>
      <c r="D172" s="877"/>
      <c r="E172" s="877"/>
      <c r="F172" s="494" t="s">
        <v>92</v>
      </c>
      <c r="G172" s="488">
        <f>G170</f>
        <v>26.64</v>
      </c>
      <c r="H172" s="877"/>
    </row>
    <row r="173" spans="1:9" ht="15" customHeight="1">
      <c r="A173" s="877"/>
      <c r="B173" s="877"/>
      <c r="C173" s="877"/>
      <c r="D173" s="877"/>
      <c r="E173" s="877"/>
      <c r="F173" s="494" t="s">
        <v>94</v>
      </c>
      <c r="G173" s="488">
        <f>G171</f>
        <v>10.94</v>
      </c>
      <c r="H173" s="877"/>
    </row>
    <row r="174" spans="1:9" ht="15" customHeight="1">
      <c r="A174" s="495" t="s">
        <v>96</v>
      </c>
      <c r="B174" s="877"/>
      <c r="C174" s="877"/>
      <c r="D174" s="877"/>
      <c r="E174" s="877"/>
      <c r="F174" s="494" t="s">
        <v>95</v>
      </c>
      <c r="G174" s="489">
        <f>SUM(G172:G173)</f>
        <v>37.58</v>
      </c>
      <c r="H174" s="877"/>
    </row>
    <row r="175" spans="1:9" ht="15" customHeight="1">
      <c r="A175" s="350" t="s">
        <v>97</v>
      </c>
      <c r="B175" s="461">
        <f>G174</f>
        <v>37.58</v>
      </c>
      <c r="C175" s="877"/>
      <c r="D175" s="877"/>
      <c r="E175" s="877"/>
      <c r="F175" s="139"/>
      <c r="G175" s="139"/>
      <c r="H175" s="877"/>
    </row>
    <row r="176" spans="1:9" ht="15" customHeight="1">
      <c r="A176" s="455" t="s">
        <v>1936</v>
      </c>
      <c r="B176" s="454"/>
      <c r="C176" s="877"/>
      <c r="D176" s="877"/>
      <c r="E176" s="877"/>
      <c r="F176" s="139"/>
      <c r="G176" s="139"/>
      <c r="H176" s="877"/>
    </row>
    <row r="177" spans="1:9" ht="15" customHeight="1">
      <c r="A177" s="535" t="s">
        <v>1995</v>
      </c>
      <c r="B177" s="454">
        <f>(B175+B176)*0.245</f>
        <v>9.2070999999999987</v>
      </c>
      <c r="C177" s="877"/>
      <c r="D177" s="877"/>
      <c r="E177" s="877"/>
      <c r="F177" s="139"/>
      <c r="G177" s="139"/>
      <c r="H177" s="877"/>
    </row>
    <row r="178" spans="1:9" ht="15" customHeight="1">
      <c r="A178" s="350" t="s">
        <v>98</v>
      </c>
      <c r="B178" s="462">
        <f>SUM(B175:B177)</f>
        <v>46.787099999999995</v>
      </c>
      <c r="C178" s="877"/>
      <c r="D178" s="877"/>
      <c r="E178" s="877"/>
      <c r="F178" s="139"/>
      <c r="G178" s="139"/>
      <c r="H178" s="490"/>
      <c r="I178" s="130" t="s">
        <v>1937</v>
      </c>
    </row>
    <row r="179" spans="1:9">
      <c r="A179" s="429"/>
      <c r="B179" s="430"/>
      <c r="C179" s="431"/>
      <c r="D179" s="429"/>
      <c r="E179" s="430"/>
      <c r="F179" s="430"/>
      <c r="G179" s="430"/>
      <c r="H179" s="429"/>
    </row>
    <row r="181" spans="1:9">
      <c r="A181" s="130" t="s">
        <v>653</v>
      </c>
      <c r="B181" s="468"/>
      <c r="C181" s="468"/>
      <c r="D181" s="468"/>
      <c r="E181" s="468"/>
      <c r="F181" s="468"/>
      <c r="G181" s="468"/>
      <c r="H181" s="468"/>
    </row>
    <row r="182" spans="1:9">
      <c r="A182" s="467" t="s">
        <v>1688</v>
      </c>
    </row>
    <row r="183" spans="1:9" ht="15.75" customHeight="1">
      <c r="A183" s="875" t="s">
        <v>924</v>
      </c>
      <c r="B183" s="887" t="s">
        <v>1687</v>
      </c>
      <c r="C183" s="493" t="s">
        <v>346</v>
      </c>
      <c r="E183" s="876"/>
      <c r="F183" s="876"/>
      <c r="G183" s="876"/>
      <c r="H183" s="876"/>
    </row>
    <row r="184" spans="1:9" ht="22.5">
      <c r="A184" s="872" t="s">
        <v>30</v>
      </c>
      <c r="B184" s="420" t="s">
        <v>19</v>
      </c>
      <c r="C184" s="343" t="s">
        <v>82</v>
      </c>
      <c r="D184" s="870" t="s">
        <v>79</v>
      </c>
      <c r="E184" s="870" t="s">
        <v>83</v>
      </c>
      <c r="F184" s="345" t="s">
        <v>84</v>
      </c>
      <c r="G184" s="421" t="s">
        <v>85</v>
      </c>
      <c r="H184" s="464"/>
    </row>
    <row r="185" spans="1:9" ht="15" customHeight="1">
      <c r="A185" s="1340">
        <v>88316</v>
      </c>
      <c r="B185" s="1410" t="s">
        <v>106</v>
      </c>
      <c r="C185" s="878" t="s">
        <v>102</v>
      </c>
      <c r="D185" s="1343" t="s">
        <v>345</v>
      </c>
      <c r="E185" s="1393">
        <v>2.44</v>
      </c>
      <c r="F185" s="486">
        <f>'COMP AUX'!G104</f>
        <v>11.1</v>
      </c>
      <c r="G185" s="476">
        <f t="shared" ref="G185" si="11">TRUNC(E185*F185,2)</f>
        <v>27.08</v>
      </c>
      <c r="H185" s="877"/>
    </row>
    <row r="186" spans="1:9" ht="15" customHeight="1">
      <c r="A186" s="1341"/>
      <c r="B186" s="1390"/>
      <c r="C186" s="878" t="s">
        <v>89</v>
      </c>
      <c r="D186" s="1344"/>
      <c r="E186" s="1394"/>
      <c r="F186" s="486">
        <f>'COMP AUX'!G105</f>
        <v>4.5600000000000005</v>
      </c>
      <c r="G186" s="476">
        <f>TRUNC(E185*F186,2)</f>
        <v>11.12</v>
      </c>
      <c r="H186" s="877"/>
    </row>
    <row r="187" spans="1:9" ht="15" customHeight="1">
      <c r="A187" s="877"/>
      <c r="B187" s="877"/>
      <c r="C187" s="877"/>
      <c r="D187" s="877"/>
      <c r="E187" s="877"/>
      <c r="F187" s="494" t="s">
        <v>92</v>
      </c>
      <c r="G187" s="488">
        <f>G185</f>
        <v>27.08</v>
      </c>
      <c r="H187" s="877"/>
    </row>
    <row r="188" spans="1:9" ht="15" customHeight="1">
      <c r="A188" s="877"/>
      <c r="B188" s="877"/>
      <c r="C188" s="877"/>
      <c r="D188" s="877"/>
      <c r="E188" s="877"/>
      <c r="F188" s="494" t="s">
        <v>94</v>
      </c>
      <c r="G188" s="488">
        <f>G186</f>
        <v>11.12</v>
      </c>
      <c r="H188" s="877"/>
    </row>
    <row r="189" spans="1:9" ht="15" customHeight="1">
      <c r="A189" s="495" t="s">
        <v>96</v>
      </c>
      <c r="B189" s="877"/>
      <c r="C189" s="877"/>
      <c r="D189" s="877"/>
      <c r="E189" s="877"/>
      <c r="F189" s="494" t="s">
        <v>95</v>
      </c>
      <c r="G189" s="489">
        <f>SUM(G187:G188)</f>
        <v>38.199999999999996</v>
      </c>
      <c r="H189" s="877"/>
    </row>
    <row r="190" spans="1:9" ht="15" customHeight="1">
      <c r="A190" s="350" t="s">
        <v>97</v>
      </c>
      <c r="B190" s="461">
        <f>G189</f>
        <v>38.199999999999996</v>
      </c>
      <c r="C190" s="877"/>
      <c r="D190" s="877"/>
      <c r="E190" s="877"/>
      <c r="F190" s="139"/>
      <c r="G190" s="139"/>
      <c r="H190" s="877"/>
    </row>
    <row r="191" spans="1:9" ht="15" customHeight="1">
      <c r="A191" s="455" t="s">
        <v>1936</v>
      </c>
      <c r="B191" s="454"/>
      <c r="C191" s="877"/>
      <c r="D191" s="877"/>
      <c r="E191" s="877"/>
      <c r="F191" s="139"/>
      <c r="G191" s="139"/>
      <c r="H191" s="877"/>
    </row>
    <row r="192" spans="1:9" ht="15" customHeight="1">
      <c r="A192" s="535" t="s">
        <v>1995</v>
      </c>
      <c r="B192" s="454">
        <f>(B190+B191)*0.245</f>
        <v>9.3589999999999982</v>
      </c>
      <c r="C192" s="877"/>
      <c r="D192" s="877"/>
      <c r="E192" s="877"/>
      <c r="F192" s="139"/>
      <c r="G192" s="139"/>
      <c r="H192" s="877"/>
    </row>
    <row r="193" spans="1:12" ht="15" customHeight="1">
      <c r="A193" s="350" t="s">
        <v>98</v>
      </c>
      <c r="B193" s="462">
        <f>SUM(B190:B192)</f>
        <v>47.558999999999997</v>
      </c>
      <c r="C193" s="877"/>
      <c r="D193" s="877"/>
      <c r="E193" s="877"/>
      <c r="F193" s="139"/>
      <c r="G193" s="139"/>
      <c r="H193" s="490"/>
      <c r="I193" s="130" t="s">
        <v>1937</v>
      </c>
    </row>
    <row r="194" spans="1:12">
      <c r="A194" s="429"/>
      <c r="B194" s="430"/>
      <c r="C194" s="431"/>
      <c r="D194" s="429"/>
      <c r="E194" s="430"/>
      <c r="F194" s="430"/>
      <c r="G194" s="430"/>
      <c r="H194" s="429"/>
    </row>
    <row r="196" spans="1:12">
      <c r="A196" s="130" t="s">
        <v>542</v>
      </c>
      <c r="B196" s="565"/>
      <c r="C196" s="565"/>
      <c r="D196" s="565"/>
      <c r="E196" s="565"/>
      <c r="F196" s="565"/>
      <c r="G196" s="565"/>
      <c r="H196" s="565"/>
    </row>
    <row r="197" spans="1:12" ht="15" customHeight="1">
      <c r="A197" s="148" t="s">
        <v>2271</v>
      </c>
      <c r="B197" s="577"/>
      <c r="C197" s="577"/>
      <c r="D197" s="577"/>
      <c r="E197" s="577"/>
      <c r="F197" s="577"/>
      <c r="G197" s="577"/>
      <c r="H197" s="577"/>
    </row>
    <row r="198" spans="1:12" ht="18" customHeight="1">
      <c r="A198" s="594" t="s">
        <v>938</v>
      </c>
      <c r="B198" s="594" t="s">
        <v>2452</v>
      </c>
      <c r="C198" s="677" t="s">
        <v>858</v>
      </c>
      <c r="D198" s="594"/>
      <c r="F198" s="577"/>
      <c r="G198" s="577"/>
      <c r="H198" s="577"/>
      <c r="J198" s="148" t="s">
        <v>1805</v>
      </c>
    </row>
    <row r="199" spans="1:12" ht="22.5">
      <c r="A199" s="415" t="s">
        <v>30</v>
      </c>
      <c r="B199" s="420" t="s">
        <v>19</v>
      </c>
      <c r="C199" s="343" t="s">
        <v>82</v>
      </c>
      <c r="D199" s="556" t="s">
        <v>79</v>
      </c>
      <c r="E199" s="556" t="s">
        <v>83</v>
      </c>
      <c r="F199" s="345" t="s">
        <v>84</v>
      </c>
      <c r="G199" s="421" t="s">
        <v>85</v>
      </c>
      <c r="H199" s="577"/>
    </row>
    <row r="200" spans="1:12" ht="15" customHeight="1">
      <c r="A200" s="578">
        <v>344</v>
      </c>
      <c r="B200" s="579" t="s">
        <v>1806</v>
      </c>
      <c r="C200" s="580" t="s">
        <v>89</v>
      </c>
      <c r="D200" s="580" t="s">
        <v>685</v>
      </c>
      <c r="E200" s="589"/>
      <c r="F200" s="581">
        <v>15.14</v>
      </c>
      <c r="G200" s="582">
        <f>TRUNC(E200*F200,2)</f>
        <v>0</v>
      </c>
      <c r="H200" s="577"/>
    </row>
    <row r="201" spans="1:12" ht="26.25" customHeight="1">
      <c r="A201" s="578" t="s">
        <v>1807</v>
      </c>
      <c r="B201" s="579" t="s">
        <v>2411</v>
      </c>
      <c r="C201" s="580" t="s">
        <v>89</v>
      </c>
      <c r="D201" s="580" t="s">
        <v>346</v>
      </c>
      <c r="E201" s="589"/>
      <c r="F201" s="581">
        <v>6.18</v>
      </c>
      <c r="G201" s="582">
        <f t="shared" ref="G201:G212" si="12">TRUNC(E201*F201,2)</f>
        <v>0</v>
      </c>
      <c r="H201" s="577"/>
    </row>
    <row r="202" spans="1:12" ht="15" customHeight="1">
      <c r="A202" s="578" t="s">
        <v>974</v>
      </c>
      <c r="B202" s="579" t="s">
        <v>2451</v>
      </c>
      <c r="C202" s="580" t="s">
        <v>89</v>
      </c>
      <c r="D202" s="580" t="s">
        <v>685</v>
      </c>
      <c r="E202" s="589"/>
      <c r="F202" s="581">
        <v>10.25</v>
      </c>
      <c r="G202" s="582">
        <f t="shared" si="12"/>
        <v>0</v>
      </c>
      <c r="H202" s="577"/>
    </row>
    <row r="203" spans="1:12" ht="17.25" customHeight="1">
      <c r="A203" s="578" t="s">
        <v>975</v>
      </c>
      <c r="B203" s="579" t="s">
        <v>2450</v>
      </c>
      <c r="C203" s="580" t="s">
        <v>89</v>
      </c>
      <c r="D203" s="580" t="s">
        <v>346</v>
      </c>
      <c r="E203" s="589"/>
      <c r="F203" s="581">
        <v>5.38</v>
      </c>
      <c r="G203" s="582">
        <f t="shared" si="12"/>
        <v>0</v>
      </c>
      <c r="H203" s="577"/>
    </row>
    <row r="204" spans="1:12" ht="24.75" customHeight="1">
      <c r="A204" s="578" t="s">
        <v>1808</v>
      </c>
      <c r="B204" s="579" t="s">
        <v>2454</v>
      </c>
      <c r="C204" s="580" t="s">
        <v>89</v>
      </c>
      <c r="D204" s="580" t="s">
        <v>345</v>
      </c>
      <c r="E204" s="589">
        <v>0.1</v>
      </c>
      <c r="F204" s="581">
        <v>2.27</v>
      </c>
      <c r="G204" s="582">
        <f t="shared" si="12"/>
        <v>0.22</v>
      </c>
      <c r="H204" s="577"/>
      <c r="J204" s="338">
        <v>84</v>
      </c>
      <c r="K204" s="338">
        <v>73</v>
      </c>
      <c r="L204" s="338">
        <f>J204*K204</f>
        <v>6132</v>
      </c>
    </row>
    <row r="205" spans="1:12" ht="17.25" customHeight="1">
      <c r="A205" s="578" t="s">
        <v>1809</v>
      </c>
      <c r="B205" s="579" t="s">
        <v>2453</v>
      </c>
      <c r="C205" s="580" t="s">
        <v>89</v>
      </c>
      <c r="D205" s="580" t="s">
        <v>345</v>
      </c>
      <c r="E205" s="589">
        <v>0.1</v>
      </c>
      <c r="F205" s="581">
        <v>2.27</v>
      </c>
      <c r="G205" s="582">
        <f t="shared" si="12"/>
        <v>0.22</v>
      </c>
      <c r="H205" s="577"/>
      <c r="J205" s="130">
        <f>(43+56)*2</f>
        <v>198</v>
      </c>
    </row>
    <row r="206" spans="1:12" ht="15" customHeight="1">
      <c r="A206" s="1358" t="s">
        <v>1810</v>
      </c>
      <c r="B206" s="1357" t="s">
        <v>1811</v>
      </c>
      <c r="C206" s="580" t="s">
        <v>102</v>
      </c>
      <c r="D206" s="1359" t="s">
        <v>345</v>
      </c>
      <c r="E206" s="1362">
        <v>0.6</v>
      </c>
      <c r="F206" s="581">
        <f>'COMP AUX'!G304</f>
        <v>6.0200000000000005</v>
      </c>
      <c r="G206" s="582">
        <f t="shared" si="12"/>
        <v>3.61</v>
      </c>
      <c r="H206" s="577"/>
    </row>
    <row r="207" spans="1:12" ht="15" customHeight="1">
      <c r="A207" s="1309"/>
      <c r="B207" s="1419"/>
      <c r="C207" s="580" t="s">
        <v>89</v>
      </c>
      <c r="D207" s="1360"/>
      <c r="E207" s="1363"/>
      <c r="F207" s="581">
        <f>'COMP AUX'!G305</f>
        <v>4.5600000000000005</v>
      </c>
      <c r="G207" s="582">
        <f>TRUNC(E206*F207,2)</f>
        <v>2.73</v>
      </c>
      <c r="H207" s="577"/>
    </row>
    <row r="208" spans="1:12" ht="15" customHeight="1">
      <c r="A208" s="1358" t="s">
        <v>1812</v>
      </c>
      <c r="B208" s="1357" t="s">
        <v>1813</v>
      </c>
      <c r="C208" s="580" t="s">
        <v>102</v>
      </c>
      <c r="D208" s="1359" t="s">
        <v>345</v>
      </c>
      <c r="E208" s="1362">
        <v>0.1</v>
      </c>
      <c r="F208" s="581">
        <f>'COMP AUX'!G270</f>
        <v>7.59</v>
      </c>
      <c r="G208" s="582">
        <f t="shared" si="12"/>
        <v>0.75</v>
      </c>
      <c r="H208" s="577"/>
    </row>
    <row r="209" spans="1:9" ht="15" customHeight="1">
      <c r="A209" s="1309"/>
      <c r="B209" s="1342"/>
      <c r="C209" s="580" t="s">
        <v>89</v>
      </c>
      <c r="D209" s="1361"/>
      <c r="E209" s="1363"/>
      <c r="F209" s="581">
        <f>'COMP AUX'!G271</f>
        <v>4.5600000000000005</v>
      </c>
      <c r="G209" s="582">
        <f>TRUNC(E208*F209,2)</f>
        <v>0.45</v>
      </c>
      <c r="H209" s="577"/>
    </row>
    <row r="210" spans="1:9" ht="15" customHeight="1">
      <c r="A210" s="1366" t="s">
        <v>889</v>
      </c>
      <c r="B210" s="1357" t="s">
        <v>116</v>
      </c>
      <c r="C210" s="580" t="s">
        <v>102</v>
      </c>
      <c r="D210" s="1359" t="s">
        <v>345</v>
      </c>
      <c r="E210" s="1362"/>
      <c r="F210" s="581">
        <f>'COMP AUX'!G87</f>
        <v>14.81</v>
      </c>
      <c r="G210" s="582">
        <f t="shared" si="12"/>
        <v>0</v>
      </c>
      <c r="H210" s="577"/>
    </row>
    <row r="211" spans="1:9" ht="15" customHeight="1">
      <c r="A211" s="1367"/>
      <c r="B211" s="1419"/>
      <c r="C211" s="580" t="s">
        <v>89</v>
      </c>
      <c r="D211" s="1360"/>
      <c r="E211" s="1363"/>
      <c r="F211" s="581">
        <f>'COMP AUX'!G88</f>
        <v>4.5600000000000005</v>
      </c>
      <c r="G211" s="582">
        <f>TRUNC(E210*F211,2)</f>
        <v>0</v>
      </c>
      <c r="H211" s="577"/>
    </row>
    <row r="212" spans="1:9" ht="15" customHeight="1">
      <c r="A212" s="1317" t="s">
        <v>688</v>
      </c>
      <c r="B212" s="1351" t="s">
        <v>106</v>
      </c>
      <c r="C212" s="383" t="s">
        <v>102</v>
      </c>
      <c r="D212" s="1414" t="s">
        <v>345</v>
      </c>
      <c r="E212" s="1432"/>
      <c r="F212" s="581">
        <f>'COMP AUX'!G104</f>
        <v>11.1</v>
      </c>
      <c r="G212" s="582">
        <f t="shared" si="12"/>
        <v>0</v>
      </c>
      <c r="H212" s="577"/>
    </row>
    <row r="213" spans="1:9" ht="15" customHeight="1">
      <c r="A213" s="1318"/>
      <c r="B213" s="1352"/>
      <c r="C213" s="383" t="s">
        <v>89</v>
      </c>
      <c r="D213" s="1415"/>
      <c r="E213" s="1433"/>
      <c r="F213" s="391">
        <f>'COMP AUX'!G105</f>
        <v>4.5600000000000005</v>
      </c>
      <c r="G213" s="582">
        <f>TRUNC(E212*F213,2)</f>
        <v>0</v>
      </c>
      <c r="H213" s="337"/>
    </row>
    <row r="214" spans="1:9" ht="15" customHeight="1">
      <c r="A214" s="583"/>
      <c r="B214" s="584"/>
      <c r="C214" s="584"/>
      <c r="D214" s="584"/>
      <c r="E214" s="597"/>
      <c r="F214" s="585" t="s">
        <v>92</v>
      </c>
      <c r="G214" s="582">
        <f>G206+G208+G210+G212</f>
        <v>4.3599999999999994</v>
      </c>
      <c r="H214" s="584"/>
    </row>
    <row r="215" spans="1:9" ht="15" customHeight="1">
      <c r="A215" s="577"/>
      <c r="B215" s="577"/>
      <c r="C215" s="577"/>
      <c r="D215" s="577"/>
      <c r="E215" s="598"/>
      <c r="F215" s="585" t="s">
        <v>94</v>
      </c>
      <c r="G215" s="582">
        <f>G200+G201+G202+G203+G204+G205+G207+G209+G211+G213</f>
        <v>3.62</v>
      </c>
      <c r="H215" s="577"/>
    </row>
    <row r="216" spans="1:9" ht="15" customHeight="1">
      <c r="A216" s="586" t="s">
        <v>96</v>
      </c>
      <c r="B216" s="586"/>
      <c r="C216" s="577"/>
      <c r="D216" s="577"/>
      <c r="E216" s="598"/>
      <c r="F216" s="585" t="s">
        <v>95</v>
      </c>
      <c r="G216" s="885">
        <f>SUM(G214:G215)</f>
        <v>7.9799999999999995</v>
      </c>
      <c r="H216" s="577"/>
    </row>
    <row r="217" spans="1:9" ht="15" customHeight="1">
      <c r="A217" s="591" t="s">
        <v>97</v>
      </c>
      <c r="B217" s="587">
        <f>G216</f>
        <v>7.9799999999999995</v>
      </c>
      <c r="C217" s="577"/>
      <c r="D217" s="577"/>
      <c r="E217" s="577"/>
      <c r="F217" s="577"/>
      <c r="G217" s="577"/>
      <c r="H217" s="577"/>
    </row>
    <row r="218" spans="1:9" ht="15" customHeight="1">
      <c r="A218" s="455" t="s">
        <v>1936</v>
      </c>
      <c r="B218" s="454"/>
      <c r="C218" s="577"/>
      <c r="D218" s="577"/>
      <c r="E218" s="577"/>
      <c r="F218" s="577"/>
      <c r="G218" s="577"/>
      <c r="H218" s="577"/>
    </row>
    <row r="219" spans="1:9" ht="15" customHeight="1">
      <c r="A219" s="535" t="s">
        <v>1995</v>
      </c>
      <c r="B219" s="454">
        <f>(B217+B218)*0.245</f>
        <v>1.9550999999999998</v>
      </c>
      <c r="C219" s="577"/>
      <c r="D219" s="577"/>
      <c r="E219" s="577"/>
      <c r="F219" s="577"/>
      <c r="G219" s="577"/>
      <c r="H219" s="577"/>
    </row>
    <row r="220" spans="1:9" ht="15" customHeight="1">
      <c r="A220" s="591" t="s">
        <v>98</v>
      </c>
      <c r="B220" s="588">
        <f>SUM(B217:B219)</f>
        <v>9.9350999999999985</v>
      </c>
      <c r="C220" s="577"/>
      <c r="D220" s="577"/>
      <c r="E220" s="577"/>
      <c r="F220" s="577"/>
      <c r="G220" s="577"/>
      <c r="H220" s="502"/>
      <c r="I220" s="130" t="s">
        <v>1937</v>
      </c>
    </row>
    <row r="221" spans="1:9">
      <c r="A221" s="429"/>
      <c r="B221" s="430"/>
      <c r="C221" s="431"/>
      <c r="D221" s="429"/>
      <c r="E221" s="430"/>
      <c r="F221" s="430"/>
      <c r="G221" s="430"/>
      <c r="H221" s="429"/>
    </row>
    <row r="223" spans="1:9">
      <c r="A223" s="130" t="s">
        <v>542</v>
      </c>
      <c r="B223" s="565"/>
      <c r="C223" s="565"/>
      <c r="D223" s="565"/>
      <c r="E223" s="565"/>
      <c r="F223" s="565"/>
      <c r="G223" s="565"/>
      <c r="H223" s="337"/>
    </row>
    <row r="224" spans="1:9">
      <c r="A224" s="148" t="s">
        <v>2120</v>
      </c>
      <c r="B224" s="577"/>
      <c r="C224" s="577"/>
      <c r="D224" s="577"/>
      <c r="E224" s="577"/>
      <c r="F224" s="577"/>
      <c r="G224" s="577"/>
      <c r="H224" s="337"/>
    </row>
    <row r="225" spans="1:9" ht="26.25" customHeight="1">
      <c r="A225" s="677" t="s">
        <v>933</v>
      </c>
      <c r="B225" s="594" t="s">
        <v>2415</v>
      </c>
      <c r="C225" s="590" t="s">
        <v>682</v>
      </c>
      <c r="D225" s="594"/>
      <c r="G225" s="577"/>
      <c r="H225" s="337"/>
    </row>
    <row r="226" spans="1:9" ht="22.5">
      <c r="A226" s="872" t="s">
        <v>30</v>
      </c>
      <c r="B226" s="420" t="s">
        <v>19</v>
      </c>
      <c r="C226" s="343" t="s">
        <v>82</v>
      </c>
      <c r="D226" s="870" t="s">
        <v>79</v>
      </c>
      <c r="E226" s="870" t="s">
        <v>83</v>
      </c>
      <c r="F226" s="345" t="s">
        <v>84</v>
      </c>
      <c r="G226" s="421" t="s">
        <v>85</v>
      </c>
      <c r="H226" s="337"/>
    </row>
    <row r="227" spans="1:9" ht="14.1" customHeight="1">
      <c r="A227" s="1317" t="s">
        <v>688</v>
      </c>
      <c r="B227" s="1351" t="s">
        <v>106</v>
      </c>
      <c r="C227" s="383" t="s">
        <v>102</v>
      </c>
      <c r="D227" s="1414" t="s">
        <v>345</v>
      </c>
      <c r="E227" s="1414">
        <v>3.956</v>
      </c>
      <c r="F227" s="581">
        <f>'COMP AUX'!G104</f>
        <v>11.1</v>
      </c>
      <c r="G227" s="582">
        <f t="shared" ref="G227" si="13">TRUNC(E227*F227,2)</f>
        <v>43.91</v>
      </c>
      <c r="H227" s="577"/>
    </row>
    <row r="228" spans="1:9" ht="14.1" customHeight="1">
      <c r="A228" s="1318"/>
      <c r="B228" s="1352"/>
      <c r="C228" s="383" t="s">
        <v>89</v>
      </c>
      <c r="D228" s="1415"/>
      <c r="E228" s="1415"/>
      <c r="F228" s="391">
        <f>'COMP AUX'!G105</f>
        <v>4.5600000000000005</v>
      </c>
      <c r="G228" s="582">
        <f>TRUNC(E227*F228,2)</f>
        <v>18.03</v>
      </c>
      <c r="H228" s="337"/>
    </row>
    <row r="229" spans="1:9" ht="14.1" customHeight="1">
      <c r="A229" s="583"/>
      <c r="B229" s="584"/>
      <c r="C229" s="584"/>
      <c r="D229" s="584"/>
      <c r="E229" s="597"/>
      <c r="F229" s="585" t="s">
        <v>92</v>
      </c>
      <c r="G229" s="582">
        <f>G227</f>
        <v>43.91</v>
      </c>
      <c r="H229" s="584"/>
    </row>
    <row r="230" spans="1:9" ht="14.1" customHeight="1">
      <c r="A230" s="577"/>
      <c r="B230" s="577"/>
      <c r="C230" s="577"/>
      <c r="D230" s="577"/>
      <c r="E230" s="598"/>
      <c r="F230" s="585" t="s">
        <v>94</v>
      </c>
      <c r="G230" s="582">
        <f>G228</f>
        <v>18.03</v>
      </c>
      <c r="H230" s="577"/>
    </row>
    <row r="231" spans="1:9" ht="14.1" customHeight="1">
      <c r="A231" s="586" t="s">
        <v>96</v>
      </c>
      <c r="B231" s="586"/>
      <c r="C231" s="577"/>
      <c r="D231" s="577"/>
      <c r="E231" s="598"/>
      <c r="F231" s="585" t="s">
        <v>95</v>
      </c>
      <c r="G231" s="885">
        <f>SUM(G229:G230)</f>
        <v>61.94</v>
      </c>
      <c r="H231" s="577"/>
    </row>
    <row r="232" spans="1:9" ht="14.1" customHeight="1">
      <c r="A232" s="591" t="s">
        <v>97</v>
      </c>
      <c r="B232" s="592">
        <f>G231</f>
        <v>61.94</v>
      </c>
      <c r="C232" s="577"/>
      <c r="D232" s="577"/>
      <c r="E232" s="577"/>
      <c r="F232" s="577"/>
      <c r="G232" s="577"/>
      <c r="H232" s="577"/>
    </row>
    <row r="233" spans="1:9" ht="14.1" customHeight="1">
      <c r="A233" s="455" t="s">
        <v>1936</v>
      </c>
      <c r="B233" s="454"/>
      <c r="C233" s="577"/>
      <c r="D233" s="577"/>
      <c r="E233" s="577"/>
      <c r="F233" s="577"/>
      <c r="G233" s="577"/>
      <c r="H233" s="577"/>
    </row>
    <row r="234" spans="1:9" ht="14.1" customHeight="1">
      <c r="A234" s="535" t="s">
        <v>1995</v>
      </c>
      <c r="B234" s="454">
        <f>(B232+B233)*0.245</f>
        <v>15.1753</v>
      </c>
      <c r="C234" s="577"/>
      <c r="D234" s="577"/>
      <c r="E234" s="577"/>
      <c r="F234" s="577"/>
      <c r="G234" s="577"/>
      <c r="H234" s="577"/>
    </row>
    <row r="235" spans="1:9" ht="14.1" customHeight="1">
      <c r="A235" s="591" t="s">
        <v>98</v>
      </c>
      <c r="B235" s="593">
        <f>SUM(B232:B234)</f>
        <v>77.115299999999991</v>
      </c>
      <c r="C235" s="577"/>
      <c r="D235" s="577"/>
      <c r="E235" s="577"/>
      <c r="F235" s="577"/>
      <c r="G235" s="577"/>
      <c r="H235" s="502"/>
      <c r="I235" s="130" t="s">
        <v>1940</v>
      </c>
    </row>
    <row r="236" spans="1:9">
      <c r="A236" s="429"/>
      <c r="B236" s="430"/>
      <c r="C236" s="431"/>
      <c r="D236" s="429"/>
      <c r="E236" s="430"/>
      <c r="F236" s="430"/>
      <c r="G236" s="430"/>
      <c r="H236" s="429"/>
    </row>
    <row r="238" spans="1:9">
      <c r="A238" s="130" t="s">
        <v>542</v>
      </c>
      <c r="B238" s="565"/>
      <c r="C238" s="565"/>
      <c r="D238" s="565"/>
      <c r="E238" s="565"/>
      <c r="F238" s="565"/>
      <c r="G238" s="565"/>
      <c r="H238" s="337"/>
    </row>
    <row r="239" spans="1:9">
      <c r="A239" s="148" t="s">
        <v>2119</v>
      </c>
      <c r="B239" s="577"/>
      <c r="C239" s="577"/>
      <c r="D239" s="577"/>
      <c r="E239" s="577"/>
      <c r="F239" s="577"/>
      <c r="G239" s="577"/>
      <c r="H239" s="337"/>
    </row>
    <row r="240" spans="1:9" ht="25.5" customHeight="1">
      <c r="A240" s="677" t="s">
        <v>933</v>
      </c>
      <c r="B240" s="594" t="s">
        <v>2408</v>
      </c>
      <c r="C240" s="590" t="s">
        <v>682</v>
      </c>
      <c r="D240" s="594"/>
      <c r="G240" s="577"/>
      <c r="H240" s="337"/>
    </row>
    <row r="241" spans="1:9" ht="22.5">
      <c r="A241" s="415" t="s">
        <v>30</v>
      </c>
      <c r="B241" s="420" t="s">
        <v>19</v>
      </c>
      <c r="C241" s="343" t="s">
        <v>82</v>
      </c>
      <c r="D241" s="556" t="s">
        <v>79</v>
      </c>
      <c r="E241" s="556" t="s">
        <v>83</v>
      </c>
      <c r="F241" s="345" t="s">
        <v>84</v>
      </c>
      <c r="G241" s="421" t="s">
        <v>85</v>
      </c>
      <c r="H241" s="337"/>
    </row>
    <row r="242" spans="1:9" ht="15" customHeight="1">
      <c r="A242" s="1366">
        <v>88309</v>
      </c>
      <c r="B242" s="1357" t="s">
        <v>110</v>
      </c>
      <c r="C242" s="580" t="s">
        <v>102</v>
      </c>
      <c r="D242" s="1359" t="s">
        <v>345</v>
      </c>
      <c r="E242" s="1359">
        <v>1.1890000000000001</v>
      </c>
      <c r="F242" s="497">
        <f>'COMP AUX'!G151</f>
        <v>14.93</v>
      </c>
      <c r="G242" s="582">
        <f t="shared" ref="G242" si="14">TRUNC(E242*F242,2)</f>
        <v>17.75</v>
      </c>
      <c r="H242" s="577"/>
    </row>
    <row r="243" spans="1:9" ht="15" customHeight="1">
      <c r="A243" s="1367"/>
      <c r="B243" s="1419"/>
      <c r="C243" s="580" t="s">
        <v>89</v>
      </c>
      <c r="D243" s="1360"/>
      <c r="E243" s="1360"/>
      <c r="F243" s="497">
        <f>'COMP AUX'!G152</f>
        <v>4.5600000000000005</v>
      </c>
      <c r="G243" s="582">
        <f>TRUNC(E242*F243,2)</f>
        <v>5.42</v>
      </c>
      <c r="H243" s="577"/>
    </row>
    <row r="244" spans="1:9" ht="15" customHeight="1">
      <c r="A244" s="1317" t="s">
        <v>688</v>
      </c>
      <c r="B244" s="1351" t="s">
        <v>106</v>
      </c>
      <c r="C244" s="383" t="s">
        <v>102</v>
      </c>
      <c r="D244" s="1414" t="s">
        <v>345</v>
      </c>
      <c r="E244" s="1414">
        <v>3.0529999999999999</v>
      </c>
      <c r="F244" s="581">
        <f>'COMP AUX'!G104</f>
        <v>11.1</v>
      </c>
      <c r="G244" s="582">
        <f t="shared" ref="G244" si="15">TRUNC(E244*F244,2)</f>
        <v>33.880000000000003</v>
      </c>
      <c r="H244" s="577"/>
    </row>
    <row r="245" spans="1:9" ht="15" customHeight="1">
      <c r="A245" s="1318"/>
      <c r="B245" s="1352"/>
      <c r="C245" s="383" t="s">
        <v>89</v>
      </c>
      <c r="D245" s="1415"/>
      <c r="E245" s="1415"/>
      <c r="F245" s="391">
        <f>'COMP AUX'!G105</f>
        <v>4.5600000000000005</v>
      </c>
      <c r="G245" s="582">
        <f>TRUNC(E244*F245,2)</f>
        <v>13.92</v>
      </c>
      <c r="H245" s="337"/>
    </row>
    <row r="246" spans="1:9" ht="15" customHeight="1">
      <c r="A246" s="583"/>
      <c r="B246" s="584"/>
      <c r="C246" s="584"/>
      <c r="D246" s="584"/>
      <c r="E246" s="597"/>
      <c r="F246" s="585" t="s">
        <v>92</v>
      </c>
      <c r="G246" s="582">
        <f>G242+G244</f>
        <v>51.63</v>
      </c>
      <c r="H246" s="584"/>
    </row>
    <row r="247" spans="1:9" ht="15" customHeight="1">
      <c r="A247" s="577"/>
      <c r="B247" s="577"/>
      <c r="C247" s="577"/>
      <c r="D247" s="577"/>
      <c r="E247" s="598"/>
      <c r="F247" s="585" t="s">
        <v>94</v>
      </c>
      <c r="G247" s="582">
        <f>G243+G245</f>
        <v>19.34</v>
      </c>
      <c r="H247" s="577"/>
    </row>
    <row r="248" spans="1:9" ht="15" customHeight="1">
      <c r="A248" s="586" t="s">
        <v>96</v>
      </c>
      <c r="B248" s="586"/>
      <c r="C248" s="577"/>
      <c r="D248" s="577"/>
      <c r="E248" s="598"/>
      <c r="F248" s="585" t="s">
        <v>95</v>
      </c>
      <c r="G248" s="885">
        <f>SUM(G246:G247)</f>
        <v>70.97</v>
      </c>
      <c r="H248" s="577"/>
    </row>
    <row r="249" spans="1:9" ht="15" customHeight="1">
      <c r="A249" s="591" t="s">
        <v>97</v>
      </c>
      <c r="B249" s="592">
        <f>G248</f>
        <v>70.97</v>
      </c>
      <c r="C249" s="577"/>
      <c r="D249" s="577"/>
      <c r="E249" s="577"/>
      <c r="F249" s="577"/>
      <c r="G249" s="577"/>
      <c r="H249" s="577"/>
    </row>
    <row r="250" spans="1:9" ht="15" customHeight="1">
      <c r="A250" s="455" t="s">
        <v>1936</v>
      </c>
      <c r="B250" s="454"/>
      <c r="C250" s="577"/>
      <c r="D250" s="577"/>
      <c r="E250" s="577"/>
      <c r="F250" s="577"/>
      <c r="G250" s="577"/>
      <c r="H250" s="577"/>
    </row>
    <row r="251" spans="1:9" ht="15" customHeight="1">
      <c r="A251" s="535" t="s">
        <v>1995</v>
      </c>
      <c r="B251" s="454">
        <f>(B249+B250)*0.245</f>
        <v>17.387650000000001</v>
      </c>
      <c r="C251" s="577"/>
      <c r="D251" s="577"/>
      <c r="E251" s="577"/>
      <c r="F251" s="577"/>
      <c r="G251" s="577"/>
      <c r="H251" s="577"/>
    </row>
    <row r="252" spans="1:9" ht="15" customHeight="1">
      <c r="A252" s="591" t="s">
        <v>98</v>
      </c>
      <c r="B252" s="593">
        <f>SUM(B249:B251)</f>
        <v>88.357650000000007</v>
      </c>
      <c r="C252" s="577"/>
      <c r="D252" s="577"/>
      <c r="E252" s="577"/>
      <c r="F252" s="577"/>
      <c r="G252" s="577"/>
      <c r="H252" s="502"/>
      <c r="I252" s="130" t="s">
        <v>1937</v>
      </c>
    </row>
    <row r="253" spans="1:9">
      <c r="A253" s="429"/>
      <c r="B253" s="430"/>
      <c r="C253" s="431"/>
      <c r="D253" s="429"/>
      <c r="E253" s="430"/>
      <c r="F253" s="430"/>
      <c r="G253" s="430"/>
      <c r="H253" s="429"/>
    </row>
    <row r="254" spans="1:9">
      <c r="B254" s="468"/>
      <c r="C254" s="468"/>
      <c r="D254" s="468"/>
      <c r="E254" s="468"/>
      <c r="F254" s="468"/>
      <c r="G254" s="468"/>
      <c r="H254" s="468"/>
    </row>
    <row r="255" spans="1:9">
      <c r="A255" s="130" t="s">
        <v>542</v>
      </c>
      <c r="B255" s="565"/>
      <c r="C255" s="565"/>
      <c r="D255" s="565"/>
      <c r="E255" s="565"/>
      <c r="F255" s="565"/>
      <c r="G255" s="565"/>
      <c r="H255" s="337"/>
    </row>
    <row r="256" spans="1:9">
      <c r="A256" s="148" t="s">
        <v>2116</v>
      </c>
      <c r="B256" s="577"/>
      <c r="C256" s="577"/>
      <c r="D256" s="577"/>
      <c r="E256" s="577"/>
      <c r="F256" s="577"/>
      <c r="G256" s="577"/>
      <c r="H256" s="337"/>
    </row>
    <row r="257" spans="1:9" ht="17.25" customHeight="1">
      <c r="A257" s="594" t="s">
        <v>933</v>
      </c>
      <c r="B257" s="594" t="s">
        <v>1106</v>
      </c>
      <c r="C257" s="590" t="s">
        <v>682</v>
      </c>
      <c r="D257" s="594"/>
      <c r="E257" s="130"/>
      <c r="F257" s="130"/>
      <c r="G257" s="577"/>
      <c r="H257" s="337"/>
    </row>
    <row r="258" spans="1:9" ht="22.5">
      <c r="A258" s="415" t="s">
        <v>30</v>
      </c>
      <c r="B258" s="420" t="s">
        <v>19</v>
      </c>
      <c r="C258" s="343" t="s">
        <v>82</v>
      </c>
      <c r="D258" s="556" t="s">
        <v>79</v>
      </c>
      <c r="E258" s="556" t="s">
        <v>83</v>
      </c>
      <c r="F258" s="345" t="s">
        <v>84</v>
      </c>
      <c r="G258" s="421" t="s">
        <v>85</v>
      </c>
      <c r="H258" s="337"/>
    </row>
    <row r="259" spans="1:9" ht="15" customHeight="1">
      <c r="A259" s="1317" t="s">
        <v>688</v>
      </c>
      <c r="B259" s="1351" t="s">
        <v>106</v>
      </c>
      <c r="C259" s="383" t="s">
        <v>102</v>
      </c>
      <c r="D259" s="1414" t="s">
        <v>345</v>
      </c>
      <c r="E259" s="1414">
        <v>2.3986000000000001</v>
      </c>
      <c r="F259" s="581">
        <f>'COMP AUX'!G104</f>
        <v>11.1</v>
      </c>
      <c r="G259" s="582">
        <f t="shared" ref="G259" si="16">TRUNC(E259*F259,2)</f>
        <v>26.62</v>
      </c>
      <c r="H259" s="577"/>
    </row>
    <row r="260" spans="1:9" ht="15" customHeight="1">
      <c r="A260" s="1318"/>
      <c r="B260" s="1352"/>
      <c r="C260" s="383" t="s">
        <v>89</v>
      </c>
      <c r="D260" s="1415"/>
      <c r="E260" s="1415"/>
      <c r="F260" s="391">
        <f>'COMP AUX'!G105</f>
        <v>4.5600000000000005</v>
      </c>
      <c r="G260" s="582">
        <f>TRUNC(E259*F260,2)</f>
        <v>10.93</v>
      </c>
      <c r="H260" s="337"/>
    </row>
    <row r="261" spans="1:9" ht="15" customHeight="1">
      <c r="A261" s="583"/>
      <c r="B261" s="584"/>
      <c r="C261" s="584"/>
      <c r="D261" s="584"/>
      <c r="E261" s="597"/>
      <c r="F261" s="585" t="s">
        <v>92</v>
      </c>
      <c r="G261" s="582">
        <f>G259</f>
        <v>26.62</v>
      </c>
      <c r="H261" s="584"/>
    </row>
    <row r="262" spans="1:9" ht="15" customHeight="1">
      <c r="A262" s="577"/>
      <c r="B262" s="577"/>
      <c r="C262" s="577"/>
      <c r="D262" s="577"/>
      <c r="E262" s="598"/>
      <c r="F262" s="585" t="s">
        <v>94</v>
      </c>
      <c r="G262" s="582">
        <f>G260</f>
        <v>10.93</v>
      </c>
      <c r="H262" s="577"/>
    </row>
    <row r="263" spans="1:9" ht="15" customHeight="1">
      <c r="A263" s="595" t="s">
        <v>96</v>
      </c>
      <c r="B263" s="586"/>
      <c r="C263" s="577"/>
      <c r="D263" s="577"/>
      <c r="E263" s="598"/>
      <c r="F263" s="585" t="s">
        <v>95</v>
      </c>
      <c r="G263" s="884">
        <f>SUM(G261:G262)</f>
        <v>37.549999999999997</v>
      </c>
      <c r="H263" s="577"/>
    </row>
    <row r="264" spans="1:9" ht="15" customHeight="1">
      <c r="A264" s="591" t="s">
        <v>97</v>
      </c>
      <c r="B264" s="592">
        <f>G263</f>
        <v>37.549999999999997</v>
      </c>
      <c r="C264" s="577"/>
      <c r="D264" s="577"/>
      <c r="E264" s="577"/>
      <c r="F264" s="577"/>
      <c r="G264" s="577"/>
      <c r="H264" s="577"/>
    </row>
    <row r="265" spans="1:9" ht="15" customHeight="1">
      <c r="A265" s="455" t="s">
        <v>1936</v>
      </c>
      <c r="B265" s="454"/>
      <c r="C265" s="577"/>
      <c r="D265" s="577"/>
      <c r="E265" s="577"/>
      <c r="F265" s="577"/>
      <c r="G265" s="577"/>
      <c r="H265" s="577"/>
    </row>
    <row r="266" spans="1:9" ht="15" customHeight="1">
      <c r="A266" s="535" t="s">
        <v>1995</v>
      </c>
      <c r="B266" s="454">
        <f>(B264+B265)*0.245</f>
        <v>9.1997499999999999</v>
      </c>
      <c r="C266" s="577"/>
      <c r="D266" s="577"/>
      <c r="E266" s="577"/>
      <c r="F266" s="577"/>
      <c r="G266" s="577"/>
      <c r="H266" s="577"/>
    </row>
    <row r="267" spans="1:9" ht="15" customHeight="1">
      <c r="A267" s="591" t="s">
        <v>98</v>
      </c>
      <c r="B267" s="593">
        <f>SUM(B264:B266)</f>
        <v>46.749749999999999</v>
      </c>
      <c r="C267" s="577"/>
      <c r="D267" s="577"/>
      <c r="E267" s="577"/>
      <c r="F267" s="577"/>
      <c r="G267" s="577"/>
      <c r="H267" s="502"/>
      <c r="I267" s="130" t="s">
        <v>1937</v>
      </c>
    </row>
    <row r="268" spans="1:9">
      <c r="A268" s="429"/>
      <c r="B268" s="430"/>
      <c r="C268" s="431"/>
      <c r="D268" s="429"/>
      <c r="E268" s="430"/>
      <c r="F268" s="430"/>
      <c r="G268" s="430"/>
      <c r="H268" s="429"/>
    </row>
    <row r="269" spans="1:9">
      <c r="B269" s="468"/>
      <c r="C269" s="468"/>
      <c r="D269" s="468"/>
      <c r="E269" s="468"/>
      <c r="F269" s="468"/>
      <c r="G269" s="468"/>
      <c r="H269" s="468"/>
    </row>
    <row r="270" spans="1:9">
      <c r="A270" s="130" t="s">
        <v>542</v>
      </c>
      <c r="B270" s="565"/>
      <c r="C270" s="565"/>
      <c r="D270" s="565"/>
      <c r="E270" s="565"/>
      <c r="F270" s="565"/>
      <c r="G270" s="565"/>
      <c r="H270" s="337"/>
    </row>
    <row r="271" spans="1:9" ht="13.5" customHeight="1">
      <c r="A271" s="148" t="s">
        <v>2118</v>
      </c>
      <c r="B271" s="577"/>
      <c r="C271" s="577"/>
      <c r="D271" s="577"/>
      <c r="E271" s="577"/>
      <c r="F271" s="577"/>
      <c r="G271" s="577"/>
      <c r="H271" s="337"/>
    </row>
    <row r="272" spans="1:9" ht="15.75" customHeight="1">
      <c r="A272" s="594" t="s">
        <v>933</v>
      </c>
      <c r="B272" s="594" t="s">
        <v>1107</v>
      </c>
      <c r="C272" s="590" t="s">
        <v>682</v>
      </c>
      <c r="F272" s="130"/>
      <c r="G272" s="577"/>
      <c r="H272" s="337"/>
    </row>
    <row r="273" spans="1:9" ht="22.5">
      <c r="A273" s="415" t="s">
        <v>30</v>
      </c>
      <c r="B273" s="420" t="s">
        <v>19</v>
      </c>
      <c r="C273" s="343" t="s">
        <v>82</v>
      </c>
      <c r="D273" s="556" t="s">
        <v>79</v>
      </c>
      <c r="E273" s="556" t="s">
        <v>83</v>
      </c>
      <c r="F273" s="345" t="s">
        <v>84</v>
      </c>
      <c r="G273" s="421" t="s">
        <v>85</v>
      </c>
      <c r="H273" s="337"/>
    </row>
    <row r="274" spans="1:9" ht="18" customHeight="1">
      <c r="A274" s="1366">
        <v>5961</v>
      </c>
      <c r="B274" s="1310" t="s">
        <v>890</v>
      </c>
      <c r="C274" s="580" t="s">
        <v>102</v>
      </c>
      <c r="D274" s="1359" t="s">
        <v>622</v>
      </c>
      <c r="E274" s="1430">
        <v>0.25</v>
      </c>
      <c r="F274" s="581">
        <f>'COMP AUX'!G604</f>
        <v>11.42</v>
      </c>
      <c r="G274" s="582">
        <f t="shared" ref="G274" si="17">TRUNC(E274*F274,2)</f>
        <v>2.85</v>
      </c>
      <c r="H274" s="577"/>
    </row>
    <row r="275" spans="1:9" ht="18" customHeight="1">
      <c r="A275" s="1367"/>
      <c r="B275" s="1311"/>
      <c r="C275" s="580" t="s">
        <v>89</v>
      </c>
      <c r="D275" s="1360"/>
      <c r="E275" s="1431"/>
      <c r="F275" s="581">
        <f>'COMP AUX'!G605</f>
        <v>18.98</v>
      </c>
      <c r="G275" s="582">
        <f>TRUNC(E274*F275,2)</f>
        <v>4.74</v>
      </c>
      <c r="H275" s="577"/>
    </row>
    <row r="276" spans="1:9" ht="14.1" customHeight="1">
      <c r="A276" s="1317" t="s">
        <v>688</v>
      </c>
      <c r="B276" s="1351" t="s">
        <v>106</v>
      </c>
      <c r="C276" s="383" t="s">
        <v>102</v>
      </c>
      <c r="D276" s="1414" t="s">
        <v>345</v>
      </c>
      <c r="E276" s="1312">
        <v>0.7</v>
      </c>
      <c r="F276" s="581">
        <f>'COMP AUX'!G104</f>
        <v>11.1</v>
      </c>
      <c r="G276" s="582">
        <f t="shared" ref="G276" si="18">TRUNC(E276*F276,2)</f>
        <v>7.77</v>
      </c>
      <c r="H276" s="577"/>
    </row>
    <row r="277" spans="1:9" ht="14.1" customHeight="1">
      <c r="A277" s="1318"/>
      <c r="B277" s="1352"/>
      <c r="C277" s="383" t="s">
        <v>89</v>
      </c>
      <c r="D277" s="1415"/>
      <c r="E277" s="1313"/>
      <c r="F277" s="391">
        <f>'COMP AUX'!G105</f>
        <v>4.5600000000000005</v>
      </c>
      <c r="G277" s="582">
        <f>TRUNC(E276*F277,2)</f>
        <v>3.19</v>
      </c>
      <c r="H277" s="337"/>
    </row>
    <row r="278" spans="1:9" ht="14.1" customHeight="1">
      <c r="A278" s="583"/>
      <c r="B278" s="584"/>
      <c r="C278" s="584"/>
      <c r="D278" s="584"/>
      <c r="E278" s="597"/>
      <c r="F278" s="585" t="s">
        <v>92</v>
      </c>
      <c r="G278" s="582">
        <f>G274+G276</f>
        <v>10.62</v>
      </c>
      <c r="H278" s="584"/>
    </row>
    <row r="279" spans="1:9" ht="14.1" customHeight="1">
      <c r="A279" s="577"/>
      <c r="B279" s="577"/>
      <c r="C279" s="577"/>
      <c r="D279" s="577"/>
      <c r="E279" s="598"/>
      <c r="F279" s="585" t="s">
        <v>94</v>
      </c>
      <c r="G279" s="582">
        <f>G275+G277</f>
        <v>7.93</v>
      </c>
      <c r="H279" s="577"/>
    </row>
    <row r="280" spans="1:9" ht="14.1" customHeight="1">
      <c r="A280" s="595" t="s">
        <v>96</v>
      </c>
      <c r="B280" s="586"/>
      <c r="C280" s="577"/>
      <c r="D280" s="577"/>
      <c r="E280" s="598"/>
      <c r="F280" s="585" t="s">
        <v>95</v>
      </c>
      <c r="G280" s="885">
        <f>SUM(G278:G279)</f>
        <v>18.549999999999997</v>
      </c>
      <c r="H280" s="577"/>
    </row>
    <row r="281" spans="1:9" ht="14.1" customHeight="1">
      <c r="A281" s="591" t="s">
        <v>97</v>
      </c>
      <c r="B281" s="592">
        <f>G280</f>
        <v>18.549999999999997</v>
      </c>
      <c r="C281" s="577"/>
      <c r="D281" s="577"/>
      <c r="E281" s="577"/>
      <c r="F281" s="577"/>
      <c r="G281" s="577"/>
      <c r="H281" s="577"/>
    </row>
    <row r="282" spans="1:9" ht="14.1" customHeight="1">
      <c r="A282" s="455" t="s">
        <v>1936</v>
      </c>
      <c r="B282" s="454"/>
      <c r="C282" s="577"/>
      <c r="D282" s="577"/>
      <c r="E282" s="577"/>
      <c r="F282" s="577"/>
      <c r="G282" s="577"/>
      <c r="H282" s="577"/>
    </row>
    <row r="283" spans="1:9" ht="14.1" customHeight="1">
      <c r="A283" s="535" t="s">
        <v>1995</v>
      </c>
      <c r="B283" s="454">
        <f>(B281+B282)*0.245</f>
        <v>4.5447499999999996</v>
      </c>
      <c r="C283" s="577"/>
      <c r="D283" s="577"/>
      <c r="E283" s="577"/>
      <c r="F283" s="577"/>
      <c r="G283" s="577"/>
      <c r="H283" s="577"/>
    </row>
    <row r="284" spans="1:9" ht="14.1" customHeight="1">
      <c r="A284" s="591" t="s">
        <v>98</v>
      </c>
      <c r="B284" s="593">
        <f>SUM(B281:B283)</f>
        <v>23.094749999999998</v>
      </c>
      <c r="C284" s="577"/>
      <c r="D284" s="577"/>
      <c r="E284" s="577"/>
      <c r="F284" s="577"/>
      <c r="G284" s="577"/>
      <c r="H284" s="502"/>
      <c r="I284" s="130" t="s">
        <v>1937</v>
      </c>
    </row>
    <row r="285" spans="1:9">
      <c r="A285" s="429"/>
      <c r="B285" s="430"/>
      <c r="C285" s="431"/>
      <c r="D285" s="429"/>
      <c r="E285" s="430"/>
      <c r="F285" s="430"/>
      <c r="G285" s="430"/>
      <c r="H285" s="429"/>
    </row>
    <row r="286" spans="1:9">
      <c r="B286" s="468"/>
      <c r="C286" s="468"/>
      <c r="D286" s="468"/>
      <c r="E286" s="468"/>
      <c r="F286" s="468"/>
      <c r="G286" s="468"/>
      <c r="H286" s="468"/>
    </row>
    <row r="287" spans="1:9" ht="14.25" customHeight="1">
      <c r="A287" s="130" t="s">
        <v>542</v>
      </c>
      <c r="B287" s="565"/>
      <c r="C287" s="565"/>
      <c r="D287" s="565"/>
      <c r="E287" s="565"/>
      <c r="F287" s="565"/>
      <c r="G287" s="565"/>
    </row>
    <row r="288" spans="1:9" ht="15" customHeight="1">
      <c r="A288" s="148" t="s">
        <v>2117</v>
      </c>
      <c r="B288" s="577"/>
      <c r="C288" s="577"/>
      <c r="D288" s="577"/>
      <c r="E288" s="577"/>
      <c r="F288" s="577"/>
      <c r="G288" s="577"/>
    </row>
    <row r="289" spans="1:7" ht="24.75" customHeight="1">
      <c r="A289" s="594" t="s">
        <v>933</v>
      </c>
      <c r="B289" s="1355" t="s">
        <v>2431</v>
      </c>
      <c r="C289" s="1355"/>
      <c r="D289" s="1355"/>
      <c r="E289" s="590" t="s">
        <v>682</v>
      </c>
      <c r="F289" s="130"/>
      <c r="G289" s="577"/>
    </row>
    <row r="290" spans="1:7" ht="26.25" customHeight="1">
      <c r="A290" s="872" t="s">
        <v>30</v>
      </c>
      <c r="B290" s="420" t="s">
        <v>19</v>
      </c>
      <c r="C290" s="343" t="s">
        <v>82</v>
      </c>
      <c r="D290" s="870" t="s">
        <v>79</v>
      </c>
      <c r="E290" s="870" t="s">
        <v>83</v>
      </c>
      <c r="F290" s="345" t="s">
        <v>84</v>
      </c>
      <c r="G290" s="421" t="s">
        <v>85</v>
      </c>
    </row>
    <row r="291" spans="1:7" ht="26.25" customHeight="1">
      <c r="A291" s="872" t="s">
        <v>891</v>
      </c>
      <c r="B291" s="873" t="s">
        <v>892</v>
      </c>
      <c r="C291" s="343" t="s">
        <v>89</v>
      </c>
      <c r="D291" s="870" t="s">
        <v>682</v>
      </c>
      <c r="E291" s="874">
        <v>1.1000000000000001</v>
      </c>
      <c r="F291" s="870">
        <v>81.42</v>
      </c>
      <c r="G291" s="369">
        <f>TRUNC(E291*F291,2)</f>
        <v>89.56</v>
      </c>
    </row>
    <row r="292" spans="1:7" ht="15" customHeight="1">
      <c r="A292" s="1308" t="s">
        <v>893</v>
      </c>
      <c r="B292" s="1310" t="s">
        <v>110</v>
      </c>
      <c r="C292" s="343" t="s">
        <v>102</v>
      </c>
      <c r="D292" s="1306" t="s">
        <v>345</v>
      </c>
      <c r="E292" s="1364">
        <v>2.5459999999999998</v>
      </c>
      <c r="F292" s="348">
        <f>'COMP AUX'!G151</f>
        <v>14.93</v>
      </c>
      <c r="G292" s="369">
        <f t="shared" ref="G292" si="19">TRUNC(E292*F292,2)</f>
        <v>38.01</v>
      </c>
    </row>
    <row r="293" spans="1:7" ht="15" customHeight="1">
      <c r="A293" s="1309"/>
      <c r="B293" s="1311"/>
      <c r="C293" s="343" t="s">
        <v>89</v>
      </c>
      <c r="D293" s="1307"/>
      <c r="E293" s="1365"/>
      <c r="F293" s="348">
        <f>'COMP AUX'!G152</f>
        <v>4.5600000000000005</v>
      </c>
      <c r="G293" s="369">
        <f>TRUNC(E292*F293,2)</f>
        <v>11.6</v>
      </c>
    </row>
    <row r="294" spans="1:7" ht="15" customHeight="1">
      <c r="A294" s="1308" t="s">
        <v>688</v>
      </c>
      <c r="B294" s="1310" t="s">
        <v>106</v>
      </c>
      <c r="C294" s="343" t="s">
        <v>102</v>
      </c>
      <c r="D294" s="1364" t="s">
        <v>345</v>
      </c>
      <c r="E294" s="1315">
        <v>3.819</v>
      </c>
      <c r="F294" s="348">
        <f>'COMP AUX'!G104</f>
        <v>11.1</v>
      </c>
      <c r="G294" s="369">
        <f t="shared" ref="G294" si="20">TRUNC(E294*F294,2)</f>
        <v>42.39</v>
      </c>
    </row>
    <row r="295" spans="1:7" ht="15" customHeight="1">
      <c r="A295" s="1309"/>
      <c r="B295" s="1342"/>
      <c r="C295" s="343" t="s">
        <v>89</v>
      </c>
      <c r="D295" s="1365"/>
      <c r="E295" s="1316"/>
      <c r="F295" s="348">
        <f>'COMP AUX'!G105</f>
        <v>4.5600000000000005</v>
      </c>
      <c r="G295" s="369">
        <f>TRUNC(E294*F295,2)</f>
        <v>17.41</v>
      </c>
    </row>
    <row r="296" spans="1:7" ht="15" customHeight="1">
      <c r="A296" s="1347" t="s">
        <v>894</v>
      </c>
      <c r="B296" s="1310" t="s">
        <v>895</v>
      </c>
      <c r="C296" s="343" t="s">
        <v>102</v>
      </c>
      <c r="D296" s="1364" t="s">
        <v>643</v>
      </c>
      <c r="E296" s="1364">
        <v>6.9000000000000006E-2</v>
      </c>
      <c r="F296" s="348">
        <f>'COMP AUX'!G653</f>
        <v>11.29</v>
      </c>
      <c r="G296" s="369">
        <f>TRUNC(E296*F296,2)</f>
        <v>0.77</v>
      </c>
    </row>
    <row r="297" spans="1:7" ht="15" customHeight="1">
      <c r="A297" s="1348"/>
      <c r="B297" s="1311"/>
      <c r="C297" s="343" t="s">
        <v>626</v>
      </c>
      <c r="D297" s="1365"/>
      <c r="E297" s="1365"/>
      <c r="F297" s="348">
        <f>'COMP AUX'!G654</f>
        <v>8.23</v>
      </c>
      <c r="G297" s="369">
        <f>TRUNC(E296*F297,2)</f>
        <v>0.56000000000000005</v>
      </c>
    </row>
    <row r="298" spans="1:7" ht="15" customHeight="1">
      <c r="A298" s="1368" t="s">
        <v>896</v>
      </c>
      <c r="B298" s="1370" t="s">
        <v>679</v>
      </c>
      <c r="C298" s="343" t="s">
        <v>102</v>
      </c>
      <c r="D298" s="1314" t="s">
        <v>622</v>
      </c>
      <c r="E298" s="1416">
        <v>6.4000000000000001E-2</v>
      </c>
      <c r="F298" s="348">
        <f>'COMP AUX'!G786</f>
        <v>11.29</v>
      </c>
      <c r="G298" s="369">
        <f>TRUNC(E298*F298,2)</f>
        <v>0.72</v>
      </c>
    </row>
    <row r="299" spans="1:7" ht="15" customHeight="1">
      <c r="A299" s="1368"/>
      <c r="B299" s="1370"/>
      <c r="C299" s="343" t="s">
        <v>626</v>
      </c>
      <c r="D299" s="1314"/>
      <c r="E299" s="1416"/>
      <c r="F299" s="348">
        <f>'COMP AUX'!G787</f>
        <v>4.92</v>
      </c>
      <c r="G299" s="369">
        <f>TRUNC(E298*F299,2)</f>
        <v>0.31</v>
      </c>
    </row>
    <row r="300" spans="1:7" ht="15" customHeight="1">
      <c r="E300" s="146"/>
      <c r="F300" s="427" t="s">
        <v>92</v>
      </c>
      <c r="G300" s="379">
        <f>G292+G294+G296+G298</f>
        <v>81.89</v>
      </c>
    </row>
    <row r="301" spans="1:7" ht="15" customHeight="1">
      <c r="E301" s="146"/>
      <c r="F301" s="351" t="s">
        <v>94</v>
      </c>
      <c r="G301" s="369">
        <f>G291+G293+G295+G297+G299</f>
        <v>119.44</v>
      </c>
    </row>
    <row r="302" spans="1:7" ht="15" customHeight="1">
      <c r="A302" s="130" t="s">
        <v>96</v>
      </c>
      <c r="E302" s="146"/>
      <c r="F302" s="351" t="s">
        <v>95</v>
      </c>
      <c r="G302" s="370">
        <f>SUM(G300:G301)</f>
        <v>201.32999999999998</v>
      </c>
    </row>
    <row r="303" spans="1:7" ht="15" customHeight="1">
      <c r="A303" s="350" t="s">
        <v>97</v>
      </c>
      <c r="B303" s="461">
        <f>G302</f>
        <v>201.32999999999998</v>
      </c>
    </row>
    <row r="304" spans="1:7" ht="15" customHeight="1">
      <c r="A304" s="455" t="s">
        <v>1936</v>
      </c>
      <c r="B304" s="454"/>
    </row>
    <row r="305" spans="1:9" ht="15" customHeight="1">
      <c r="A305" s="535" t="s">
        <v>1995</v>
      </c>
      <c r="B305" s="454">
        <f>(B303+B304)*0.245</f>
        <v>49.325849999999996</v>
      </c>
    </row>
    <row r="306" spans="1:9" ht="15" customHeight="1">
      <c r="A306" s="350" t="s">
        <v>98</v>
      </c>
      <c r="B306" s="462">
        <f>SUM(B303:B305)</f>
        <v>250.65584999999999</v>
      </c>
      <c r="H306" s="473"/>
      <c r="I306" s="130" t="s">
        <v>1940</v>
      </c>
    </row>
    <row r="307" spans="1:9">
      <c r="A307" s="429"/>
      <c r="B307" s="430"/>
      <c r="C307" s="431"/>
      <c r="D307" s="429"/>
      <c r="E307" s="430"/>
      <c r="F307" s="430"/>
      <c r="G307" s="430"/>
      <c r="H307" s="429"/>
    </row>
    <row r="308" spans="1:9">
      <c r="B308" s="468"/>
      <c r="C308" s="468"/>
      <c r="D308" s="468"/>
      <c r="E308" s="468"/>
      <c r="F308" s="468"/>
      <c r="G308" s="468"/>
      <c r="H308" s="468"/>
    </row>
    <row r="309" spans="1:9">
      <c r="A309" s="130" t="s">
        <v>542</v>
      </c>
      <c r="B309" s="565"/>
      <c r="C309" s="565"/>
      <c r="D309" s="565"/>
      <c r="E309" s="565"/>
      <c r="F309" s="565"/>
      <c r="G309" s="565"/>
    </row>
    <row r="310" spans="1:9">
      <c r="A310" s="148" t="s">
        <v>2126</v>
      </c>
      <c r="B310" s="577"/>
      <c r="C310" s="577"/>
      <c r="D310" s="577"/>
      <c r="E310" s="577"/>
      <c r="F310" s="577"/>
      <c r="G310" s="577"/>
    </row>
    <row r="311" spans="1:9" ht="28.5" customHeight="1">
      <c r="A311" s="594" t="s">
        <v>933</v>
      </c>
      <c r="B311" s="1355" t="s">
        <v>1104</v>
      </c>
      <c r="C311" s="1355"/>
      <c r="D311" s="1355"/>
      <c r="E311" s="590" t="s">
        <v>682</v>
      </c>
      <c r="F311" s="130"/>
      <c r="G311" s="577"/>
    </row>
    <row r="312" spans="1:9" ht="22.5">
      <c r="A312" s="415" t="s">
        <v>30</v>
      </c>
      <c r="B312" s="420" t="s">
        <v>19</v>
      </c>
      <c r="C312" s="343" t="s">
        <v>82</v>
      </c>
      <c r="D312" s="556" t="s">
        <v>79</v>
      </c>
      <c r="E312" s="556" t="s">
        <v>83</v>
      </c>
      <c r="F312" s="345" t="s">
        <v>84</v>
      </c>
      <c r="G312" s="421" t="s">
        <v>85</v>
      </c>
    </row>
    <row r="313" spans="1:9" ht="29.25" customHeight="1">
      <c r="A313" s="415" t="s">
        <v>891</v>
      </c>
      <c r="B313" s="347" t="s">
        <v>892</v>
      </c>
      <c r="C313" s="343" t="s">
        <v>89</v>
      </c>
      <c r="D313" s="556" t="s">
        <v>682</v>
      </c>
      <c r="E313" s="368">
        <v>1.1000000000000001</v>
      </c>
      <c r="F313" s="556">
        <v>81.42</v>
      </c>
      <c r="G313" s="369">
        <f>TRUNC(E313*F313,2)</f>
        <v>89.56</v>
      </c>
    </row>
    <row r="314" spans="1:9" ht="15" customHeight="1">
      <c r="A314" s="1308" t="s">
        <v>893</v>
      </c>
      <c r="B314" s="1310" t="s">
        <v>110</v>
      </c>
      <c r="C314" s="343" t="s">
        <v>102</v>
      </c>
      <c r="D314" s="1306" t="s">
        <v>345</v>
      </c>
      <c r="E314" s="1364">
        <v>2.1539999999999999</v>
      </c>
      <c r="F314" s="348">
        <f>'COMP AUX'!G151</f>
        <v>14.93</v>
      </c>
      <c r="G314" s="369">
        <f t="shared" ref="G314:G316" si="21">TRUNC(E314*F314,2)</f>
        <v>32.15</v>
      </c>
    </row>
    <row r="315" spans="1:9" ht="15" customHeight="1">
      <c r="A315" s="1309"/>
      <c r="B315" s="1311"/>
      <c r="C315" s="343" t="s">
        <v>89</v>
      </c>
      <c r="D315" s="1307"/>
      <c r="E315" s="1365"/>
      <c r="F315" s="348">
        <f>'COMP AUX'!G152</f>
        <v>4.5600000000000005</v>
      </c>
      <c r="G315" s="369">
        <f>TRUNC(E314*F315,2)</f>
        <v>9.82</v>
      </c>
    </row>
    <row r="316" spans="1:9" ht="15" customHeight="1">
      <c r="A316" s="1308" t="s">
        <v>688</v>
      </c>
      <c r="B316" s="1310" t="s">
        <v>106</v>
      </c>
      <c r="C316" s="343" t="s">
        <v>102</v>
      </c>
      <c r="D316" s="1364" t="s">
        <v>345</v>
      </c>
      <c r="E316" s="1315">
        <v>3.23</v>
      </c>
      <c r="F316" s="348">
        <f>'COMP AUX'!G104</f>
        <v>11.1</v>
      </c>
      <c r="G316" s="369">
        <f t="shared" si="21"/>
        <v>35.85</v>
      </c>
    </row>
    <row r="317" spans="1:9" ht="15" customHeight="1">
      <c r="A317" s="1309"/>
      <c r="B317" s="1342"/>
      <c r="C317" s="343" t="s">
        <v>89</v>
      </c>
      <c r="D317" s="1365"/>
      <c r="E317" s="1316"/>
      <c r="F317" s="348">
        <f>'COMP AUX'!G105</f>
        <v>4.5600000000000005</v>
      </c>
      <c r="G317" s="369">
        <f>TRUNC(E316*F317,2)</f>
        <v>14.72</v>
      </c>
    </row>
    <row r="318" spans="1:9" ht="15" customHeight="1">
      <c r="A318" s="1347" t="s">
        <v>894</v>
      </c>
      <c r="B318" s="1310" t="s">
        <v>895</v>
      </c>
      <c r="C318" s="343" t="s">
        <v>102</v>
      </c>
      <c r="D318" s="1364" t="s">
        <v>643</v>
      </c>
      <c r="E318" s="1364">
        <v>3.2000000000000001E-2</v>
      </c>
      <c r="F318" s="348">
        <f>'COMP AUX'!G653</f>
        <v>11.29</v>
      </c>
      <c r="G318" s="369">
        <f>TRUNC(E318*F318,2)</f>
        <v>0.36</v>
      </c>
    </row>
    <row r="319" spans="1:9" ht="15" customHeight="1">
      <c r="A319" s="1348"/>
      <c r="B319" s="1311"/>
      <c r="C319" s="343" t="s">
        <v>626</v>
      </c>
      <c r="D319" s="1365"/>
      <c r="E319" s="1365"/>
      <c r="F319" s="348">
        <f>'COMP AUX'!G654</f>
        <v>8.23</v>
      </c>
      <c r="G319" s="369">
        <f>TRUNC(E318*F319,2)</f>
        <v>0.26</v>
      </c>
    </row>
    <row r="320" spans="1:9" ht="15" customHeight="1">
      <c r="A320" s="1368" t="s">
        <v>896</v>
      </c>
      <c r="B320" s="1370" t="s">
        <v>679</v>
      </c>
      <c r="C320" s="343" t="s">
        <v>102</v>
      </c>
      <c r="D320" s="1314" t="s">
        <v>622</v>
      </c>
      <c r="E320" s="1416">
        <v>0.03</v>
      </c>
      <c r="F320" s="348">
        <f>'COMP AUX'!G786</f>
        <v>11.29</v>
      </c>
      <c r="G320" s="369">
        <f>TRUNC(E320*F320,2)</f>
        <v>0.33</v>
      </c>
    </row>
    <row r="321" spans="1:8" ht="15" customHeight="1">
      <c r="A321" s="1368"/>
      <c r="B321" s="1370"/>
      <c r="C321" s="343" t="s">
        <v>626</v>
      </c>
      <c r="D321" s="1314"/>
      <c r="E321" s="1416"/>
      <c r="F321" s="348">
        <f>'COMP AUX'!G787</f>
        <v>4.92</v>
      </c>
      <c r="G321" s="369">
        <f>TRUNC(E320*F321,2)</f>
        <v>0.14000000000000001</v>
      </c>
    </row>
    <row r="322" spans="1:8" ht="15" customHeight="1">
      <c r="E322" s="146"/>
      <c r="F322" s="427" t="s">
        <v>92</v>
      </c>
      <c r="G322" s="379">
        <f>G314+G316+G318+G320</f>
        <v>68.69</v>
      </c>
    </row>
    <row r="323" spans="1:8" ht="15" customHeight="1">
      <c r="E323" s="146"/>
      <c r="F323" s="351" t="s">
        <v>94</v>
      </c>
      <c r="G323" s="369">
        <f>G313+G315+G317+G319+G321</f>
        <v>114.5</v>
      </c>
    </row>
    <row r="324" spans="1:8" ht="15" customHeight="1">
      <c r="A324" s="130" t="s">
        <v>96</v>
      </c>
      <c r="E324" s="146"/>
      <c r="F324" s="351" t="s">
        <v>95</v>
      </c>
      <c r="G324" s="370">
        <f>SUM(G322:G323)</f>
        <v>183.19</v>
      </c>
    </row>
    <row r="325" spans="1:8" ht="15" customHeight="1">
      <c r="A325" s="350" t="s">
        <v>97</v>
      </c>
      <c r="B325" s="461">
        <f>G324</f>
        <v>183.19</v>
      </c>
    </row>
    <row r="326" spans="1:8" ht="15" customHeight="1">
      <c r="A326" s="455" t="s">
        <v>1936</v>
      </c>
      <c r="B326" s="454"/>
    </row>
    <row r="327" spans="1:8" ht="15" customHeight="1">
      <c r="A327" s="535" t="s">
        <v>1995</v>
      </c>
      <c r="B327" s="454">
        <f>(B325+B326)*0.245</f>
        <v>44.881549999999997</v>
      </c>
    </row>
    <row r="328" spans="1:8" ht="15" customHeight="1">
      <c r="A328" s="350" t="s">
        <v>98</v>
      </c>
      <c r="B328" s="462">
        <f>SUM(B325:B327)</f>
        <v>228.07155</v>
      </c>
      <c r="H328" s="473"/>
    </row>
    <row r="329" spans="1:8">
      <c r="A329" s="429"/>
      <c r="B329" s="430"/>
      <c r="C329" s="431"/>
      <c r="D329" s="429"/>
      <c r="E329" s="430"/>
      <c r="F329" s="430"/>
      <c r="G329" s="430"/>
      <c r="H329" s="429"/>
    </row>
    <row r="330" spans="1:8">
      <c r="B330" s="468"/>
      <c r="C330" s="468"/>
      <c r="D330" s="468"/>
      <c r="E330" s="468"/>
      <c r="F330" s="468"/>
      <c r="G330" s="468"/>
      <c r="H330" s="468"/>
    </row>
    <row r="331" spans="1:8">
      <c r="A331" s="130" t="s">
        <v>542</v>
      </c>
      <c r="B331" s="565"/>
      <c r="C331" s="565"/>
      <c r="D331" s="565"/>
      <c r="E331" s="565"/>
      <c r="F331" s="565"/>
      <c r="G331" s="565"/>
    </row>
    <row r="332" spans="1:8" ht="13.5" customHeight="1">
      <c r="A332" s="148" t="s">
        <v>2125</v>
      </c>
      <c r="B332" s="577"/>
      <c r="C332" s="577"/>
      <c r="D332" s="577"/>
      <c r="E332" s="577"/>
      <c r="F332" s="577"/>
      <c r="G332" s="577"/>
    </row>
    <row r="333" spans="1:8" ht="26.25" customHeight="1">
      <c r="A333" s="594" t="s">
        <v>959</v>
      </c>
      <c r="B333" s="594" t="s">
        <v>960</v>
      </c>
      <c r="C333" s="590" t="s">
        <v>682</v>
      </c>
      <c r="D333" s="594"/>
      <c r="F333" s="130"/>
      <c r="G333" s="577"/>
    </row>
    <row r="334" spans="1:8" ht="27" customHeight="1">
      <c r="A334" s="415" t="s">
        <v>30</v>
      </c>
      <c r="B334" s="420" t="s">
        <v>19</v>
      </c>
      <c r="C334" s="343" t="s">
        <v>82</v>
      </c>
      <c r="D334" s="556" t="s">
        <v>79</v>
      </c>
      <c r="E334" s="556" t="s">
        <v>83</v>
      </c>
      <c r="F334" s="345" t="s">
        <v>84</v>
      </c>
      <c r="G334" s="421" t="s">
        <v>85</v>
      </c>
    </row>
    <row r="335" spans="1:8" ht="15" customHeight="1">
      <c r="A335" s="1308" t="s">
        <v>893</v>
      </c>
      <c r="B335" s="1310" t="s">
        <v>110</v>
      </c>
      <c r="C335" s="343" t="s">
        <v>102</v>
      </c>
      <c r="D335" s="1306" t="s">
        <v>345</v>
      </c>
      <c r="E335" s="1364">
        <v>0.31059999999999999</v>
      </c>
      <c r="F335" s="348">
        <f>'COMP AUX'!G151</f>
        <v>14.93</v>
      </c>
      <c r="G335" s="369">
        <f t="shared" ref="G335" si="22">TRUNC(E335*F335,2)</f>
        <v>4.63</v>
      </c>
    </row>
    <row r="336" spans="1:8" ht="15" customHeight="1">
      <c r="A336" s="1309"/>
      <c r="B336" s="1311"/>
      <c r="C336" s="343" t="s">
        <v>89</v>
      </c>
      <c r="D336" s="1307"/>
      <c r="E336" s="1365"/>
      <c r="F336" s="348">
        <f>'COMP AUX'!G152</f>
        <v>4.5600000000000005</v>
      </c>
      <c r="G336" s="369">
        <f>TRUNC(E335*F336,2)</f>
        <v>1.41</v>
      </c>
    </row>
    <row r="337" spans="1:9" ht="15" customHeight="1">
      <c r="A337" s="1308" t="s">
        <v>688</v>
      </c>
      <c r="B337" s="1310" t="s">
        <v>106</v>
      </c>
      <c r="C337" s="343" t="s">
        <v>102</v>
      </c>
      <c r="D337" s="1364" t="s">
        <v>345</v>
      </c>
      <c r="E337" s="1364">
        <v>8.4699999999999998E-2</v>
      </c>
      <c r="F337" s="348">
        <f>'COMP AUX'!G104</f>
        <v>11.1</v>
      </c>
      <c r="G337" s="369">
        <f t="shared" ref="G337" si="23">TRUNC(E337*F337,2)</f>
        <v>0.94</v>
      </c>
    </row>
    <row r="338" spans="1:9" ht="15" customHeight="1">
      <c r="A338" s="1309"/>
      <c r="B338" s="1342"/>
      <c r="C338" s="343" t="s">
        <v>89</v>
      </c>
      <c r="D338" s="1365"/>
      <c r="E338" s="1365"/>
      <c r="F338" s="348">
        <f>'COMP AUX'!G105</f>
        <v>4.5600000000000005</v>
      </c>
      <c r="G338" s="369">
        <f>TRUNC(E337*F338,2)</f>
        <v>0.38</v>
      </c>
    </row>
    <row r="339" spans="1:9" ht="15" customHeight="1">
      <c r="A339" s="1308">
        <v>94968</v>
      </c>
      <c r="B339" s="1310" t="s">
        <v>1103</v>
      </c>
      <c r="C339" s="343" t="s">
        <v>102</v>
      </c>
      <c r="D339" s="1314" t="s">
        <v>682</v>
      </c>
      <c r="E339" s="1314">
        <v>1.1299999999999999</v>
      </c>
      <c r="F339" s="348">
        <f>'COMP AUX'!G845</f>
        <v>37.49</v>
      </c>
      <c r="G339" s="369">
        <f>TRUNC(E339*F339,2)</f>
        <v>42.36</v>
      </c>
    </row>
    <row r="340" spans="1:9" ht="15" customHeight="1">
      <c r="A340" s="1380"/>
      <c r="B340" s="1311"/>
      <c r="C340" s="343" t="s">
        <v>89</v>
      </c>
      <c r="D340" s="1314"/>
      <c r="E340" s="1314"/>
      <c r="F340" s="348">
        <f>'COMP AUX'!G846</f>
        <v>208.22</v>
      </c>
      <c r="G340" s="369">
        <f>TRUNC(E339*F340,2)</f>
        <v>235.28</v>
      </c>
    </row>
    <row r="341" spans="1:9" ht="15" customHeight="1">
      <c r="E341" s="596"/>
      <c r="F341" s="460" t="s">
        <v>92</v>
      </c>
      <c r="G341" s="369">
        <f>G335+G337+G339</f>
        <v>47.93</v>
      </c>
    </row>
    <row r="342" spans="1:9" ht="15" customHeight="1">
      <c r="E342" s="146"/>
      <c r="F342" s="351" t="s">
        <v>94</v>
      </c>
      <c r="G342" s="369">
        <f>G336+G338+G340</f>
        <v>237.07</v>
      </c>
    </row>
    <row r="343" spans="1:9" ht="15" customHeight="1">
      <c r="A343" s="130" t="s">
        <v>96</v>
      </c>
      <c r="E343" s="146"/>
      <c r="F343" s="351" t="s">
        <v>95</v>
      </c>
      <c r="G343" s="370">
        <f>SUM(G341:G342)</f>
        <v>285</v>
      </c>
    </row>
    <row r="344" spans="1:9" ht="15" customHeight="1">
      <c r="A344" s="350" t="s">
        <v>97</v>
      </c>
      <c r="B344" s="461">
        <f>G343</f>
        <v>285</v>
      </c>
    </row>
    <row r="345" spans="1:9" ht="15" customHeight="1">
      <c r="A345" s="455" t="s">
        <v>1936</v>
      </c>
      <c r="B345" s="454"/>
    </row>
    <row r="346" spans="1:9" ht="15" customHeight="1">
      <c r="A346" s="535" t="s">
        <v>1995</v>
      </c>
      <c r="B346" s="454">
        <f>(B344+B345)*0.245</f>
        <v>69.825000000000003</v>
      </c>
    </row>
    <row r="347" spans="1:9" ht="15" customHeight="1">
      <c r="A347" s="350" t="s">
        <v>98</v>
      </c>
      <c r="B347" s="462">
        <f>SUM(B344:B346)</f>
        <v>354.82499999999999</v>
      </c>
      <c r="H347" s="473"/>
      <c r="I347" s="130" t="s">
        <v>1940</v>
      </c>
    </row>
    <row r="348" spans="1:9" ht="10.5" customHeight="1">
      <c r="A348" s="429"/>
      <c r="B348" s="430"/>
      <c r="C348" s="431"/>
      <c r="D348" s="429"/>
      <c r="E348" s="430"/>
      <c r="F348" s="430"/>
      <c r="G348" s="430"/>
      <c r="H348" s="429"/>
    </row>
    <row r="349" spans="1:9" ht="11.25" customHeight="1">
      <c r="A349" s="337"/>
      <c r="B349" s="334"/>
      <c r="C349" s="336"/>
      <c r="D349" s="337"/>
      <c r="E349" s="334"/>
      <c r="F349" s="334"/>
      <c r="G349" s="334"/>
      <c r="H349" s="337"/>
    </row>
    <row r="350" spans="1:9" ht="11.25" customHeight="1">
      <c r="A350" s="130" t="s">
        <v>542</v>
      </c>
      <c r="B350" s="565"/>
      <c r="C350" s="565"/>
      <c r="D350" s="565"/>
      <c r="E350" s="565"/>
      <c r="F350" s="565"/>
      <c r="G350" s="565"/>
    </row>
    <row r="351" spans="1:9" ht="11.25" customHeight="1">
      <c r="A351" s="148" t="s">
        <v>2127</v>
      </c>
      <c r="B351" s="577"/>
      <c r="C351" s="577"/>
      <c r="D351" s="577"/>
      <c r="E351" s="577"/>
      <c r="F351" s="577"/>
      <c r="G351" s="577"/>
    </row>
    <row r="352" spans="1:9" ht="25.5" customHeight="1">
      <c r="A352" s="594" t="s">
        <v>933</v>
      </c>
      <c r="B352" s="594" t="s">
        <v>1335</v>
      </c>
      <c r="C352" s="949" t="s">
        <v>858</v>
      </c>
      <c r="D352" s="594"/>
      <c r="E352" s="590"/>
      <c r="F352" s="130"/>
      <c r="G352" s="577"/>
    </row>
    <row r="353" spans="1:8" ht="22.5" customHeight="1">
      <c r="A353" s="913" t="s">
        <v>30</v>
      </c>
      <c r="B353" s="420" t="s">
        <v>19</v>
      </c>
      <c r="C353" s="343" t="s">
        <v>82</v>
      </c>
      <c r="D353" s="915" t="s">
        <v>79</v>
      </c>
      <c r="E353" s="915" t="s">
        <v>83</v>
      </c>
      <c r="F353" s="345" t="s">
        <v>84</v>
      </c>
      <c r="G353" s="421" t="s">
        <v>85</v>
      </c>
    </row>
    <row r="354" spans="1:8" ht="14.1" customHeight="1">
      <c r="A354" s="913" t="s">
        <v>1213</v>
      </c>
      <c r="B354" s="914" t="s">
        <v>1214</v>
      </c>
      <c r="C354" s="343" t="s">
        <v>89</v>
      </c>
      <c r="D354" s="915" t="s">
        <v>858</v>
      </c>
      <c r="E354" s="916">
        <v>1.1000000000000001</v>
      </c>
      <c r="F354" s="915">
        <v>0.91</v>
      </c>
      <c r="G354" s="369">
        <f>TRUNC(E354*F354,2)</f>
        <v>1</v>
      </c>
    </row>
    <row r="355" spans="1:8" ht="14.1" customHeight="1">
      <c r="A355" s="1308" t="s">
        <v>1843</v>
      </c>
      <c r="B355" s="1310" t="s">
        <v>1220</v>
      </c>
      <c r="C355" s="343" t="s">
        <v>102</v>
      </c>
      <c r="D355" s="1314" t="s">
        <v>345</v>
      </c>
      <c r="E355" s="1416">
        <v>0.2</v>
      </c>
      <c r="F355" s="348">
        <f>'COMP AUX'!G389</f>
        <v>15.82</v>
      </c>
      <c r="G355" s="369">
        <f>TRUNC(E355*F355,2)</f>
        <v>3.16</v>
      </c>
      <c r="H355" s="337"/>
    </row>
    <row r="356" spans="1:8" ht="14.1" customHeight="1">
      <c r="A356" s="1309"/>
      <c r="B356" s="1311"/>
      <c r="C356" s="343" t="s">
        <v>89</v>
      </c>
      <c r="D356" s="1314"/>
      <c r="E356" s="1416"/>
      <c r="F356" s="348">
        <f>'COMP AUX'!G390</f>
        <v>4.5600000000000005</v>
      </c>
      <c r="G356" s="369">
        <f>TRUNC(E355*F356,2)</f>
        <v>0.91</v>
      </c>
      <c r="H356" s="337"/>
    </row>
    <row r="357" spans="1:8" ht="14.1" customHeight="1">
      <c r="E357" s="596"/>
      <c r="F357" s="460" t="s">
        <v>92</v>
      </c>
      <c r="G357" s="369">
        <f>G355</f>
        <v>3.16</v>
      </c>
    </row>
    <row r="358" spans="1:8" ht="14.1" customHeight="1">
      <c r="E358" s="146"/>
      <c r="F358" s="351" t="s">
        <v>94</v>
      </c>
      <c r="G358" s="369">
        <f>G354+G356</f>
        <v>1.9100000000000001</v>
      </c>
    </row>
    <row r="359" spans="1:8" ht="14.1" customHeight="1">
      <c r="A359" s="130" t="s">
        <v>96</v>
      </c>
      <c r="E359" s="146"/>
      <c r="F359" s="351" t="s">
        <v>95</v>
      </c>
      <c r="G359" s="370">
        <f>SUM(G357:G358)</f>
        <v>5.07</v>
      </c>
    </row>
    <row r="360" spans="1:8" ht="14.1" customHeight="1">
      <c r="A360" s="350" t="s">
        <v>97</v>
      </c>
      <c r="B360" s="461">
        <f>G359</f>
        <v>5.07</v>
      </c>
    </row>
    <row r="361" spans="1:8" ht="14.1" customHeight="1">
      <c r="A361" s="455" t="s">
        <v>1936</v>
      </c>
      <c r="B361" s="454"/>
    </row>
    <row r="362" spans="1:8" ht="14.1" customHeight="1">
      <c r="A362" s="535" t="s">
        <v>1995</v>
      </c>
      <c r="B362" s="454">
        <f>(B360+B361)*0.245</f>
        <v>1.2421500000000001</v>
      </c>
    </row>
    <row r="363" spans="1:8" ht="14.1" customHeight="1">
      <c r="A363" s="350" t="s">
        <v>98</v>
      </c>
      <c r="B363" s="462">
        <f>SUM(B360:B362)</f>
        <v>6.3121500000000008</v>
      </c>
      <c r="H363" s="473"/>
    </row>
    <row r="364" spans="1:8" ht="11.25" customHeight="1">
      <c r="A364" s="429"/>
      <c r="B364" s="430"/>
      <c r="C364" s="431"/>
      <c r="D364" s="429"/>
      <c r="E364" s="430"/>
      <c r="F364" s="430"/>
      <c r="G364" s="430"/>
      <c r="H364" s="429"/>
    </row>
    <row r="365" spans="1:8" ht="11.25" customHeight="1">
      <c r="A365" s="337"/>
      <c r="B365" s="334"/>
      <c r="C365" s="336"/>
      <c r="D365" s="337"/>
      <c r="E365" s="334"/>
      <c r="F365" s="334"/>
      <c r="G365" s="334"/>
      <c r="H365" s="337"/>
    </row>
    <row r="366" spans="1:8" ht="11.25" customHeight="1">
      <c r="A366" s="130" t="s">
        <v>542</v>
      </c>
      <c r="B366" s="565"/>
      <c r="C366" s="565"/>
      <c r="D366" s="565"/>
      <c r="E366" s="565"/>
      <c r="F366" s="565"/>
      <c r="G366" s="565"/>
    </row>
    <row r="367" spans="1:8" ht="11.25" customHeight="1">
      <c r="A367" s="148" t="s">
        <v>2137</v>
      </c>
      <c r="B367" s="577"/>
      <c r="C367" s="577"/>
      <c r="D367" s="577"/>
      <c r="E367" s="577"/>
      <c r="F367" s="577"/>
      <c r="G367" s="577"/>
    </row>
    <row r="368" spans="1:8" ht="20.25" customHeight="1">
      <c r="A368" s="594" t="s">
        <v>959</v>
      </c>
      <c r="B368" s="594" t="s">
        <v>2432</v>
      </c>
      <c r="C368" s="590" t="s">
        <v>858</v>
      </c>
      <c r="D368" s="594"/>
      <c r="E368" s="130"/>
      <c r="F368" s="130"/>
      <c r="G368" s="577"/>
    </row>
    <row r="369" spans="1:9" ht="27.75" customHeight="1">
      <c r="A369" s="872" t="s">
        <v>30</v>
      </c>
      <c r="B369" s="420" t="s">
        <v>19</v>
      </c>
      <c r="C369" s="343" t="s">
        <v>82</v>
      </c>
      <c r="D369" s="870" t="s">
        <v>79</v>
      </c>
      <c r="E369" s="870" t="s">
        <v>83</v>
      </c>
      <c r="F369" s="345" t="s">
        <v>84</v>
      </c>
      <c r="G369" s="421" t="s">
        <v>85</v>
      </c>
    </row>
    <row r="370" spans="1:9" ht="25.5" customHeight="1">
      <c r="A370" s="883" t="s">
        <v>1667</v>
      </c>
      <c r="B370" s="882" t="s">
        <v>2433</v>
      </c>
      <c r="C370" s="343" t="s">
        <v>89</v>
      </c>
      <c r="D370" s="871" t="s">
        <v>858</v>
      </c>
      <c r="E370" s="868">
        <v>1.08</v>
      </c>
      <c r="F370" s="348">
        <v>6.58</v>
      </c>
      <c r="G370" s="369">
        <f>TRUNC(E370*F370,2)</f>
        <v>7.1</v>
      </c>
    </row>
    <row r="371" spans="1:9" ht="15" customHeight="1">
      <c r="A371" s="1308" t="s">
        <v>688</v>
      </c>
      <c r="B371" s="1310" t="s">
        <v>106</v>
      </c>
      <c r="C371" s="343" t="s">
        <v>102</v>
      </c>
      <c r="D371" s="1364" t="s">
        <v>345</v>
      </c>
      <c r="E371" s="1315">
        <v>0.03</v>
      </c>
      <c r="F371" s="348">
        <f>'COMP AUX'!G104</f>
        <v>11.1</v>
      </c>
      <c r="G371" s="369">
        <f t="shared" ref="G371" si="24">TRUNC(E371*F371,2)</f>
        <v>0.33</v>
      </c>
    </row>
    <row r="372" spans="1:9" ht="15" customHeight="1">
      <c r="A372" s="1309"/>
      <c r="B372" s="1342"/>
      <c r="C372" s="343" t="s">
        <v>89</v>
      </c>
      <c r="D372" s="1365"/>
      <c r="E372" s="1316"/>
      <c r="F372" s="348">
        <f>'COMP AUX'!G105</f>
        <v>4.5600000000000005</v>
      </c>
      <c r="G372" s="369">
        <f>TRUNC(E371*F372,2)</f>
        <v>0.13</v>
      </c>
    </row>
    <row r="373" spans="1:9" ht="15" customHeight="1">
      <c r="E373" s="596"/>
      <c r="F373" s="460" t="s">
        <v>92</v>
      </c>
      <c r="G373" s="369">
        <f>G371</f>
        <v>0.33</v>
      </c>
    </row>
    <row r="374" spans="1:9" ht="15" customHeight="1">
      <c r="E374" s="146"/>
      <c r="F374" s="351" t="s">
        <v>94</v>
      </c>
      <c r="G374" s="369">
        <f>G370+G372</f>
        <v>7.2299999999999995</v>
      </c>
    </row>
    <row r="375" spans="1:9" ht="15" customHeight="1">
      <c r="A375" s="130" t="s">
        <v>96</v>
      </c>
      <c r="E375" s="146"/>
      <c r="F375" s="351" t="s">
        <v>95</v>
      </c>
      <c r="G375" s="370">
        <f>SUM(G373:G374)</f>
        <v>7.56</v>
      </c>
    </row>
    <row r="376" spans="1:9" ht="15" customHeight="1">
      <c r="A376" s="350" t="s">
        <v>97</v>
      </c>
      <c r="B376" s="461">
        <f>G375</f>
        <v>7.56</v>
      </c>
    </row>
    <row r="377" spans="1:9" ht="15" customHeight="1">
      <c r="A377" s="455" t="s">
        <v>1936</v>
      </c>
      <c r="B377" s="454"/>
    </row>
    <row r="378" spans="1:9" ht="15" customHeight="1">
      <c r="A378" s="535" t="s">
        <v>1995</v>
      </c>
      <c r="B378" s="454">
        <f>(B376+B377)*0.245</f>
        <v>1.8521999999999998</v>
      </c>
    </row>
    <row r="379" spans="1:9" ht="15" customHeight="1">
      <c r="A379" s="350" t="s">
        <v>98</v>
      </c>
      <c r="B379" s="462">
        <f>SUM(B376:B378)</f>
        <v>9.4121999999999986</v>
      </c>
      <c r="H379" s="473"/>
      <c r="I379" s="130" t="s">
        <v>1940</v>
      </c>
    </row>
    <row r="380" spans="1:9" ht="11.25" customHeight="1">
      <c r="A380" s="429"/>
      <c r="B380" s="430"/>
      <c r="C380" s="431"/>
      <c r="D380" s="429"/>
      <c r="E380" s="430"/>
      <c r="F380" s="430"/>
      <c r="G380" s="430"/>
      <c r="H380" s="429"/>
    </row>
    <row r="381" spans="1:9" ht="11.25" customHeight="1">
      <c r="A381" s="337"/>
      <c r="B381" s="334"/>
      <c r="C381" s="336"/>
      <c r="D381" s="337"/>
      <c r="E381" s="334"/>
      <c r="F381" s="334"/>
      <c r="G381" s="334"/>
      <c r="H381" s="337"/>
    </row>
    <row r="382" spans="1:9" ht="11.25" customHeight="1">
      <c r="A382" s="130" t="s">
        <v>542</v>
      </c>
      <c r="B382" s="565"/>
      <c r="C382" s="565"/>
      <c r="D382" s="565"/>
      <c r="E382" s="565"/>
      <c r="F382" s="565"/>
      <c r="G382" s="565"/>
    </row>
    <row r="383" spans="1:9" ht="11.25" customHeight="1">
      <c r="A383" s="148" t="s">
        <v>2134</v>
      </c>
      <c r="B383" s="577"/>
      <c r="C383" s="577"/>
      <c r="D383" s="577"/>
      <c r="E383" s="577"/>
      <c r="F383" s="577"/>
      <c r="G383" s="577"/>
    </row>
    <row r="384" spans="1:9" ht="19.5" customHeight="1">
      <c r="A384" s="594" t="s">
        <v>959</v>
      </c>
      <c r="B384" s="1355" t="s">
        <v>2434</v>
      </c>
      <c r="C384" s="1355"/>
      <c r="D384" s="590" t="s">
        <v>346</v>
      </c>
      <c r="E384" s="130"/>
      <c r="F384" s="130"/>
      <c r="G384" s="577"/>
    </row>
    <row r="385" spans="1:9" ht="26.25" customHeight="1">
      <c r="A385" s="872" t="s">
        <v>30</v>
      </c>
      <c r="B385" s="420" t="s">
        <v>19</v>
      </c>
      <c r="C385" s="343" t="s">
        <v>82</v>
      </c>
      <c r="D385" s="870" t="s">
        <v>79</v>
      </c>
      <c r="E385" s="870" t="s">
        <v>83</v>
      </c>
      <c r="F385" s="345" t="s">
        <v>84</v>
      </c>
      <c r="G385" s="421" t="s">
        <v>85</v>
      </c>
    </row>
    <row r="386" spans="1:9" ht="25.5" customHeight="1">
      <c r="A386" s="770">
        <v>20065</v>
      </c>
      <c r="B386" s="882" t="s">
        <v>1669</v>
      </c>
      <c r="C386" s="343" t="s">
        <v>89</v>
      </c>
      <c r="D386" s="871" t="s">
        <v>346</v>
      </c>
      <c r="E386" s="868">
        <v>1</v>
      </c>
      <c r="F386" s="348">
        <v>17.760000000000002</v>
      </c>
      <c r="G386" s="369">
        <f>TRUNC(E386*F386,2)</f>
        <v>17.760000000000002</v>
      </c>
    </row>
    <row r="387" spans="1:9" ht="18" customHeight="1">
      <c r="A387" s="1417">
        <v>88277</v>
      </c>
      <c r="B387" s="1310" t="s">
        <v>1668</v>
      </c>
      <c r="C387" s="343" t="s">
        <v>102</v>
      </c>
      <c r="D387" s="1306" t="s">
        <v>345</v>
      </c>
      <c r="E387" s="1315">
        <v>0.06</v>
      </c>
      <c r="F387" s="348">
        <f>'COMP AUX'!G686</f>
        <v>11.4</v>
      </c>
      <c r="G387" s="369">
        <f t="shared" ref="G387:G389" si="25">TRUNC(E387*F387,2)</f>
        <v>0.68</v>
      </c>
    </row>
    <row r="388" spans="1:9" ht="18" customHeight="1">
      <c r="A388" s="1418"/>
      <c r="B388" s="1311"/>
      <c r="C388" s="343" t="s">
        <v>89</v>
      </c>
      <c r="D388" s="1307"/>
      <c r="E388" s="1316"/>
      <c r="F388" s="348">
        <f>'COMP AUX'!G687</f>
        <v>4.5600000000000005</v>
      </c>
      <c r="G388" s="369">
        <f>TRUNC(E387*F388,2)</f>
        <v>0.27</v>
      </c>
    </row>
    <row r="389" spans="1:9" ht="15" customHeight="1">
      <c r="A389" s="1308" t="s">
        <v>688</v>
      </c>
      <c r="B389" s="1310" t="s">
        <v>106</v>
      </c>
      <c r="C389" s="343" t="s">
        <v>102</v>
      </c>
      <c r="D389" s="1364" t="s">
        <v>345</v>
      </c>
      <c r="E389" s="1353">
        <v>2.5657999999999999</v>
      </c>
      <c r="F389" s="348">
        <f>'COMP AUX'!G104</f>
        <v>11.1</v>
      </c>
      <c r="G389" s="369">
        <f t="shared" si="25"/>
        <v>28.48</v>
      </c>
    </row>
    <row r="390" spans="1:9" ht="15" customHeight="1">
      <c r="A390" s="1309"/>
      <c r="B390" s="1342"/>
      <c r="C390" s="343" t="s">
        <v>89</v>
      </c>
      <c r="D390" s="1365"/>
      <c r="E390" s="1354"/>
      <c r="F390" s="348">
        <f>'COMP AUX'!G105</f>
        <v>4.5600000000000005</v>
      </c>
      <c r="G390" s="369">
        <f>TRUNC(E389*F390,2)</f>
        <v>11.7</v>
      </c>
    </row>
    <row r="391" spans="1:9" ht="15" customHeight="1">
      <c r="E391" s="596"/>
      <c r="F391" s="460" t="s">
        <v>92</v>
      </c>
      <c r="G391" s="369">
        <f>G387+G389</f>
        <v>29.16</v>
      </c>
    </row>
    <row r="392" spans="1:9" ht="15" customHeight="1">
      <c r="E392" s="146"/>
      <c r="F392" s="351" t="s">
        <v>94</v>
      </c>
      <c r="G392" s="369">
        <f>G386+G388+G390</f>
        <v>29.73</v>
      </c>
    </row>
    <row r="393" spans="1:9" ht="15" customHeight="1">
      <c r="A393" s="130" t="s">
        <v>96</v>
      </c>
      <c r="E393" s="146"/>
      <c r="F393" s="351" t="s">
        <v>95</v>
      </c>
      <c r="G393" s="370">
        <f>SUM(G391:G392)</f>
        <v>58.89</v>
      </c>
    </row>
    <row r="394" spans="1:9" ht="15" customHeight="1">
      <c r="A394" s="350" t="s">
        <v>97</v>
      </c>
      <c r="B394" s="461">
        <f>G393</f>
        <v>58.89</v>
      </c>
    </row>
    <row r="395" spans="1:9" ht="15" customHeight="1">
      <c r="A395" s="455" t="s">
        <v>1936</v>
      </c>
      <c r="B395" s="454"/>
    </row>
    <row r="396" spans="1:9" ht="15" customHeight="1">
      <c r="A396" s="535" t="s">
        <v>1995</v>
      </c>
      <c r="B396" s="454">
        <f>(B394+B395)*0.245</f>
        <v>14.428050000000001</v>
      </c>
    </row>
    <row r="397" spans="1:9" ht="15" customHeight="1">
      <c r="A397" s="350" t="s">
        <v>98</v>
      </c>
      <c r="B397" s="462">
        <f>SUM(B394:B396)</f>
        <v>73.318049999999999</v>
      </c>
      <c r="H397" s="473"/>
      <c r="I397" s="130" t="s">
        <v>1940</v>
      </c>
    </row>
    <row r="398" spans="1:9" ht="11.25" customHeight="1">
      <c r="A398" s="429"/>
      <c r="B398" s="430"/>
      <c r="C398" s="431"/>
      <c r="D398" s="429"/>
      <c r="E398" s="430"/>
      <c r="F398" s="430"/>
      <c r="G398" s="430"/>
      <c r="H398" s="429"/>
    </row>
    <row r="399" spans="1:9" ht="11.25" customHeight="1">
      <c r="A399" s="337"/>
      <c r="B399" s="334"/>
      <c r="C399" s="336"/>
      <c r="D399" s="337"/>
      <c r="E399" s="334"/>
      <c r="F399" s="334"/>
      <c r="G399" s="334"/>
      <c r="H399" s="337"/>
    </row>
    <row r="400" spans="1:9" ht="11.25" customHeight="1">
      <c r="A400" s="130" t="s">
        <v>542</v>
      </c>
      <c r="B400" s="565"/>
      <c r="C400" s="565"/>
      <c r="D400" s="565"/>
      <c r="E400" s="565"/>
      <c r="F400" s="565"/>
      <c r="G400" s="565"/>
    </row>
    <row r="401" spans="1:9" ht="11.25" customHeight="1">
      <c r="A401" s="148" t="s">
        <v>2133</v>
      </c>
      <c r="B401" s="577"/>
      <c r="C401" s="577"/>
      <c r="D401" s="577"/>
      <c r="E401" s="577"/>
      <c r="F401" s="577"/>
      <c r="G401" s="577"/>
    </row>
    <row r="402" spans="1:9" ht="30.75" customHeight="1">
      <c r="A402" s="594" t="s">
        <v>959</v>
      </c>
      <c r="B402" s="594" t="s">
        <v>2435</v>
      </c>
      <c r="C402" s="590" t="s">
        <v>346</v>
      </c>
      <c r="E402" s="130"/>
      <c r="F402" s="130"/>
      <c r="G402" s="577"/>
    </row>
    <row r="403" spans="1:9" ht="26.25" customHeight="1">
      <c r="A403" s="872" t="s">
        <v>30</v>
      </c>
      <c r="B403" s="420" t="s">
        <v>19</v>
      </c>
      <c r="C403" s="343" t="s">
        <v>82</v>
      </c>
      <c r="D403" s="870" t="s">
        <v>79</v>
      </c>
      <c r="E403" s="870" t="s">
        <v>83</v>
      </c>
      <c r="F403" s="345" t="s">
        <v>84</v>
      </c>
      <c r="G403" s="421" t="s">
        <v>85</v>
      </c>
    </row>
    <row r="404" spans="1:9" ht="25.5" customHeight="1">
      <c r="A404" s="770" t="s">
        <v>1674</v>
      </c>
      <c r="B404" s="882" t="s">
        <v>2436</v>
      </c>
      <c r="C404" s="343" t="s">
        <v>89</v>
      </c>
      <c r="D404" s="871" t="s">
        <v>346</v>
      </c>
      <c r="E404" s="868">
        <v>1</v>
      </c>
      <c r="F404" s="348">
        <v>25.17</v>
      </c>
      <c r="G404" s="369">
        <f>TRUNC(E404*F404,2)</f>
        <v>25.17</v>
      </c>
    </row>
    <row r="405" spans="1:9" ht="15" customHeight="1">
      <c r="A405" s="1417">
        <v>88267</v>
      </c>
      <c r="B405" s="1310" t="s">
        <v>245</v>
      </c>
      <c r="C405" s="343" t="s">
        <v>102</v>
      </c>
      <c r="D405" s="1306" t="s">
        <v>345</v>
      </c>
      <c r="E405" s="1315">
        <v>0.2</v>
      </c>
      <c r="F405" s="348">
        <f>'COMP AUX'!G338</f>
        <v>15.41</v>
      </c>
      <c r="G405" s="369">
        <f t="shared" ref="G405" si="26">TRUNC(E405*F405,2)</f>
        <v>3.08</v>
      </c>
    </row>
    <row r="406" spans="1:9" ht="15" customHeight="1">
      <c r="A406" s="1418"/>
      <c r="B406" s="1311"/>
      <c r="C406" s="343" t="s">
        <v>89</v>
      </c>
      <c r="D406" s="1307"/>
      <c r="E406" s="1316"/>
      <c r="F406" s="348">
        <f>'COMP AUX'!G339</f>
        <v>4.5600000000000005</v>
      </c>
      <c r="G406" s="369">
        <f>TRUNC(E405*F406,2)</f>
        <v>0.91</v>
      </c>
    </row>
    <row r="407" spans="1:9" ht="15" customHeight="1">
      <c r="A407" s="1308" t="s">
        <v>688</v>
      </c>
      <c r="B407" s="1310" t="s">
        <v>106</v>
      </c>
      <c r="C407" s="343" t="s">
        <v>102</v>
      </c>
      <c r="D407" s="1364" t="s">
        <v>345</v>
      </c>
      <c r="E407" s="1353">
        <v>0.8</v>
      </c>
      <c r="F407" s="348">
        <f>'COMP AUX'!G104</f>
        <v>11.1</v>
      </c>
      <c r="G407" s="369">
        <f t="shared" ref="G407" si="27">TRUNC(E407*F407,2)</f>
        <v>8.8800000000000008</v>
      </c>
    </row>
    <row r="408" spans="1:9" ht="15" customHeight="1">
      <c r="A408" s="1309"/>
      <c r="B408" s="1342"/>
      <c r="C408" s="343" t="s">
        <v>89</v>
      </c>
      <c r="D408" s="1365"/>
      <c r="E408" s="1354"/>
      <c r="F408" s="348">
        <f>'COMP AUX'!G105</f>
        <v>4.5600000000000005</v>
      </c>
      <c r="G408" s="369">
        <f>TRUNC(E407*F408,2)</f>
        <v>3.64</v>
      </c>
    </row>
    <row r="409" spans="1:9" ht="15" customHeight="1">
      <c r="E409" s="596"/>
      <c r="F409" s="460" t="s">
        <v>92</v>
      </c>
      <c r="G409" s="369">
        <f>G405+G407</f>
        <v>11.96</v>
      </c>
    </row>
    <row r="410" spans="1:9" ht="15" customHeight="1">
      <c r="E410" s="146"/>
      <c r="F410" s="351" t="s">
        <v>94</v>
      </c>
      <c r="G410" s="369">
        <f>G404+G406+G408</f>
        <v>29.720000000000002</v>
      </c>
    </row>
    <row r="411" spans="1:9" ht="15" customHeight="1">
      <c r="A411" s="130" t="s">
        <v>96</v>
      </c>
      <c r="E411" s="146"/>
      <c r="F411" s="351" t="s">
        <v>95</v>
      </c>
      <c r="G411" s="370">
        <f>SUM(G409:G410)</f>
        <v>41.680000000000007</v>
      </c>
    </row>
    <row r="412" spans="1:9" ht="15" customHeight="1">
      <c r="A412" s="350" t="s">
        <v>97</v>
      </c>
      <c r="B412" s="461">
        <f>G411</f>
        <v>41.680000000000007</v>
      </c>
    </row>
    <row r="413" spans="1:9" ht="15" customHeight="1">
      <c r="A413" s="455" t="s">
        <v>1936</v>
      </c>
      <c r="B413" s="454"/>
    </row>
    <row r="414" spans="1:9" ht="15" customHeight="1">
      <c r="A414" s="535" t="s">
        <v>1995</v>
      </c>
      <c r="B414" s="454">
        <f>(B412+B413)*0.245</f>
        <v>10.211600000000001</v>
      </c>
    </row>
    <row r="415" spans="1:9" ht="15" customHeight="1">
      <c r="A415" s="350" t="s">
        <v>98</v>
      </c>
      <c r="B415" s="462">
        <f>SUM(B412:B414)</f>
        <v>51.891600000000011</v>
      </c>
      <c r="H415" s="473"/>
      <c r="I415" s="130" t="s">
        <v>1940</v>
      </c>
    </row>
    <row r="416" spans="1:9" ht="11.25" customHeight="1">
      <c r="A416" s="429"/>
      <c r="B416" s="430"/>
      <c r="C416" s="431"/>
      <c r="D416" s="429"/>
      <c r="E416" s="430"/>
      <c r="F416" s="430"/>
      <c r="G416" s="430"/>
      <c r="H416" s="429"/>
    </row>
    <row r="417" spans="1:9" ht="11.25" customHeight="1">
      <c r="A417" s="337"/>
      <c r="B417" s="334"/>
      <c r="C417" s="336"/>
      <c r="D417" s="337"/>
      <c r="E417" s="334"/>
      <c r="F417" s="334"/>
      <c r="G417" s="334"/>
      <c r="H417" s="337"/>
    </row>
    <row r="418" spans="1:9" ht="11.25" customHeight="1">
      <c r="A418" s="130" t="s">
        <v>542</v>
      </c>
      <c r="B418" s="565"/>
      <c r="C418" s="565"/>
      <c r="D418" s="565"/>
      <c r="E418" s="565"/>
      <c r="F418" s="565"/>
      <c r="G418" s="565"/>
    </row>
    <row r="419" spans="1:9" ht="16.5" customHeight="1">
      <c r="A419" s="148" t="s">
        <v>2132</v>
      </c>
      <c r="B419" s="577"/>
      <c r="C419" s="577"/>
      <c r="D419" s="577"/>
      <c r="E419" s="577"/>
      <c r="F419" s="577"/>
      <c r="G419" s="577"/>
    </row>
    <row r="420" spans="1:9" ht="17.25" customHeight="1">
      <c r="A420" s="594" t="s">
        <v>959</v>
      </c>
      <c r="B420" s="594" t="s">
        <v>1675</v>
      </c>
      <c r="C420" s="590" t="s">
        <v>682</v>
      </c>
      <c r="D420" s="594"/>
      <c r="E420" s="130"/>
      <c r="F420" s="130"/>
      <c r="G420" s="577"/>
    </row>
    <row r="421" spans="1:9" ht="26.25" customHeight="1">
      <c r="A421" s="872" t="s">
        <v>30</v>
      </c>
      <c r="B421" s="420" t="s">
        <v>19</v>
      </c>
      <c r="C421" s="343" t="s">
        <v>82</v>
      </c>
      <c r="D421" s="870" t="s">
        <v>79</v>
      </c>
      <c r="E421" s="870" t="s">
        <v>83</v>
      </c>
      <c r="F421" s="345" t="s">
        <v>84</v>
      </c>
      <c r="G421" s="421" t="s">
        <v>85</v>
      </c>
    </row>
    <row r="422" spans="1:9" ht="27.75" customHeight="1">
      <c r="A422" s="883" t="s">
        <v>1676</v>
      </c>
      <c r="B422" s="882" t="s">
        <v>1677</v>
      </c>
      <c r="C422" s="343" t="s">
        <v>89</v>
      </c>
      <c r="D422" s="871" t="s">
        <v>682</v>
      </c>
      <c r="E422" s="868">
        <v>1.1000000000000001</v>
      </c>
      <c r="F422" s="348">
        <v>63.77</v>
      </c>
      <c r="G422" s="369">
        <f>TRUNC(E422*F422,2)</f>
        <v>70.14</v>
      </c>
    </row>
    <row r="423" spans="1:9" ht="15" customHeight="1">
      <c r="A423" s="1308" t="s">
        <v>688</v>
      </c>
      <c r="B423" s="1310" t="s">
        <v>106</v>
      </c>
      <c r="C423" s="343" t="s">
        <v>102</v>
      </c>
      <c r="D423" s="1364" t="s">
        <v>345</v>
      </c>
      <c r="E423" s="1315">
        <v>2.5</v>
      </c>
      <c r="F423" s="348">
        <f>'COMP AUX'!G104</f>
        <v>11.1</v>
      </c>
      <c r="G423" s="369">
        <f t="shared" ref="G423" si="28">TRUNC(E423*F423,2)</f>
        <v>27.75</v>
      </c>
    </row>
    <row r="424" spans="1:9" ht="15" customHeight="1">
      <c r="A424" s="1309"/>
      <c r="B424" s="1342"/>
      <c r="C424" s="343" t="s">
        <v>89</v>
      </c>
      <c r="D424" s="1365"/>
      <c r="E424" s="1316"/>
      <c r="F424" s="348">
        <f>'COMP AUX'!G105</f>
        <v>4.5600000000000005</v>
      </c>
      <c r="G424" s="369">
        <f>TRUNC(E423*F424,2)</f>
        <v>11.4</v>
      </c>
    </row>
    <row r="425" spans="1:9" ht="15" customHeight="1">
      <c r="E425" s="596"/>
      <c r="F425" s="460" t="s">
        <v>92</v>
      </c>
      <c r="G425" s="369">
        <f>G423</f>
        <v>27.75</v>
      </c>
    </row>
    <row r="426" spans="1:9" ht="15" customHeight="1">
      <c r="E426" s="146"/>
      <c r="F426" s="351" t="s">
        <v>94</v>
      </c>
      <c r="G426" s="369">
        <f>G422+G424</f>
        <v>81.540000000000006</v>
      </c>
    </row>
    <row r="427" spans="1:9" ht="15" customHeight="1">
      <c r="A427" s="130" t="s">
        <v>96</v>
      </c>
      <c r="E427" s="146"/>
      <c r="F427" s="351" t="s">
        <v>95</v>
      </c>
      <c r="G427" s="370">
        <f>SUM(G425:G426)</f>
        <v>109.29</v>
      </c>
    </row>
    <row r="428" spans="1:9" ht="15" customHeight="1">
      <c r="A428" s="350" t="s">
        <v>97</v>
      </c>
      <c r="B428" s="461">
        <f>G427</f>
        <v>109.29</v>
      </c>
    </row>
    <row r="429" spans="1:9" ht="15" customHeight="1">
      <c r="A429" s="455" t="s">
        <v>1936</v>
      </c>
      <c r="B429" s="454"/>
    </row>
    <row r="430" spans="1:9" ht="15" customHeight="1">
      <c r="A430" s="535" t="s">
        <v>1995</v>
      </c>
      <c r="B430" s="454">
        <f>(B428+B429)*0.245</f>
        <v>26.776050000000001</v>
      </c>
    </row>
    <row r="431" spans="1:9" ht="15" customHeight="1">
      <c r="A431" s="350" t="s">
        <v>98</v>
      </c>
      <c r="B431" s="462">
        <f>SUM(B428:B430)</f>
        <v>136.06605000000002</v>
      </c>
      <c r="H431" s="473"/>
      <c r="I431" s="130" t="s">
        <v>1940</v>
      </c>
    </row>
    <row r="432" spans="1:9" ht="11.25" customHeight="1">
      <c r="A432" s="429"/>
      <c r="B432" s="430"/>
      <c r="C432" s="431"/>
      <c r="D432" s="429"/>
      <c r="E432" s="430"/>
      <c r="F432" s="430"/>
      <c r="G432" s="430"/>
      <c r="H432" s="429"/>
    </row>
    <row r="433" spans="1:8" ht="11.25" customHeight="1">
      <c r="A433" s="337"/>
      <c r="B433" s="334"/>
      <c r="C433" s="336"/>
      <c r="D433" s="337"/>
      <c r="E433" s="334"/>
      <c r="F433" s="334"/>
      <c r="G433" s="334"/>
      <c r="H433" s="337"/>
    </row>
    <row r="434" spans="1:8" ht="11.25" customHeight="1">
      <c r="A434" s="130" t="s">
        <v>542</v>
      </c>
      <c r="B434" s="565"/>
      <c r="C434" s="565"/>
      <c r="D434" s="565"/>
      <c r="E434" s="565"/>
      <c r="F434" s="565"/>
      <c r="G434" s="565"/>
      <c r="H434" s="337"/>
    </row>
    <row r="435" spans="1:8" ht="15.75" customHeight="1">
      <c r="A435" s="148" t="s">
        <v>2130</v>
      </c>
      <c r="B435" s="577"/>
      <c r="C435" s="577"/>
      <c r="D435" s="577"/>
      <c r="E435" s="577"/>
      <c r="F435" s="577"/>
      <c r="G435" s="577"/>
      <c r="H435" s="337"/>
    </row>
    <row r="436" spans="1:8" ht="24.75" customHeight="1">
      <c r="A436" s="594" t="s">
        <v>961</v>
      </c>
      <c r="B436" s="594" t="s">
        <v>2131</v>
      </c>
      <c r="C436" s="590" t="s">
        <v>685</v>
      </c>
      <c r="E436" s="130"/>
      <c r="F436" s="130"/>
      <c r="G436" s="577"/>
      <c r="H436" s="337"/>
    </row>
    <row r="437" spans="1:8" ht="25.5" customHeight="1">
      <c r="A437" s="913" t="s">
        <v>30</v>
      </c>
      <c r="B437" s="420" t="s">
        <v>19</v>
      </c>
      <c r="C437" s="343" t="s">
        <v>82</v>
      </c>
      <c r="D437" s="915" t="s">
        <v>79</v>
      </c>
      <c r="E437" s="915" t="s">
        <v>83</v>
      </c>
      <c r="F437" s="345" t="s">
        <v>84</v>
      </c>
      <c r="G437" s="421" t="s">
        <v>85</v>
      </c>
      <c r="H437" s="337"/>
    </row>
    <row r="438" spans="1:8" ht="15" customHeight="1">
      <c r="A438" s="913" t="s">
        <v>887</v>
      </c>
      <c r="B438" s="914" t="s">
        <v>888</v>
      </c>
      <c r="C438" s="343" t="s">
        <v>89</v>
      </c>
      <c r="D438" s="915" t="s">
        <v>685</v>
      </c>
      <c r="E438" s="915">
        <v>1.03E-2</v>
      </c>
      <c r="F438" s="915">
        <v>8.6199999999999992</v>
      </c>
      <c r="G438" s="346">
        <f t="shared" ref="G438:G439" si="29">TRUNC(E438*F438,2)</f>
        <v>0.08</v>
      </c>
      <c r="H438" s="337"/>
    </row>
    <row r="439" spans="1:8" ht="36.75" customHeight="1">
      <c r="A439" s="913" t="s">
        <v>1853</v>
      </c>
      <c r="B439" s="914" t="s">
        <v>1854</v>
      </c>
      <c r="C439" s="343" t="s">
        <v>89</v>
      </c>
      <c r="D439" s="915" t="s">
        <v>344</v>
      </c>
      <c r="E439" s="915">
        <v>1.03</v>
      </c>
      <c r="F439" s="915">
        <v>5.01</v>
      </c>
      <c r="G439" s="346">
        <f t="shared" si="29"/>
        <v>5.16</v>
      </c>
      <c r="H439" s="337"/>
    </row>
    <row r="440" spans="1:8" ht="15" customHeight="1">
      <c r="A440" s="1347" t="s">
        <v>908</v>
      </c>
      <c r="B440" s="1310" t="s">
        <v>754</v>
      </c>
      <c r="C440" s="343" t="s">
        <v>102</v>
      </c>
      <c r="D440" s="1364" t="s">
        <v>345</v>
      </c>
      <c r="E440" s="1364">
        <v>0.02</v>
      </c>
      <c r="F440" s="348">
        <f>'COMP AUX'!G168</f>
        <v>14.81</v>
      </c>
      <c r="G440" s="369">
        <f>TRUNC(E440*F440,2)</f>
        <v>0.28999999999999998</v>
      </c>
      <c r="H440" s="337"/>
    </row>
    <row r="441" spans="1:8" ht="15" customHeight="1">
      <c r="A441" s="1348"/>
      <c r="B441" s="1311"/>
      <c r="C441" s="343" t="s">
        <v>89</v>
      </c>
      <c r="D441" s="1365"/>
      <c r="E441" s="1365"/>
      <c r="F441" s="348">
        <f>'COMP AUX'!G169</f>
        <v>4.5600000000000005</v>
      </c>
      <c r="G441" s="369">
        <f>TRUNC(E440*F441,2)</f>
        <v>0.09</v>
      </c>
      <c r="H441" s="337"/>
    </row>
    <row r="442" spans="1:8" ht="15" customHeight="1">
      <c r="A442" s="1317" t="s">
        <v>688</v>
      </c>
      <c r="B442" s="1310" t="s">
        <v>106</v>
      </c>
      <c r="C442" s="343" t="s">
        <v>102</v>
      </c>
      <c r="D442" s="1314" t="s">
        <v>345</v>
      </c>
      <c r="E442" s="1378">
        <v>0.04</v>
      </c>
      <c r="F442" s="348">
        <f>'COMP AUX'!G104</f>
        <v>11.1</v>
      </c>
      <c r="G442" s="424">
        <f>TRUNC(E442*F442,2)</f>
        <v>0.44</v>
      </c>
      <c r="H442" s="337"/>
    </row>
    <row r="443" spans="1:8" ht="15" customHeight="1">
      <c r="A443" s="1318"/>
      <c r="B443" s="1311"/>
      <c r="C443" s="343" t="s">
        <v>89</v>
      </c>
      <c r="D443" s="1314"/>
      <c r="E443" s="1379"/>
      <c r="F443" s="348">
        <f>'COMP AUX'!G105</f>
        <v>4.5600000000000005</v>
      </c>
      <c r="G443" s="346">
        <f>TRUNC(E442*F443,2)</f>
        <v>0.18</v>
      </c>
      <c r="H443" s="337"/>
    </row>
    <row r="444" spans="1:8" ht="15" customHeight="1">
      <c r="E444" s="596"/>
      <c r="F444" s="460" t="s">
        <v>92</v>
      </c>
      <c r="G444" s="369">
        <f>G440+G442</f>
        <v>0.73</v>
      </c>
    </row>
    <row r="445" spans="1:8" ht="15" customHeight="1">
      <c r="E445" s="146"/>
      <c r="F445" s="351" t="s">
        <v>94</v>
      </c>
      <c r="G445" s="369">
        <f>G438+G439+G441+G443</f>
        <v>5.51</v>
      </c>
    </row>
    <row r="446" spans="1:8" ht="15" customHeight="1">
      <c r="A446" s="130" t="s">
        <v>96</v>
      </c>
      <c r="E446" s="146"/>
      <c r="F446" s="351" t="s">
        <v>95</v>
      </c>
      <c r="G446" s="370">
        <f>SUM(G444:G445)</f>
        <v>6.24</v>
      </c>
    </row>
    <row r="447" spans="1:8" ht="15" customHeight="1">
      <c r="A447" s="350" t="s">
        <v>97</v>
      </c>
      <c r="B447" s="461">
        <f>G446</f>
        <v>6.24</v>
      </c>
    </row>
    <row r="448" spans="1:8" ht="15" customHeight="1">
      <c r="A448" s="455" t="s">
        <v>1936</v>
      </c>
      <c r="B448" s="454"/>
    </row>
    <row r="449" spans="1:8" ht="15" customHeight="1">
      <c r="A449" s="535" t="s">
        <v>1995</v>
      </c>
      <c r="B449" s="454">
        <f>(B447+B448)*0.245</f>
        <v>1.5287999999999999</v>
      </c>
    </row>
    <row r="450" spans="1:8" ht="15" customHeight="1">
      <c r="A450" s="350" t="s">
        <v>98</v>
      </c>
      <c r="B450" s="462">
        <f>SUM(B447:B449)</f>
        <v>7.7688000000000006</v>
      </c>
    </row>
    <row r="451" spans="1:8" ht="11.25" customHeight="1">
      <c r="A451" s="429"/>
      <c r="B451" s="430"/>
      <c r="C451" s="431"/>
      <c r="D451" s="429"/>
      <c r="E451" s="430"/>
      <c r="F451" s="430"/>
      <c r="G451" s="430"/>
      <c r="H451" s="429"/>
    </row>
    <row r="452" spans="1:8" ht="11.25" customHeight="1">
      <c r="A452" s="337"/>
      <c r="B452" s="334"/>
      <c r="C452" s="336"/>
      <c r="D452" s="337"/>
      <c r="E452" s="334"/>
      <c r="F452" s="334"/>
      <c r="G452" s="334"/>
      <c r="H452" s="337"/>
    </row>
    <row r="453" spans="1:8" ht="11.25" customHeight="1">
      <c r="A453" s="130" t="s">
        <v>542</v>
      </c>
      <c r="B453" s="565"/>
      <c r="C453" s="565"/>
      <c r="D453" s="565"/>
      <c r="E453" s="565"/>
      <c r="F453" s="565"/>
      <c r="G453" s="565"/>
    </row>
    <row r="454" spans="1:8" ht="11.25" customHeight="1">
      <c r="A454" s="148" t="s">
        <v>2129</v>
      </c>
      <c r="B454" s="577"/>
      <c r="C454" s="577"/>
      <c r="D454" s="577"/>
      <c r="E454" s="577"/>
      <c r="F454" s="577"/>
      <c r="G454" s="577"/>
    </row>
    <row r="455" spans="1:8" ht="28.5" customHeight="1">
      <c r="A455" s="594" t="s">
        <v>961</v>
      </c>
      <c r="B455" s="594" t="s">
        <v>962</v>
      </c>
      <c r="C455" s="590" t="s">
        <v>685</v>
      </c>
      <c r="D455" s="594"/>
      <c r="F455" s="130"/>
      <c r="G455" s="577"/>
    </row>
    <row r="456" spans="1:8" ht="24.75" customHeight="1">
      <c r="A456" s="415" t="s">
        <v>30</v>
      </c>
      <c r="B456" s="420" t="s">
        <v>19</v>
      </c>
      <c r="C456" s="343" t="s">
        <v>82</v>
      </c>
      <c r="D456" s="556" t="s">
        <v>79</v>
      </c>
      <c r="E456" s="556" t="s">
        <v>83</v>
      </c>
      <c r="F456" s="345" t="s">
        <v>84</v>
      </c>
      <c r="G456" s="421" t="s">
        <v>85</v>
      </c>
    </row>
    <row r="457" spans="1:8" ht="15" customHeight="1">
      <c r="A457" s="415" t="s">
        <v>887</v>
      </c>
      <c r="B457" s="347" t="s">
        <v>888</v>
      </c>
      <c r="C457" s="343" t="s">
        <v>89</v>
      </c>
      <c r="D457" s="556" t="s">
        <v>685</v>
      </c>
      <c r="E457" s="556">
        <v>2.5000000000000001E-2</v>
      </c>
      <c r="F457" s="556">
        <v>8.6199999999999992</v>
      </c>
      <c r="G457" s="346">
        <f t="shared" ref="G457:G459" si="30">TRUNC(E457*F457,2)</f>
        <v>0.21</v>
      </c>
    </row>
    <row r="458" spans="1:8" ht="36.75" customHeight="1">
      <c r="A458" s="415" t="s">
        <v>906</v>
      </c>
      <c r="B458" s="347" t="s">
        <v>907</v>
      </c>
      <c r="C458" s="343" t="s">
        <v>89</v>
      </c>
      <c r="D458" s="556" t="s">
        <v>344</v>
      </c>
      <c r="E458" s="556">
        <v>0.72399999999999998</v>
      </c>
      <c r="F458" s="556">
        <v>0.14000000000000001</v>
      </c>
      <c r="G458" s="346">
        <f t="shared" si="30"/>
        <v>0.1</v>
      </c>
    </row>
    <row r="459" spans="1:8" ht="15" customHeight="1">
      <c r="A459" s="1347" t="s">
        <v>752</v>
      </c>
      <c r="B459" s="1310" t="s">
        <v>753</v>
      </c>
      <c r="C459" s="343" t="s">
        <v>102</v>
      </c>
      <c r="D459" s="1364" t="s">
        <v>345</v>
      </c>
      <c r="E459" s="1364">
        <v>3.7499999999999999E-2</v>
      </c>
      <c r="F459" s="348">
        <f>'COMP AUX'!G185</f>
        <v>10.31</v>
      </c>
      <c r="G459" s="369">
        <f t="shared" si="30"/>
        <v>0.38</v>
      </c>
    </row>
    <row r="460" spans="1:8" ht="15" customHeight="1">
      <c r="A460" s="1348"/>
      <c r="B460" s="1311"/>
      <c r="C460" s="343" t="s">
        <v>89</v>
      </c>
      <c r="D460" s="1365"/>
      <c r="E460" s="1365"/>
      <c r="F460" s="348">
        <f>'COMP AUX'!G186</f>
        <v>4.5600000000000005</v>
      </c>
      <c r="G460" s="369">
        <f>TRUNC(E459*F460,2)</f>
        <v>0.17</v>
      </c>
    </row>
    <row r="461" spans="1:8" ht="15" customHeight="1">
      <c r="A461" s="1347" t="s">
        <v>908</v>
      </c>
      <c r="B461" s="1310" t="s">
        <v>754</v>
      </c>
      <c r="C461" s="343" t="s">
        <v>102</v>
      </c>
      <c r="D461" s="1364" t="s">
        <v>345</v>
      </c>
      <c r="E461" s="1364">
        <v>0.11550000000000001</v>
      </c>
      <c r="F461" s="348">
        <f>'COMP AUX'!G168</f>
        <v>14.81</v>
      </c>
      <c r="G461" s="369">
        <f>TRUNC(E461*F461,2)</f>
        <v>1.71</v>
      </c>
    </row>
    <row r="462" spans="1:8" ht="15" customHeight="1">
      <c r="A462" s="1348"/>
      <c r="B462" s="1311"/>
      <c r="C462" s="343" t="s">
        <v>89</v>
      </c>
      <c r="D462" s="1365"/>
      <c r="E462" s="1365"/>
      <c r="F462" s="348">
        <f>'COMP AUX'!G169</f>
        <v>4.5600000000000005</v>
      </c>
      <c r="G462" s="369">
        <f>TRUNC(E461*F462,2)</f>
        <v>0.52</v>
      </c>
    </row>
    <row r="463" spans="1:8" ht="15" customHeight="1">
      <c r="A463" s="1347">
        <v>92793</v>
      </c>
      <c r="B463" s="1310" t="s">
        <v>2128</v>
      </c>
      <c r="C463" s="343" t="s">
        <v>102</v>
      </c>
      <c r="D463" s="1364" t="s">
        <v>685</v>
      </c>
      <c r="E463" s="1378">
        <v>1</v>
      </c>
      <c r="F463" s="348">
        <f>'COMP AUX'!G1064</f>
        <v>0.36</v>
      </c>
      <c r="G463" s="369">
        <f>TRUNC(E463*F463,2)</f>
        <v>0.36</v>
      </c>
    </row>
    <row r="464" spans="1:8" ht="15" customHeight="1">
      <c r="A464" s="1348"/>
      <c r="B464" s="1311"/>
      <c r="C464" s="343" t="s">
        <v>89</v>
      </c>
      <c r="D464" s="1365"/>
      <c r="E464" s="1379"/>
      <c r="F464" s="348">
        <f>'COMP AUX'!G1065</f>
        <v>5.68</v>
      </c>
      <c r="G464" s="369">
        <f>TRUNC(E463*F464,2)</f>
        <v>5.68</v>
      </c>
    </row>
    <row r="465" spans="1:9" ht="15" customHeight="1">
      <c r="E465" s="596"/>
      <c r="F465" s="460" t="s">
        <v>92</v>
      </c>
      <c r="G465" s="369">
        <f>G459+G461+G463</f>
        <v>2.4499999999999997</v>
      </c>
    </row>
    <row r="466" spans="1:9" ht="15" customHeight="1">
      <c r="E466" s="146"/>
      <c r="F466" s="351" t="s">
        <v>94</v>
      </c>
      <c r="G466" s="369">
        <f>G457+G458+G460+G462+G464</f>
        <v>6.68</v>
      </c>
    </row>
    <row r="467" spans="1:9" ht="15" customHeight="1">
      <c r="A467" s="130" t="s">
        <v>96</v>
      </c>
      <c r="E467" s="146"/>
      <c r="F467" s="351" t="s">
        <v>95</v>
      </c>
      <c r="G467" s="370">
        <f>SUM(G465:G466)</f>
        <v>9.129999999999999</v>
      </c>
    </row>
    <row r="468" spans="1:9" ht="15" customHeight="1">
      <c r="A468" s="350" t="s">
        <v>97</v>
      </c>
      <c r="B468" s="461">
        <f>G467</f>
        <v>9.129999999999999</v>
      </c>
    </row>
    <row r="469" spans="1:9" ht="15" customHeight="1">
      <c r="A469" s="455" t="s">
        <v>1936</v>
      </c>
      <c r="B469" s="454"/>
    </row>
    <row r="470" spans="1:9" ht="15" customHeight="1">
      <c r="A470" s="535" t="s">
        <v>1995</v>
      </c>
      <c r="B470" s="454">
        <f>(B468+B469)*0.245</f>
        <v>2.2368499999999996</v>
      </c>
    </row>
    <row r="471" spans="1:9" ht="15" customHeight="1">
      <c r="A471" s="350" t="s">
        <v>98</v>
      </c>
      <c r="B471" s="462">
        <f>SUM(B468:B470)</f>
        <v>11.366849999999999</v>
      </c>
      <c r="H471" s="473"/>
      <c r="I471" s="130" t="s">
        <v>1940</v>
      </c>
    </row>
    <row r="472" spans="1:9" ht="11.25" customHeight="1">
      <c r="A472" s="429"/>
      <c r="B472" s="430"/>
      <c r="C472" s="431"/>
      <c r="D472" s="429"/>
      <c r="E472" s="430"/>
      <c r="F472" s="430"/>
      <c r="G472" s="430"/>
      <c r="H472" s="429"/>
    </row>
    <row r="473" spans="1:9" ht="11.25" customHeight="1">
      <c r="A473" s="337"/>
      <c r="B473" s="334"/>
      <c r="C473" s="336"/>
      <c r="D473" s="337"/>
      <c r="E473" s="334"/>
      <c r="F473" s="334"/>
      <c r="G473" s="334"/>
      <c r="H473" s="337"/>
    </row>
    <row r="474" spans="1:9" ht="11.25" customHeight="1">
      <c r="A474" s="130" t="s">
        <v>542</v>
      </c>
      <c r="B474" s="565"/>
      <c r="C474" s="565"/>
      <c r="D474" s="565"/>
      <c r="E474" s="565"/>
      <c r="F474" s="565"/>
      <c r="G474" s="565"/>
    </row>
    <row r="475" spans="1:9" ht="14.25" customHeight="1">
      <c r="A475" s="148" t="s">
        <v>2135</v>
      </c>
      <c r="B475" s="577"/>
      <c r="C475" s="577"/>
      <c r="D475" s="577"/>
      <c r="E475" s="577"/>
      <c r="F475" s="577"/>
      <c r="G475" s="577"/>
    </row>
    <row r="476" spans="1:9" ht="26.25" customHeight="1">
      <c r="A476" s="594" t="s">
        <v>959</v>
      </c>
      <c r="B476" s="594" t="s">
        <v>963</v>
      </c>
      <c r="C476" s="590" t="s">
        <v>685</v>
      </c>
      <c r="D476" s="594"/>
      <c r="F476" s="130"/>
      <c r="G476" s="577"/>
    </row>
    <row r="477" spans="1:9" ht="25.5" customHeight="1">
      <c r="A477" s="415" t="s">
        <v>30</v>
      </c>
      <c r="B477" s="420" t="s">
        <v>19</v>
      </c>
      <c r="C477" s="343" t="s">
        <v>82</v>
      </c>
      <c r="D477" s="556" t="s">
        <v>79</v>
      </c>
      <c r="E477" s="556" t="s">
        <v>83</v>
      </c>
      <c r="F477" s="345" t="s">
        <v>84</v>
      </c>
      <c r="G477" s="421" t="s">
        <v>85</v>
      </c>
    </row>
    <row r="478" spans="1:9" ht="15" customHeight="1">
      <c r="A478" s="415" t="s">
        <v>887</v>
      </c>
      <c r="B478" s="347" t="s">
        <v>888</v>
      </c>
      <c r="C478" s="343" t="s">
        <v>89</v>
      </c>
      <c r="D478" s="556" t="s">
        <v>685</v>
      </c>
      <c r="E478" s="556">
        <v>2.5000000000000001E-2</v>
      </c>
      <c r="F478" s="556">
        <v>8.6199999999999992</v>
      </c>
      <c r="G478" s="346">
        <f t="shared" ref="G478:G480" si="31">TRUNC(E478*F478,2)</f>
        <v>0.21</v>
      </c>
    </row>
    <row r="479" spans="1:9" ht="39.75" customHeight="1">
      <c r="A479" s="415" t="s">
        <v>906</v>
      </c>
      <c r="B479" s="347" t="s">
        <v>907</v>
      </c>
      <c r="C479" s="343" t="s">
        <v>89</v>
      </c>
      <c r="D479" s="556" t="s">
        <v>344</v>
      </c>
      <c r="E479" s="556">
        <v>0.46550000000000002</v>
      </c>
      <c r="F479" s="556">
        <v>0.14000000000000001</v>
      </c>
      <c r="G479" s="346">
        <f t="shared" si="31"/>
        <v>0.06</v>
      </c>
    </row>
    <row r="480" spans="1:9" ht="15" customHeight="1">
      <c r="A480" s="1347" t="s">
        <v>752</v>
      </c>
      <c r="B480" s="1310" t="s">
        <v>753</v>
      </c>
      <c r="C480" s="343" t="s">
        <v>102</v>
      </c>
      <c r="D480" s="1364" t="s">
        <v>345</v>
      </c>
      <c r="E480" s="1364">
        <v>2.9000000000000001E-2</v>
      </c>
      <c r="F480" s="348">
        <f>'COMP AUX'!G185</f>
        <v>10.31</v>
      </c>
      <c r="G480" s="369">
        <f t="shared" si="31"/>
        <v>0.28999999999999998</v>
      </c>
    </row>
    <row r="481" spans="1:9" ht="15" customHeight="1">
      <c r="A481" s="1348"/>
      <c r="B481" s="1311"/>
      <c r="C481" s="343" t="s">
        <v>89</v>
      </c>
      <c r="D481" s="1365"/>
      <c r="E481" s="1365"/>
      <c r="F481" s="348">
        <f>'COMP AUX'!G186</f>
        <v>4.5600000000000005</v>
      </c>
      <c r="G481" s="369">
        <f>TRUNC(E480*F481,2)</f>
        <v>0.13</v>
      </c>
    </row>
    <row r="482" spans="1:9" ht="15" customHeight="1">
      <c r="A482" s="1347" t="s">
        <v>908</v>
      </c>
      <c r="B482" s="1310" t="s">
        <v>754</v>
      </c>
      <c r="C482" s="343" t="s">
        <v>102</v>
      </c>
      <c r="D482" s="1364" t="s">
        <v>345</v>
      </c>
      <c r="E482" s="1364">
        <v>8.8999999999999996E-2</v>
      </c>
      <c r="F482" s="348">
        <f>'COMP AUX'!G168</f>
        <v>14.81</v>
      </c>
      <c r="G482" s="369">
        <f>TRUNC(E482*F482,2)</f>
        <v>1.31</v>
      </c>
    </row>
    <row r="483" spans="1:9" ht="15" customHeight="1">
      <c r="A483" s="1348"/>
      <c r="B483" s="1311"/>
      <c r="C483" s="343" t="s">
        <v>89</v>
      </c>
      <c r="D483" s="1365"/>
      <c r="E483" s="1365"/>
      <c r="F483" s="348">
        <f>'COMP AUX'!G169</f>
        <v>4.5600000000000005</v>
      </c>
      <c r="G483" s="369">
        <f>TRUNC(E482*F483,2)</f>
        <v>0.4</v>
      </c>
    </row>
    <row r="484" spans="1:9" ht="15" customHeight="1">
      <c r="A484" s="1347" t="s">
        <v>910</v>
      </c>
      <c r="B484" s="1310" t="s">
        <v>2136</v>
      </c>
      <c r="C484" s="343" t="s">
        <v>102</v>
      </c>
      <c r="D484" s="1364" t="s">
        <v>685</v>
      </c>
      <c r="E484" s="1378">
        <v>1</v>
      </c>
      <c r="F484" s="348">
        <f>'COMP AUX'!G1078</f>
        <v>0.19</v>
      </c>
      <c r="G484" s="369">
        <f>TRUNC(E484*F484,2)</f>
        <v>0.19</v>
      </c>
    </row>
    <row r="485" spans="1:9" ht="15" customHeight="1">
      <c r="A485" s="1348"/>
      <c r="B485" s="1311"/>
      <c r="C485" s="343" t="s">
        <v>89</v>
      </c>
      <c r="D485" s="1365"/>
      <c r="E485" s="1379"/>
      <c r="F485" s="348">
        <f>'COMP AUX'!G1079</f>
        <v>4.78</v>
      </c>
      <c r="G485" s="369">
        <f>TRUNC(E484*F485,2)</f>
        <v>4.78</v>
      </c>
    </row>
    <row r="486" spans="1:9" ht="15" customHeight="1">
      <c r="E486" s="596"/>
      <c r="F486" s="460" t="s">
        <v>92</v>
      </c>
      <c r="G486" s="369">
        <f>G480+G482+G484</f>
        <v>1.79</v>
      </c>
    </row>
    <row r="487" spans="1:9" ht="15" customHeight="1">
      <c r="E487" s="146"/>
      <c r="F487" s="351" t="s">
        <v>94</v>
      </c>
      <c r="G487" s="369">
        <f>G478+G479+G481+G483+G485</f>
        <v>5.58</v>
      </c>
    </row>
    <row r="488" spans="1:9" ht="15" customHeight="1">
      <c r="A488" s="130" t="s">
        <v>96</v>
      </c>
      <c r="E488" s="146"/>
      <c r="F488" s="351" t="s">
        <v>95</v>
      </c>
      <c r="G488" s="370">
        <f>SUM(G486:G487)</f>
        <v>7.37</v>
      </c>
    </row>
    <row r="489" spans="1:9" ht="15" customHeight="1">
      <c r="A489" s="350" t="s">
        <v>97</v>
      </c>
      <c r="B489" s="461">
        <f>G488</f>
        <v>7.37</v>
      </c>
    </row>
    <row r="490" spans="1:9" ht="15" customHeight="1">
      <c r="A490" s="455" t="s">
        <v>1936</v>
      </c>
      <c r="B490" s="454"/>
    </row>
    <row r="491" spans="1:9" ht="15" customHeight="1">
      <c r="A491" s="535" t="s">
        <v>1995</v>
      </c>
      <c r="B491" s="454">
        <f>(B489+B490)*0.245</f>
        <v>1.80565</v>
      </c>
    </row>
    <row r="492" spans="1:9" ht="15" customHeight="1">
      <c r="A492" s="350" t="s">
        <v>98</v>
      </c>
      <c r="B492" s="462">
        <f>SUM(B489:B491)</f>
        <v>9.175650000000001</v>
      </c>
      <c r="H492" s="473"/>
      <c r="I492" s="130" t="s">
        <v>1940</v>
      </c>
    </row>
    <row r="493" spans="1:9" ht="11.25" customHeight="1">
      <c r="A493" s="429"/>
      <c r="B493" s="430"/>
      <c r="C493" s="431"/>
      <c r="D493" s="429"/>
      <c r="E493" s="430"/>
      <c r="F493" s="430"/>
      <c r="G493" s="430"/>
      <c r="H493" s="429"/>
    </row>
    <row r="494" spans="1:9" ht="11.25" customHeight="1">
      <c r="A494" s="337"/>
      <c r="B494" s="334"/>
      <c r="C494" s="336"/>
      <c r="D494" s="337"/>
      <c r="E494" s="334"/>
      <c r="F494" s="334"/>
      <c r="G494" s="334"/>
      <c r="H494" s="337"/>
    </row>
    <row r="495" spans="1:9" ht="11.25" customHeight="1">
      <c r="A495" s="130" t="s">
        <v>542</v>
      </c>
      <c r="H495" s="337"/>
    </row>
    <row r="496" spans="1:9" ht="11.25" customHeight="1">
      <c r="A496" s="148" t="s">
        <v>1845</v>
      </c>
      <c r="H496" s="337"/>
    </row>
    <row r="497" spans="1:8" ht="24" customHeight="1">
      <c r="A497" s="418" t="s">
        <v>933</v>
      </c>
      <c r="B497" s="1420" t="s">
        <v>1846</v>
      </c>
      <c r="C497" s="1420"/>
      <c r="D497" s="1420"/>
      <c r="E497" s="950" t="s">
        <v>858</v>
      </c>
      <c r="G497" s="419"/>
      <c r="H497" s="337"/>
    </row>
    <row r="498" spans="1:8" ht="24" customHeight="1">
      <c r="A498" s="913" t="s">
        <v>30</v>
      </c>
      <c r="B498" s="420" t="s">
        <v>19</v>
      </c>
      <c r="C498" s="343" t="s">
        <v>82</v>
      </c>
      <c r="D498" s="915" t="s">
        <v>79</v>
      </c>
      <c r="E498" s="915" t="s">
        <v>83</v>
      </c>
      <c r="F498" s="345" t="s">
        <v>84</v>
      </c>
      <c r="G498" s="421" t="s">
        <v>85</v>
      </c>
      <c r="H498" s="337"/>
    </row>
    <row r="499" spans="1:8" ht="15" customHeight="1">
      <c r="A499" s="1421">
        <v>88262</v>
      </c>
      <c r="B499" s="1370" t="s">
        <v>970</v>
      </c>
      <c r="C499" s="343" t="s">
        <v>102</v>
      </c>
      <c r="D499" s="1314" t="s">
        <v>345</v>
      </c>
      <c r="E499" s="1315">
        <v>2.7690000000000001</v>
      </c>
      <c r="F499" s="348">
        <f>'COMP AUX'!G87</f>
        <v>14.81</v>
      </c>
      <c r="G499" s="424">
        <f>TRUNC(E499*F499,2)</f>
        <v>41</v>
      </c>
      <c r="H499" s="337"/>
    </row>
    <row r="500" spans="1:8" ht="15" customHeight="1">
      <c r="A500" s="1421"/>
      <c r="B500" s="1370"/>
      <c r="C500" s="343" t="s">
        <v>89</v>
      </c>
      <c r="D500" s="1314"/>
      <c r="E500" s="1316"/>
      <c r="F500" s="348">
        <f>'COMP AUX'!G88</f>
        <v>4.5600000000000005</v>
      </c>
      <c r="G500" s="346">
        <f>TRUNC(E499*F500,2)</f>
        <v>12.62</v>
      </c>
      <c r="H500" s="337"/>
    </row>
    <row r="501" spans="1:8" ht="15" customHeight="1">
      <c r="A501" s="1421">
        <v>88239</v>
      </c>
      <c r="B501" s="1351" t="s">
        <v>395</v>
      </c>
      <c r="C501" s="343" t="s">
        <v>102</v>
      </c>
      <c r="D501" s="1314" t="s">
        <v>345</v>
      </c>
      <c r="E501" s="1364">
        <v>1.0860000000000001</v>
      </c>
      <c r="F501" s="348">
        <f>'COMP AUX'!G202</f>
        <v>13.9</v>
      </c>
      <c r="G501" s="346">
        <f>TRUNC(E501*F501,2)</f>
        <v>15.09</v>
      </c>
      <c r="H501" s="337"/>
    </row>
    <row r="502" spans="1:8" ht="15" customHeight="1">
      <c r="A502" s="1421"/>
      <c r="B502" s="1352"/>
      <c r="C502" s="343" t="s">
        <v>89</v>
      </c>
      <c r="D502" s="1314"/>
      <c r="E502" s="1365"/>
      <c r="F502" s="348">
        <f>'COMP AUX'!G203</f>
        <v>4.5600000000000005</v>
      </c>
      <c r="G502" s="346">
        <f>TRUNC(E501*F502,2)</f>
        <v>4.95</v>
      </c>
      <c r="H502" s="337"/>
    </row>
    <row r="503" spans="1:8" ht="26.25" customHeight="1">
      <c r="A503" s="922" t="s">
        <v>971</v>
      </c>
      <c r="B503" s="914" t="s">
        <v>972</v>
      </c>
      <c r="C503" s="343" t="s">
        <v>89</v>
      </c>
      <c r="D503" s="915" t="s">
        <v>560</v>
      </c>
      <c r="E503" s="629">
        <v>1.7000000000000001E-2</v>
      </c>
      <c r="F503" s="915">
        <v>5.55</v>
      </c>
      <c r="G503" s="346">
        <f>TRUNC(E503*F503,2)</f>
        <v>0.09</v>
      </c>
      <c r="H503" s="337"/>
    </row>
    <row r="504" spans="1:8" ht="21.75" customHeight="1">
      <c r="A504" s="922" t="s">
        <v>1847</v>
      </c>
      <c r="B504" s="914" t="s">
        <v>1850</v>
      </c>
      <c r="C504" s="343" t="s">
        <v>89</v>
      </c>
      <c r="D504" s="915" t="s">
        <v>346</v>
      </c>
      <c r="E504" s="916">
        <v>0.37</v>
      </c>
      <c r="F504" s="915">
        <v>4.33</v>
      </c>
      <c r="G504" s="369">
        <f t="shared" ref="G504:G507" si="32">TRUNC(E504*F504,2)</f>
        <v>1.6</v>
      </c>
      <c r="H504" s="337"/>
    </row>
    <row r="505" spans="1:8" ht="24.75" customHeight="1">
      <c r="A505" s="922" t="s">
        <v>973</v>
      </c>
      <c r="B505" s="914" t="s">
        <v>866</v>
      </c>
      <c r="C505" s="343" t="s">
        <v>89</v>
      </c>
      <c r="D505" s="915" t="s">
        <v>346</v>
      </c>
      <c r="E505" s="916">
        <v>0.44</v>
      </c>
      <c r="F505" s="915">
        <v>1.17</v>
      </c>
      <c r="G505" s="369">
        <f t="shared" si="32"/>
        <v>0.51</v>
      </c>
      <c r="H505" s="337"/>
    </row>
    <row r="506" spans="1:8" ht="25.5" customHeight="1">
      <c r="A506" s="922" t="s">
        <v>1848</v>
      </c>
      <c r="B506" s="914" t="s">
        <v>1851</v>
      </c>
      <c r="C506" s="343" t="s">
        <v>89</v>
      </c>
      <c r="D506" s="915" t="s">
        <v>685</v>
      </c>
      <c r="E506" s="916">
        <v>3.9E-2</v>
      </c>
      <c r="F506" s="915">
        <v>9.15</v>
      </c>
      <c r="G506" s="369">
        <f t="shared" si="32"/>
        <v>0.35</v>
      </c>
      <c r="H506" s="337"/>
    </row>
    <row r="507" spans="1:8" ht="22.5" customHeight="1">
      <c r="A507" s="922" t="s">
        <v>1849</v>
      </c>
      <c r="B507" s="914" t="s">
        <v>1852</v>
      </c>
      <c r="C507" s="343" t="s">
        <v>89</v>
      </c>
      <c r="D507" s="915" t="s">
        <v>346</v>
      </c>
      <c r="E507" s="916">
        <v>1.38</v>
      </c>
      <c r="F507" s="915">
        <v>3.58</v>
      </c>
      <c r="G507" s="369">
        <f t="shared" si="32"/>
        <v>4.9400000000000004</v>
      </c>
      <c r="H507" s="337"/>
    </row>
    <row r="508" spans="1:8" ht="15" customHeight="1">
      <c r="E508" s="596"/>
      <c r="F508" s="427" t="s">
        <v>92</v>
      </c>
      <c r="G508" s="379">
        <f>G499+G501</f>
        <v>56.09</v>
      </c>
    </row>
    <row r="509" spans="1:8" ht="15" customHeight="1">
      <c r="E509" s="146"/>
      <c r="F509" s="351" t="s">
        <v>94</v>
      </c>
      <c r="G509" s="369">
        <f>G500+G502+G503+G504+G505+G506+G507</f>
        <v>25.060000000000006</v>
      </c>
    </row>
    <row r="510" spans="1:8" ht="15" customHeight="1">
      <c r="A510" s="130" t="s">
        <v>96</v>
      </c>
      <c r="E510" s="146"/>
      <c r="F510" s="351" t="s">
        <v>95</v>
      </c>
      <c r="G510" s="370">
        <f>SUM(G508:G509)</f>
        <v>81.150000000000006</v>
      </c>
    </row>
    <row r="511" spans="1:8" ht="15" customHeight="1">
      <c r="A511" s="350" t="s">
        <v>97</v>
      </c>
      <c r="B511" s="461">
        <f>G510</f>
        <v>81.150000000000006</v>
      </c>
    </row>
    <row r="512" spans="1:8" ht="15" customHeight="1">
      <c r="A512" s="455" t="s">
        <v>1936</v>
      </c>
      <c r="B512" s="454"/>
    </row>
    <row r="513" spans="1:8" ht="15" customHeight="1">
      <c r="A513" s="535" t="s">
        <v>1995</v>
      </c>
      <c r="B513" s="454">
        <f>(B511+B512)*0.245</f>
        <v>19.88175</v>
      </c>
    </row>
    <row r="514" spans="1:8" ht="15" customHeight="1">
      <c r="A514" s="350" t="s">
        <v>98</v>
      </c>
      <c r="B514" s="462">
        <f>SUM(B511:B513)</f>
        <v>101.03175</v>
      </c>
      <c r="H514" s="473"/>
    </row>
    <row r="515" spans="1:8" ht="11.25" customHeight="1">
      <c r="A515" s="429"/>
      <c r="B515" s="430"/>
      <c r="C515" s="431"/>
      <c r="D515" s="429"/>
      <c r="E515" s="430"/>
      <c r="F515" s="430"/>
      <c r="G515" s="430"/>
      <c r="H515" s="429"/>
    </row>
    <row r="516" spans="1:8" ht="11.25" customHeight="1">
      <c r="A516" s="337"/>
      <c r="B516" s="334"/>
      <c r="C516" s="336"/>
      <c r="D516" s="337"/>
      <c r="E516" s="334"/>
      <c r="F516" s="334"/>
      <c r="G516" s="334"/>
      <c r="H516" s="337"/>
    </row>
    <row r="517" spans="1:8" ht="14.1" customHeight="1">
      <c r="A517" s="130" t="s">
        <v>542</v>
      </c>
    </row>
    <row r="518" spans="1:8" ht="14.1" customHeight="1">
      <c r="A518" s="148" t="s">
        <v>976</v>
      </c>
    </row>
    <row r="519" spans="1:8" ht="25.5" customHeight="1">
      <c r="A519" s="418" t="s">
        <v>933</v>
      </c>
      <c r="B519" s="418" t="s">
        <v>2429</v>
      </c>
      <c r="C519" s="419" t="s">
        <v>682</v>
      </c>
      <c r="D519" s="418"/>
      <c r="E519" s="418"/>
      <c r="G519" s="419"/>
    </row>
    <row r="520" spans="1:8" ht="31.5" customHeight="1">
      <c r="A520" s="415" t="s">
        <v>30</v>
      </c>
      <c r="B520" s="420" t="s">
        <v>19</v>
      </c>
      <c r="C520" s="343" t="s">
        <v>82</v>
      </c>
      <c r="D520" s="563" t="s">
        <v>79</v>
      </c>
      <c r="E520" s="563" t="s">
        <v>83</v>
      </c>
      <c r="F520" s="345" t="s">
        <v>84</v>
      </c>
      <c r="G520" s="421" t="s">
        <v>85</v>
      </c>
    </row>
    <row r="521" spans="1:8" ht="15" customHeight="1">
      <c r="A521" s="1317" t="s">
        <v>688</v>
      </c>
      <c r="B521" s="1310" t="s">
        <v>106</v>
      </c>
      <c r="C521" s="343" t="s">
        <v>102</v>
      </c>
      <c r="D521" s="1314" t="s">
        <v>345</v>
      </c>
      <c r="E521" s="1315">
        <v>2.31</v>
      </c>
      <c r="F521" s="348">
        <f>'COMP AUX'!G104</f>
        <v>11.1</v>
      </c>
      <c r="G521" s="424">
        <f>TRUNC(E521*F521,2)</f>
        <v>25.64</v>
      </c>
    </row>
    <row r="522" spans="1:8" ht="15" customHeight="1">
      <c r="A522" s="1318"/>
      <c r="B522" s="1311"/>
      <c r="C522" s="343" t="s">
        <v>89</v>
      </c>
      <c r="D522" s="1314"/>
      <c r="E522" s="1316"/>
      <c r="F522" s="348">
        <f>'COMP AUX'!G105</f>
        <v>4.5600000000000005</v>
      </c>
      <c r="G522" s="346">
        <f>TRUNC(E521*F522,2)</f>
        <v>10.53</v>
      </c>
    </row>
    <row r="523" spans="1:8" ht="15" customHeight="1">
      <c r="A523" s="1421">
        <v>88377</v>
      </c>
      <c r="B523" s="1351" t="s">
        <v>690</v>
      </c>
      <c r="C523" s="343" t="s">
        <v>102</v>
      </c>
      <c r="D523" s="1314" t="s">
        <v>345</v>
      </c>
      <c r="E523" s="1364">
        <v>1.46</v>
      </c>
      <c r="F523" s="348">
        <f>'COMP AUX'!G861</f>
        <v>10.58</v>
      </c>
      <c r="G523" s="346">
        <f>TRUNC(E523*F523,2)</f>
        <v>15.44</v>
      </c>
    </row>
    <row r="524" spans="1:8" ht="15" customHeight="1">
      <c r="A524" s="1421"/>
      <c r="B524" s="1352"/>
      <c r="C524" s="343" t="s">
        <v>89</v>
      </c>
      <c r="D524" s="1314"/>
      <c r="E524" s="1365"/>
      <c r="F524" s="348">
        <f>'COMP AUX'!G862</f>
        <v>4.12</v>
      </c>
      <c r="G524" s="346">
        <f>TRUNC(E523*F524,2)</f>
        <v>6.01</v>
      </c>
    </row>
    <row r="525" spans="1:8" ht="38.25" customHeight="1">
      <c r="A525" s="562" t="s">
        <v>977</v>
      </c>
      <c r="B525" s="630" t="s">
        <v>978</v>
      </c>
      <c r="C525" s="343" t="s">
        <v>626</v>
      </c>
      <c r="D525" s="564" t="s">
        <v>643</v>
      </c>
      <c r="E525" s="564">
        <v>0.75</v>
      </c>
      <c r="F525" s="348">
        <f>'COMP AUX'!G1121</f>
        <v>1.04</v>
      </c>
      <c r="G525" s="369">
        <f>TRUNC(E525*F525,2)</f>
        <v>0.78</v>
      </c>
    </row>
    <row r="526" spans="1:8" ht="36.75" customHeight="1">
      <c r="A526" s="562">
        <v>88831</v>
      </c>
      <c r="B526" s="630" t="s">
        <v>979</v>
      </c>
      <c r="C526" s="343" t="s">
        <v>626</v>
      </c>
      <c r="D526" s="564" t="s">
        <v>622</v>
      </c>
      <c r="E526" s="564">
        <v>0.71</v>
      </c>
      <c r="F526" s="348">
        <f>'COMP AUX'!G1172</f>
        <v>0.04</v>
      </c>
      <c r="G526" s="369">
        <f>TRUNC(E526*F526,2)</f>
        <v>0.02</v>
      </c>
    </row>
    <row r="527" spans="1:8" ht="30" customHeight="1">
      <c r="A527" s="361" t="s">
        <v>683</v>
      </c>
      <c r="B527" s="347" t="s">
        <v>684</v>
      </c>
      <c r="C527" s="343" t="s">
        <v>89</v>
      </c>
      <c r="D527" s="563" t="s">
        <v>682</v>
      </c>
      <c r="E527" s="368">
        <v>0.751</v>
      </c>
      <c r="F527" s="563">
        <v>56.25</v>
      </c>
      <c r="G527" s="346">
        <f>TRUNC(E527*F527,2)</f>
        <v>42.24</v>
      </c>
    </row>
    <row r="528" spans="1:8" ht="15" customHeight="1">
      <c r="A528" s="361" t="s">
        <v>423</v>
      </c>
      <c r="B528" s="347" t="s">
        <v>424</v>
      </c>
      <c r="C528" s="343" t="s">
        <v>89</v>
      </c>
      <c r="D528" s="563" t="s">
        <v>685</v>
      </c>
      <c r="E528" s="368">
        <v>362.66</v>
      </c>
      <c r="F528" s="563">
        <v>0.49</v>
      </c>
      <c r="G528" s="369">
        <f t="shared" ref="G528:G529" si="33">TRUNC(E528*F528,2)</f>
        <v>177.7</v>
      </c>
    </row>
    <row r="529" spans="1:9" ht="25.5" customHeight="1">
      <c r="A529" s="361" t="s">
        <v>686</v>
      </c>
      <c r="B529" s="347" t="s">
        <v>687</v>
      </c>
      <c r="C529" s="343" t="s">
        <v>89</v>
      </c>
      <c r="D529" s="563" t="s">
        <v>682</v>
      </c>
      <c r="E529" s="368">
        <v>0.59299999999999997</v>
      </c>
      <c r="F529" s="563">
        <v>63.77</v>
      </c>
      <c r="G529" s="369">
        <f t="shared" si="33"/>
        <v>37.81</v>
      </c>
    </row>
    <row r="530" spans="1:9" ht="15" customHeight="1">
      <c r="E530" s="596"/>
      <c r="F530" s="427" t="s">
        <v>92</v>
      </c>
      <c r="G530" s="379">
        <f>G521+G523</f>
        <v>41.08</v>
      </c>
    </row>
    <row r="531" spans="1:9" ht="15" customHeight="1">
      <c r="E531" s="146"/>
      <c r="F531" s="351" t="s">
        <v>94</v>
      </c>
      <c r="G531" s="369">
        <f>G522+G524+G525+G526+G527+G528+G529</f>
        <v>275.08999999999997</v>
      </c>
    </row>
    <row r="532" spans="1:9" ht="15" customHeight="1">
      <c r="A532" s="130" t="s">
        <v>96</v>
      </c>
      <c r="E532" s="146"/>
      <c r="F532" s="351" t="s">
        <v>95</v>
      </c>
      <c r="G532" s="370">
        <f>SUM(G530:G531)</f>
        <v>316.16999999999996</v>
      </c>
    </row>
    <row r="533" spans="1:9" ht="15" customHeight="1">
      <c r="A533" s="350" t="s">
        <v>97</v>
      </c>
      <c r="B533" s="461">
        <f>G532</f>
        <v>316.16999999999996</v>
      </c>
    </row>
    <row r="534" spans="1:9" ht="15" customHeight="1">
      <c r="A534" s="455" t="s">
        <v>1936</v>
      </c>
      <c r="B534" s="454"/>
    </row>
    <row r="535" spans="1:9" ht="15" customHeight="1">
      <c r="A535" s="535" t="s">
        <v>1995</v>
      </c>
      <c r="B535" s="454">
        <f>(B533+B534)*0.245</f>
        <v>77.461649999999992</v>
      </c>
    </row>
    <row r="536" spans="1:9" ht="15" customHeight="1">
      <c r="A536" s="350" t="s">
        <v>98</v>
      </c>
      <c r="B536" s="462">
        <f>SUM(B533:B535)</f>
        <v>393.63164999999992</v>
      </c>
      <c r="H536" s="473"/>
      <c r="I536" s="130" t="s">
        <v>1940</v>
      </c>
    </row>
    <row r="537" spans="1:9" ht="11.25" customHeight="1">
      <c r="A537" s="429"/>
      <c r="B537" s="430"/>
      <c r="C537" s="431"/>
      <c r="D537" s="429"/>
      <c r="E537" s="430"/>
      <c r="F537" s="430"/>
      <c r="G537" s="430"/>
      <c r="H537" s="429"/>
    </row>
    <row r="538" spans="1:9" ht="11.25" customHeight="1">
      <c r="A538" s="337"/>
      <c r="B538" s="334"/>
      <c r="C538" s="336"/>
      <c r="D538" s="337"/>
      <c r="E538" s="334"/>
      <c r="F538" s="334"/>
      <c r="G538" s="334"/>
      <c r="H538" s="337"/>
    </row>
    <row r="539" spans="1:9" ht="14.1" customHeight="1">
      <c r="A539" s="130" t="s">
        <v>542</v>
      </c>
    </row>
    <row r="540" spans="1:9" ht="14.1" customHeight="1">
      <c r="A540" s="148" t="s">
        <v>981</v>
      </c>
    </row>
    <row r="541" spans="1:9" ht="18" customHeight="1">
      <c r="A541" s="418" t="s">
        <v>820</v>
      </c>
      <c r="B541" s="418" t="s">
        <v>2430</v>
      </c>
      <c r="C541" s="1262" t="s">
        <v>682</v>
      </c>
      <c r="E541" s="418"/>
      <c r="F541" s="130"/>
      <c r="G541" s="419"/>
    </row>
    <row r="542" spans="1:9" ht="30" customHeight="1">
      <c r="A542" s="624" t="s">
        <v>30</v>
      </c>
      <c r="B542" s="420" t="s">
        <v>19</v>
      </c>
      <c r="C542" s="343" t="s">
        <v>82</v>
      </c>
      <c r="D542" s="603" t="s">
        <v>79</v>
      </c>
      <c r="E542" s="603" t="s">
        <v>83</v>
      </c>
      <c r="F542" s="345" t="s">
        <v>84</v>
      </c>
      <c r="G542" s="421" t="s">
        <v>85</v>
      </c>
    </row>
    <row r="543" spans="1:9" ht="15.95" customHeight="1">
      <c r="A543" s="1317" t="s">
        <v>688</v>
      </c>
      <c r="B543" s="1310" t="s">
        <v>106</v>
      </c>
      <c r="C543" s="343" t="s">
        <v>102</v>
      </c>
      <c r="D543" s="1314" t="s">
        <v>345</v>
      </c>
      <c r="E543" s="1315">
        <v>4.5</v>
      </c>
      <c r="F543" s="348">
        <f>'COMP AUX'!G104</f>
        <v>11.1</v>
      </c>
      <c r="G543" s="424">
        <f>TRUNC(E543*F543,2)</f>
        <v>49.95</v>
      </c>
    </row>
    <row r="544" spans="1:9" ht="15.95" customHeight="1">
      <c r="A544" s="1318"/>
      <c r="B544" s="1311"/>
      <c r="C544" s="343" t="s">
        <v>89</v>
      </c>
      <c r="D544" s="1314"/>
      <c r="E544" s="1316"/>
      <c r="F544" s="348">
        <f>'COMP AUX'!G105</f>
        <v>4.5600000000000005</v>
      </c>
      <c r="G544" s="346">
        <f>TRUNC(E543*F544,2)</f>
        <v>20.52</v>
      </c>
    </row>
    <row r="545" spans="1:9" ht="15.95" customHeight="1">
      <c r="A545" s="1308" t="s">
        <v>893</v>
      </c>
      <c r="B545" s="1310" t="s">
        <v>110</v>
      </c>
      <c r="C545" s="343" t="s">
        <v>102</v>
      </c>
      <c r="D545" s="1306" t="s">
        <v>345</v>
      </c>
      <c r="E545" s="1315">
        <v>1.65</v>
      </c>
      <c r="F545" s="348">
        <f>'COMP AUX'!G151</f>
        <v>14.93</v>
      </c>
      <c r="G545" s="369">
        <f t="shared" ref="G545:G547" si="34">TRUNC(E545*F545,2)</f>
        <v>24.63</v>
      </c>
    </row>
    <row r="546" spans="1:9" ht="15.95" customHeight="1">
      <c r="A546" s="1309"/>
      <c r="B546" s="1311"/>
      <c r="C546" s="343" t="s">
        <v>89</v>
      </c>
      <c r="D546" s="1307"/>
      <c r="E546" s="1316"/>
      <c r="F546" s="348">
        <f>'COMP AUX'!G152</f>
        <v>4.5600000000000005</v>
      </c>
      <c r="G546" s="369">
        <f>TRUNC(E545*F546,2)</f>
        <v>7.52</v>
      </c>
    </row>
    <row r="547" spans="1:9" ht="24.75" customHeight="1">
      <c r="A547" s="634" t="s">
        <v>982</v>
      </c>
      <c r="B547" s="409" t="s">
        <v>983</v>
      </c>
      <c r="C547" s="343" t="s">
        <v>626</v>
      </c>
      <c r="D547" s="345" t="s">
        <v>643</v>
      </c>
      <c r="E547" s="626">
        <v>0.3</v>
      </c>
      <c r="F547" s="348">
        <f>'COMP AUX'!G1185</f>
        <v>1.0699999999999998</v>
      </c>
      <c r="G547" s="369">
        <f t="shared" si="34"/>
        <v>0.32</v>
      </c>
    </row>
    <row r="548" spans="1:9" ht="15" customHeight="1">
      <c r="E548" s="146"/>
      <c r="F548" s="427" t="s">
        <v>92</v>
      </c>
      <c r="G548" s="379">
        <f>G543+G545</f>
        <v>74.58</v>
      </c>
    </row>
    <row r="549" spans="1:9" ht="15" customHeight="1">
      <c r="E549" s="146"/>
      <c r="F549" s="351" t="s">
        <v>94</v>
      </c>
      <c r="G549" s="369">
        <f>G544+G546+G547</f>
        <v>28.36</v>
      </c>
    </row>
    <row r="550" spans="1:9" ht="15" customHeight="1">
      <c r="A550" s="130" t="s">
        <v>96</v>
      </c>
      <c r="E550" s="146"/>
      <c r="F550" s="351" t="s">
        <v>95</v>
      </c>
      <c r="G550" s="370">
        <f>SUM(G548:G549)</f>
        <v>102.94</v>
      </c>
    </row>
    <row r="551" spans="1:9" ht="15" customHeight="1">
      <c r="A551" s="350" t="s">
        <v>97</v>
      </c>
      <c r="B551" s="461">
        <f>G550</f>
        <v>102.94</v>
      </c>
    </row>
    <row r="552" spans="1:9" ht="15" customHeight="1">
      <c r="A552" s="455" t="s">
        <v>1936</v>
      </c>
      <c r="B552" s="454"/>
    </row>
    <row r="553" spans="1:9" ht="15" customHeight="1">
      <c r="A553" s="535" t="s">
        <v>1995</v>
      </c>
      <c r="B553" s="454">
        <f>(B551+B552)*0.245</f>
        <v>25.220299999999998</v>
      </c>
    </row>
    <row r="554" spans="1:9" ht="15" customHeight="1">
      <c r="A554" s="350" t="s">
        <v>98</v>
      </c>
      <c r="B554" s="462">
        <f>SUM(B551:B553)</f>
        <v>128.16030000000001</v>
      </c>
      <c r="H554" s="473"/>
      <c r="I554" s="130" t="s">
        <v>1940</v>
      </c>
    </row>
    <row r="555" spans="1:9" ht="11.25" customHeight="1">
      <c r="A555" s="429"/>
      <c r="B555" s="430"/>
      <c r="C555" s="431"/>
      <c r="D555" s="429"/>
      <c r="E555" s="430"/>
      <c r="F555" s="430"/>
      <c r="G555" s="430"/>
      <c r="H555" s="429"/>
    </row>
    <row r="556" spans="1:9" ht="11.25" customHeight="1">
      <c r="A556" s="337"/>
      <c r="B556" s="334"/>
      <c r="C556" s="336"/>
      <c r="D556" s="337"/>
      <c r="E556" s="334"/>
      <c r="F556" s="334"/>
      <c r="G556" s="334"/>
      <c r="H556" s="337"/>
    </row>
    <row r="557" spans="1:9" ht="11.25" customHeight="1">
      <c r="A557" s="130" t="s">
        <v>542</v>
      </c>
    </row>
    <row r="558" spans="1:9" ht="11.25" customHeight="1">
      <c r="A558" s="148" t="s">
        <v>2138</v>
      </c>
    </row>
    <row r="559" spans="1:9" ht="17.25" customHeight="1">
      <c r="A559" s="418" t="s">
        <v>820</v>
      </c>
      <c r="B559" s="1356" t="s">
        <v>2437</v>
      </c>
      <c r="C559" s="1356"/>
      <c r="D559" s="667" t="s">
        <v>682</v>
      </c>
      <c r="E559" s="418"/>
      <c r="F559" s="130"/>
      <c r="G559" s="419"/>
    </row>
    <row r="560" spans="1:9" ht="25.5" customHeight="1">
      <c r="A560" s="664" t="s">
        <v>30</v>
      </c>
      <c r="B560" s="420" t="s">
        <v>19</v>
      </c>
      <c r="C560" s="343" t="s">
        <v>82</v>
      </c>
      <c r="D560" s="652" t="s">
        <v>79</v>
      </c>
      <c r="E560" s="652" t="s">
        <v>83</v>
      </c>
      <c r="F560" s="345" t="s">
        <v>84</v>
      </c>
      <c r="G560" s="421" t="s">
        <v>85</v>
      </c>
    </row>
    <row r="561" spans="1:9" ht="15" customHeight="1">
      <c r="A561" s="1317" t="s">
        <v>688</v>
      </c>
      <c r="B561" s="1310" t="s">
        <v>106</v>
      </c>
      <c r="C561" s="343" t="s">
        <v>102</v>
      </c>
      <c r="D561" s="1306" t="s">
        <v>345</v>
      </c>
      <c r="E561" s="1315">
        <v>0.12</v>
      </c>
      <c r="F561" s="348">
        <f>'COMP AUX'!G104</f>
        <v>11.1</v>
      </c>
      <c r="G561" s="424">
        <f>TRUNC(E561*F561,2)</f>
        <v>1.33</v>
      </c>
    </row>
    <row r="562" spans="1:9" ht="15" customHeight="1">
      <c r="A562" s="1318"/>
      <c r="B562" s="1311"/>
      <c r="C562" s="343" t="s">
        <v>89</v>
      </c>
      <c r="D562" s="1307"/>
      <c r="E562" s="1316"/>
      <c r="F562" s="348">
        <f>'COMP AUX'!G105</f>
        <v>4.5600000000000005</v>
      </c>
      <c r="G562" s="369">
        <f>TRUNC(E561*F562,2)</f>
        <v>0.54</v>
      </c>
    </row>
    <row r="563" spans="1:9" ht="15" customHeight="1">
      <c r="A563" s="1308">
        <v>88315</v>
      </c>
      <c r="B563" s="1310" t="s">
        <v>1114</v>
      </c>
      <c r="C563" s="343" t="s">
        <v>102</v>
      </c>
      <c r="D563" s="1306" t="s">
        <v>345</v>
      </c>
      <c r="E563" s="1315">
        <v>0.12</v>
      </c>
      <c r="F563" s="348">
        <f>'COMP AUX'!G440</f>
        <v>14.81</v>
      </c>
      <c r="G563" s="369">
        <f t="shared" ref="G563" si="35">TRUNC(E563*F563,2)</f>
        <v>1.77</v>
      </c>
    </row>
    <row r="564" spans="1:9" ht="15" customHeight="1">
      <c r="A564" s="1309"/>
      <c r="B564" s="1311"/>
      <c r="C564" s="343" t="s">
        <v>89</v>
      </c>
      <c r="D564" s="1307"/>
      <c r="E564" s="1316"/>
      <c r="F564" s="348">
        <f>'COMP AUX'!G441</f>
        <v>4.5600000000000005</v>
      </c>
      <c r="G564" s="369">
        <f>TRUNC(E563*F564,2)</f>
        <v>0.54</v>
      </c>
    </row>
    <row r="565" spans="1:9" ht="18.75" customHeight="1">
      <c r="A565" s="634" t="s">
        <v>1111</v>
      </c>
      <c r="B565" s="409" t="s">
        <v>2438</v>
      </c>
      <c r="C565" s="343" t="s">
        <v>89</v>
      </c>
      <c r="D565" s="345" t="s">
        <v>685</v>
      </c>
      <c r="E565" s="666">
        <v>1.05</v>
      </c>
      <c r="F565" s="348">
        <v>4.71</v>
      </c>
      <c r="G565" s="369">
        <f t="shared" ref="G565" si="36">TRUNC(E565*F565,2)</f>
        <v>4.9400000000000004</v>
      </c>
    </row>
    <row r="566" spans="1:9" ht="18" customHeight="1">
      <c r="A566" s="1347" t="s">
        <v>1112</v>
      </c>
      <c r="B566" s="1310" t="s">
        <v>2439</v>
      </c>
      <c r="C566" s="343" t="s">
        <v>102</v>
      </c>
      <c r="D566" s="1306" t="s">
        <v>346</v>
      </c>
      <c r="E566" s="1315">
        <v>6.0000000000000001E-3</v>
      </c>
      <c r="F566" s="348">
        <f>'COMP AUX'!G1239</f>
        <v>66.64</v>
      </c>
      <c r="G566" s="369">
        <f>TRUNC(E566*F566,2)</f>
        <v>0.39</v>
      </c>
    </row>
    <row r="567" spans="1:9" ht="18" customHeight="1">
      <c r="A567" s="1348"/>
      <c r="B567" s="1342"/>
      <c r="C567" s="343" t="s">
        <v>89</v>
      </c>
      <c r="D567" s="1307"/>
      <c r="E567" s="1316"/>
      <c r="F567" s="348">
        <f>'COMP AUX'!G1240</f>
        <v>61.190000000000005</v>
      </c>
      <c r="G567" s="369">
        <f>TRUNC(E566*F567,2)</f>
        <v>0.36</v>
      </c>
    </row>
    <row r="568" spans="1:9" ht="15" customHeight="1">
      <c r="E568" s="146"/>
      <c r="F568" s="427" t="s">
        <v>92</v>
      </c>
      <c r="G568" s="379">
        <f>G561+G563+G566</f>
        <v>3.49</v>
      </c>
    </row>
    <row r="569" spans="1:9" ht="15" customHeight="1">
      <c r="E569" s="146"/>
      <c r="F569" s="351" t="s">
        <v>94</v>
      </c>
      <c r="G569" s="369">
        <f>G562+G564+G565+G567</f>
        <v>6.3800000000000008</v>
      </c>
    </row>
    <row r="570" spans="1:9" ht="15" customHeight="1">
      <c r="A570" s="130" t="s">
        <v>96</v>
      </c>
      <c r="E570" s="146"/>
      <c r="F570" s="351" t="s">
        <v>95</v>
      </c>
      <c r="G570" s="370">
        <f>SUM(G568:G569)</f>
        <v>9.870000000000001</v>
      </c>
    </row>
    <row r="571" spans="1:9" ht="15" customHeight="1">
      <c r="A571" s="350" t="s">
        <v>97</v>
      </c>
      <c r="B571" s="461">
        <f>G570</f>
        <v>9.870000000000001</v>
      </c>
    </row>
    <row r="572" spans="1:9" ht="15" customHeight="1">
      <c r="A572" s="455" t="s">
        <v>1936</v>
      </c>
      <c r="B572" s="454"/>
    </row>
    <row r="573" spans="1:9" ht="15" customHeight="1">
      <c r="A573" s="535" t="s">
        <v>1995</v>
      </c>
      <c r="B573" s="454">
        <f>(B571+B572)*0.245</f>
        <v>2.4181500000000002</v>
      </c>
    </row>
    <row r="574" spans="1:9" ht="15" customHeight="1">
      <c r="A574" s="350" t="s">
        <v>98</v>
      </c>
      <c r="B574" s="462">
        <f>SUM(B571:B573)</f>
        <v>12.288150000000002</v>
      </c>
      <c r="H574" s="473"/>
      <c r="I574" s="130" t="s">
        <v>1940</v>
      </c>
    </row>
    <row r="575" spans="1:9" ht="11.25" customHeight="1">
      <c r="A575" s="429"/>
      <c r="B575" s="430"/>
      <c r="C575" s="431"/>
      <c r="D575" s="429"/>
      <c r="E575" s="430"/>
      <c r="F575" s="430"/>
      <c r="G575" s="430"/>
      <c r="H575" s="429"/>
    </row>
    <row r="576" spans="1:9" ht="11.25" customHeight="1">
      <c r="A576" s="337"/>
      <c r="B576" s="334"/>
      <c r="C576" s="336"/>
      <c r="D576" s="337"/>
      <c r="E576" s="334"/>
      <c r="F576" s="334"/>
      <c r="G576" s="334"/>
      <c r="H576" s="337"/>
    </row>
    <row r="577" spans="1:10" ht="11.25" customHeight="1">
      <c r="A577" s="130" t="s">
        <v>542</v>
      </c>
      <c r="H577" s="337"/>
    </row>
    <row r="578" spans="1:10" ht="15" customHeight="1">
      <c r="A578" s="148" t="s">
        <v>2389</v>
      </c>
      <c r="H578" s="337"/>
    </row>
    <row r="579" spans="1:10" ht="30" customHeight="1">
      <c r="A579" s="418" t="s">
        <v>820</v>
      </c>
      <c r="B579" s="418" t="s">
        <v>2387</v>
      </c>
      <c r="C579" s="1047" t="s">
        <v>858</v>
      </c>
      <c r="E579" s="418"/>
      <c r="F579" s="130"/>
      <c r="G579" s="419"/>
      <c r="H579" s="337"/>
      <c r="J579" s="130" t="s">
        <v>2388</v>
      </c>
    </row>
    <row r="580" spans="1:10" ht="24" customHeight="1">
      <c r="A580" s="814" t="s">
        <v>30</v>
      </c>
      <c r="B580" s="420" t="s">
        <v>19</v>
      </c>
      <c r="C580" s="343" t="s">
        <v>82</v>
      </c>
      <c r="D580" s="809" t="s">
        <v>79</v>
      </c>
      <c r="E580" s="809" t="s">
        <v>83</v>
      </c>
      <c r="F580" s="345" t="s">
        <v>84</v>
      </c>
      <c r="G580" s="421" t="s">
        <v>85</v>
      </c>
      <c r="H580" s="337"/>
    </row>
    <row r="581" spans="1:10" ht="15" customHeight="1">
      <c r="A581" s="1317" t="s">
        <v>688</v>
      </c>
      <c r="B581" s="1310" t="s">
        <v>106</v>
      </c>
      <c r="C581" s="343" t="s">
        <v>102</v>
      </c>
      <c r="D581" s="1306" t="s">
        <v>345</v>
      </c>
      <c r="E581" s="1312">
        <v>6.2E-2</v>
      </c>
      <c r="F581" s="348">
        <f>'COMP AUX'!G104</f>
        <v>11.1</v>
      </c>
      <c r="G581" s="424">
        <f>TRUNC(E581*F581,2)</f>
        <v>0.68</v>
      </c>
      <c r="H581" s="337"/>
    </row>
    <row r="582" spans="1:10" ht="15" customHeight="1">
      <c r="A582" s="1318"/>
      <c r="B582" s="1311"/>
      <c r="C582" s="343" t="s">
        <v>89</v>
      </c>
      <c r="D582" s="1307"/>
      <c r="E582" s="1313"/>
      <c r="F582" s="348">
        <f>'COMP AUX'!G105</f>
        <v>4.5600000000000005</v>
      </c>
      <c r="G582" s="369">
        <f>TRUNC(E581*F582,2)</f>
        <v>0.28000000000000003</v>
      </c>
      <c r="H582" s="337"/>
    </row>
    <row r="583" spans="1:10" ht="15" customHeight="1">
      <c r="A583" s="1319">
        <v>88323</v>
      </c>
      <c r="B583" s="1310" t="s">
        <v>393</v>
      </c>
      <c r="C583" s="343" t="s">
        <v>102</v>
      </c>
      <c r="D583" s="1306" t="s">
        <v>345</v>
      </c>
      <c r="E583" s="1312">
        <v>5.6000000000000001E-2</v>
      </c>
      <c r="F583" s="365">
        <f>'COMP AUX'!G372</f>
        <v>16.16</v>
      </c>
      <c r="G583" s="369">
        <f t="shared" ref="G583" si="37">TRUNC(E583*F583,2)</f>
        <v>0.9</v>
      </c>
      <c r="H583" s="337"/>
    </row>
    <row r="584" spans="1:10" ht="15" customHeight="1">
      <c r="A584" s="1320"/>
      <c r="B584" s="1311"/>
      <c r="C584" s="343" t="s">
        <v>89</v>
      </c>
      <c r="D584" s="1307"/>
      <c r="E584" s="1313"/>
      <c r="F584" s="365">
        <f>'COMP AUX'!G373</f>
        <v>4.5600000000000005</v>
      </c>
      <c r="G584" s="369">
        <f>TRUNC(E583*F584,2)</f>
        <v>0.25</v>
      </c>
      <c r="H584" s="337"/>
    </row>
    <row r="585" spans="1:10" ht="35.1" customHeight="1">
      <c r="A585" s="862" t="s">
        <v>1492</v>
      </c>
      <c r="B585" s="1046" t="s">
        <v>2466</v>
      </c>
      <c r="C585" s="343" t="s">
        <v>89</v>
      </c>
      <c r="D585" s="810" t="s">
        <v>1493</v>
      </c>
      <c r="E585" s="813">
        <v>4.1500000000000004</v>
      </c>
      <c r="F585" s="365">
        <v>1.1100000000000001</v>
      </c>
      <c r="G585" s="369">
        <f t="shared" ref="G585:G586" si="38">TRUNC(E585*F585,2)</f>
        <v>4.5999999999999996</v>
      </c>
      <c r="H585" s="337"/>
    </row>
    <row r="586" spans="1:10" ht="42.75" customHeight="1">
      <c r="A586" s="420">
        <v>39522</v>
      </c>
      <c r="B586" s="630" t="s">
        <v>2465</v>
      </c>
      <c r="C586" s="343" t="s">
        <v>89</v>
      </c>
      <c r="D586" s="345" t="s">
        <v>858</v>
      </c>
      <c r="E586" s="437">
        <v>1.1459999999999999</v>
      </c>
      <c r="F586" s="365">
        <v>94.02</v>
      </c>
      <c r="G586" s="369">
        <f t="shared" si="38"/>
        <v>107.74</v>
      </c>
      <c r="H586" s="337"/>
    </row>
    <row r="587" spans="1:10" ht="15" customHeight="1">
      <c r="A587" s="1368" t="s">
        <v>1494</v>
      </c>
      <c r="B587" s="1370" t="s">
        <v>1496</v>
      </c>
      <c r="C587" s="343" t="s">
        <v>102</v>
      </c>
      <c r="D587" s="1306" t="s">
        <v>643</v>
      </c>
      <c r="E587" s="1321">
        <v>8.9999999999999998E-4</v>
      </c>
      <c r="F587" s="365">
        <f>'COMP AUX'!G1322</f>
        <v>10.68</v>
      </c>
      <c r="G587" s="369">
        <f>TRUNC(E587*F587,2)</f>
        <v>0</v>
      </c>
      <c r="H587" s="337"/>
    </row>
    <row r="588" spans="1:10" ht="15" customHeight="1">
      <c r="A588" s="1368"/>
      <c r="B588" s="1371"/>
      <c r="C588" s="343" t="s">
        <v>89</v>
      </c>
      <c r="D588" s="1307"/>
      <c r="E588" s="1322"/>
      <c r="F588" s="365">
        <f>'COMP AUX'!G1323</f>
        <v>6.7000000000000011</v>
      </c>
      <c r="G588" s="369">
        <f>TRUNC(E587*F588,2)</f>
        <v>0</v>
      </c>
      <c r="H588" s="337"/>
    </row>
    <row r="589" spans="1:10" ht="15" customHeight="1">
      <c r="A589" s="1368" t="s">
        <v>1495</v>
      </c>
      <c r="B589" s="1370" t="s">
        <v>1497</v>
      </c>
      <c r="C589" s="343" t="s">
        <v>102</v>
      </c>
      <c r="D589" s="1306" t="s">
        <v>622</v>
      </c>
      <c r="E589" s="1321">
        <v>1.1999999999999999E-3</v>
      </c>
      <c r="F589" s="365">
        <f>'COMP AUX'!G1401</f>
        <v>10.68</v>
      </c>
      <c r="G589" s="369">
        <f>TRUNC(E589*F589,2)</f>
        <v>0.01</v>
      </c>
      <c r="H589" s="337"/>
    </row>
    <row r="590" spans="1:10" ht="15" customHeight="1">
      <c r="A590" s="1369"/>
      <c r="B590" s="1371"/>
      <c r="C590" s="343" t="s">
        <v>89</v>
      </c>
      <c r="D590" s="1307"/>
      <c r="E590" s="1322"/>
      <c r="F590" s="365">
        <f>'COMP AUX'!G1402</f>
        <v>4.45</v>
      </c>
      <c r="G590" s="369">
        <f>TRUNC(E589*F590,2)</f>
        <v>0</v>
      </c>
      <c r="H590" s="337"/>
    </row>
    <row r="591" spans="1:10" ht="15" customHeight="1">
      <c r="E591" s="146"/>
      <c r="F591" s="427" t="s">
        <v>92</v>
      </c>
      <c r="G591" s="379">
        <f>G581+G583+G587+G589</f>
        <v>1.59</v>
      </c>
    </row>
    <row r="592" spans="1:10" ht="15" customHeight="1">
      <c r="E592" s="146"/>
      <c r="F592" s="351" t="s">
        <v>94</v>
      </c>
      <c r="G592" s="369">
        <f>G582+G584+G585+G586+G588+G590</f>
        <v>112.86999999999999</v>
      </c>
    </row>
    <row r="593" spans="1:11" ht="15" customHeight="1">
      <c r="A593" s="130" t="s">
        <v>96</v>
      </c>
      <c r="E593" s="146"/>
      <c r="F593" s="351" t="s">
        <v>95</v>
      </c>
      <c r="G593" s="370">
        <f>SUM(G591:G592)</f>
        <v>114.46</v>
      </c>
    </row>
    <row r="594" spans="1:11" ht="15" customHeight="1">
      <c r="A594" s="350" t="s">
        <v>97</v>
      </c>
      <c r="B594" s="461">
        <f>G593</f>
        <v>114.46</v>
      </c>
    </row>
    <row r="595" spans="1:11" ht="15" customHeight="1">
      <c r="A595" s="455" t="s">
        <v>1936</v>
      </c>
      <c r="B595" s="454"/>
    </row>
    <row r="596" spans="1:11" ht="15" customHeight="1">
      <c r="A596" s="535" t="s">
        <v>1995</v>
      </c>
      <c r="B596" s="454">
        <f>(B594+B595)*0.245</f>
        <v>28.042699999999996</v>
      </c>
    </row>
    <row r="597" spans="1:11" ht="15" customHeight="1">
      <c r="A597" s="350" t="s">
        <v>98</v>
      </c>
      <c r="B597" s="462">
        <f>SUM(B594:B596)</f>
        <v>142.5027</v>
      </c>
      <c r="H597" s="473"/>
      <c r="I597" s="130" t="s">
        <v>1940</v>
      </c>
    </row>
    <row r="598" spans="1:11" ht="11.25" customHeight="1">
      <c r="A598" s="429"/>
      <c r="B598" s="430"/>
      <c r="C598" s="431"/>
      <c r="D598" s="429"/>
      <c r="E598" s="430"/>
      <c r="F598" s="430"/>
      <c r="G598" s="430"/>
      <c r="H598" s="429"/>
    </row>
    <row r="599" spans="1:11" ht="11.25" customHeight="1">
      <c r="A599" s="337"/>
      <c r="B599" s="334"/>
      <c r="C599" s="336"/>
      <c r="D599" s="337"/>
      <c r="E599" s="334"/>
      <c r="F599" s="334"/>
      <c r="G599" s="334"/>
      <c r="H599" s="337"/>
    </row>
    <row r="600" spans="1:11" ht="11.25" customHeight="1">
      <c r="A600" s="130" t="s">
        <v>542</v>
      </c>
      <c r="H600" s="337"/>
    </row>
    <row r="601" spans="1:11" ht="13.5" customHeight="1">
      <c r="A601" s="148" t="s">
        <v>2261</v>
      </c>
      <c r="H601" s="337"/>
    </row>
    <row r="602" spans="1:11" ht="24.75" customHeight="1">
      <c r="A602" s="418" t="s">
        <v>820</v>
      </c>
      <c r="B602" s="418" t="s">
        <v>2253</v>
      </c>
      <c r="C602" s="950" t="s">
        <v>858</v>
      </c>
      <c r="E602" s="418"/>
      <c r="F602" s="130"/>
      <c r="G602" s="419"/>
      <c r="H602" s="337"/>
      <c r="I602" s="130" t="s">
        <v>2259</v>
      </c>
    </row>
    <row r="603" spans="1:11" ht="24" customHeight="1">
      <c r="A603" s="1133" t="s">
        <v>30</v>
      </c>
      <c r="B603" s="420" t="s">
        <v>19</v>
      </c>
      <c r="C603" s="343" t="s">
        <v>82</v>
      </c>
      <c r="D603" s="1131" t="s">
        <v>79</v>
      </c>
      <c r="E603" s="1131" t="s">
        <v>83</v>
      </c>
      <c r="F603" s="345" t="s">
        <v>84</v>
      </c>
      <c r="G603" s="421" t="s">
        <v>85</v>
      </c>
      <c r="H603" s="337"/>
    </row>
    <row r="604" spans="1:11" ht="14.1" customHeight="1">
      <c r="A604" s="1317" t="s">
        <v>688</v>
      </c>
      <c r="B604" s="1310" t="s">
        <v>106</v>
      </c>
      <c r="C604" s="343" t="s">
        <v>102</v>
      </c>
      <c r="D604" s="1306" t="s">
        <v>345</v>
      </c>
      <c r="E604" s="1312">
        <v>0.1</v>
      </c>
      <c r="F604" s="348">
        <f>'COMP AUX'!G104</f>
        <v>11.1</v>
      </c>
      <c r="G604" s="424">
        <f>TRUNC(E604*F604,2)</f>
        <v>1.1100000000000001</v>
      </c>
      <c r="H604" s="337"/>
    </row>
    <row r="605" spans="1:11" ht="14.1" customHeight="1">
      <c r="A605" s="1318"/>
      <c r="B605" s="1311"/>
      <c r="C605" s="343" t="s">
        <v>89</v>
      </c>
      <c r="D605" s="1307"/>
      <c r="E605" s="1313"/>
      <c r="F605" s="348">
        <f>'COMP AUX'!G105</f>
        <v>4.5600000000000005</v>
      </c>
      <c r="G605" s="369">
        <f>TRUNC(E604*F605,2)</f>
        <v>0.45</v>
      </c>
      <c r="H605" s="337"/>
    </row>
    <row r="606" spans="1:11" ht="14.1" customHeight="1">
      <c r="A606" s="1319">
        <v>88309</v>
      </c>
      <c r="B606" s="1310" t="s">
        <v>110</v>
      </c>
      <c r="C606" s="343" t="s">
        <v>102</v>
      </c>
      <c r="D606" s="1306" t="s">
        <v>345</v>
      </c>
      <c r="E606" s="1312">
        <v>0.1</v>
      </c>
      <c r="F606" s="365">
        <f>'COMP AUX'!G151</f>
        <v>14.93</v>
      </c>
      <c r="G606" s="369">
        <f t="shared" ref="G606" si="39">TRUNC(E606*F606,2)</f>
        <v>1.49</v>
      </c>
      <c r="H606" s="337"/>
    </row>
    <row r="607" spans="1:11" ht="14.1" customHeight="1">
      <c r="A607" s="1320"/>
      <c r="B607" s="1311"/>
      <c r="C607" s="343" t="s">
        <v>89</v>
      </c>
      <c r="D607" s="1307"/>
      <c r="E607" s="1313"/>
      <c r="F607" s="365">
        <f>'COMP AUX'!G152</f>
        <v>4.5600000000000005</v>
      </c>
      <c r="G607" s="369">
        <f>TRUNC(E606*F607,2)</f>
        <v>0.45</v>
      </c>
      <c r="H607" s="337"/>
    </row>
    <row r="608" spans="1:11" ht="24" customHeight="1">
      <c r="A608" s="862" t="s">
        <v>81</v>
      </c>
      <c r="B608" s="1127" t="s">
        <v>2262</v>
      </c>
      <c r="C608" s="343" t="s">
        <v>89</v>
      </c>
      <c r="D608" s="1128" t="s">
        <v>822</v>
      </c>
      <c r="E608" s="1130">
        <v>0.248</v>
      </c>
      <c r="F608" s="365">
        <v>180</v>
      </c>
      <c r="G608" s="369">
        <f t="shared" ref="G608:G610" si="40">TRUNC(E608*F608,2)</f>
        <v>44.64</v>
      </c>
      <c r="H608" s="337"/>
      <c r="K608" s="130" t="s">
        <v>2254</v>
      </c>
    </row>
    <row r="609" spans="1:13" ht="39" customHeight="1">
      <c r="A609" s="862">
        <v>1607</v>
      </c>
      <c r="B609" s="1127" t="s">
        <v>2258</v>
      </c>
      <c r="C609" s="343" t="s">
        <v>89</v>
      </c>
      <c r="D609" s="1128" t="s">
        <v>822</v>
      </c>
      <c r="E609" s="1130">
        <v>1.42</v>
      </c>
      <c r="F609" s="365">
        <v>0.15</v>
      </c>
      <c r="G609" s="369">
        <f t="shared" si="40"/>
        <v>0.21</v>
      </c>
      <c r="H609" s="337"/>
      <c r="K609" s="130" t="s">
        <v>2255</v>
      </c>
      <c r="L609" s="1178">
        <v>180</v>
      </c>
      <c r="M609" s="130" t="s">
        <v>2256</v>
      </c>
    </row>
    <row r="610" spans="1:13" ht="26.25" customHeight="1">
      <c r="A610" s="420">
        <v>4300</v>
      </c>
      <c r="B610" s="409" t="s">
        <v>2257</v>
      </c>
      <c r="C610" s="343" t="s">
        <v>89</v>
      </c>
      <c r="D610" s="345" t="s">
        <v>822</v>
      </c>
      <c r="E610" s="437">
        <v>1.42</v>
      </c>
      <c r="F610" s="365">
        <v>0.53</v>
      </c>
      <c r="G610" s="369">
        <f t="shared" si="40"/>
        <v>0.75</v>
      </c>
      <c r="H610" s="337"/>
    </row>
    <row r="611" spans="1:13" ht="14.1" customHeight="1">
      <c r="E611" s="146"/>
      <c r="F611" s="427" t="s">
        <v>92</v>
      </c>
      <c r="G611" s="379">
        <f>G604+G606</f>
        <v>2.6</v>
      </c>
    </row>
    <row r="612" spans="1:13" ht="14.1" customHeight="1">
      <c r="E612" s="146"/>
      <c r="F612" s="351" t="s">
        <v>94</v>
      </c>
      <c r="G612" s="369">
        <f>G605+G607+G610+G608+G609</f>
        <v>46.5</v>
      </c>
      <c r="L612" s="130">
        <f>0.9*3</f>
        <v>2.7</v>
      </c>
    </row>
    <row r="613" spans="1:13" ht="14.1" customHeight="1">
      <c r="A613" s="130" t="s">
        <v>96</v>
      </c>
      <c r="E613" s="146"/>
      <c r="F613" s="351" t="s">
        <v>95</v>
      </c>
      <c r="G613" s="370">
        <f>SUM(G611:G612)</f>
        <v>49.1</v>
      </c>
      <c r="J613" s="130">
        <f>1/L613</f>
        <v>0.24838549428713358</v>
      </c>
      <c r="L613" s="130">
        <f>3.66*1.1</f>
        <v>4.0260000000000007</v>
      </c>
      <c r="M613" s="1179">
        <f>L609/L613</f>
        <v>44.709388971684049</v>
      </c>
    </row>
    <row r="614" spans="1:13" ht="14.1" customHeight="1">
      <c r="A614" s="350" t="s">
        <v>97</v>
      </c>
      <c r="B614" s="461">
        <f>G613</f>
        <v>49.1</v>
      </c>
    </row>
    <row r="615" spans="1:13" ht="14.1" customHeight="1">
      <c r="A615" s="455" t="s">
        <v>1936</v>
      </c>
      <c r="B615" s="454"/>
    </row>
    <row r="616" spans="1:13" ht="14.1" customHeight="1">
      <c r="A616" s="535" t="s">
        <v>1995</v>
      </c>
      <c r="B616" s="454">
        <f>(B614+B615)*0.245</f>
        <v>12.029500000000001</v>
      </c>
    </row>
    <row r="617" spans="1:13" ht="14.1" customHeight="1">
      <c r="A617" s="350" t="s">
        <v>98</v>
      </c>
      <c r="B617" s="462">
        <f>SUM(B614:B616)</f>
        <v>61.1295</v>
      </c>
      <c r="H617" s="473"/>
      <c r="I617" s="130" t="s">
        <v>1940</v>
      </c>
    </row>
    <row r="618" spans="1:13" ht="11.25" customHeight="1">
      <c r="A618" s="429"/>
      <c r="B618" s="430"/>
      <c r="C618" s="431"/>
      <c r="D618" s="429"/>
      <c r="E618" s="430"/>
      <c r="F618" s="430"/>
      <c r="G618" s="430"/>
      <c r="H618" s="429"/>
    </row>
    <row r="619" spans="1:13" ht="11.25" customHeight="1">
      <c r="A619" s="337"/>
      <c r="B619" s="334"/>
      <c r="C619" s="336"/>
      <c r="D619" s="337"/>
      <c r="E619" s="334"/>
      <c r="F619" s="334"/>
      <c r="G619" s="334"/>
      <c r="H619" s="337"/>
    </row>
    <row r="620" spans="1:13" ht="11.25" customHeight="1">
      <c r="A620" s="130" t="s">
        <v>542</v>
      </c>
      <c r="H620" s="337"/>
    </row>
    <row r="621" spans="1:13" ht="11.25" customHeight="1">
      <c r="A621" s="148" t="s">
        <v>2264</v>
      </c>
      <c r="H621" s="337"/>
      <c r="I621" s="130">
        <v>407742</v>
      </c>
      <c r="J621" s="130" t="s">
        <v>2267</v>
      </c>
    </row>
    <row r="622" spans="1:13" ht="18.75" customHeight="1">
      <c r="A622" s="418" t="s">
        <v>820</v>
      </c>
      <c r="B622" s="418" t="s">
        <v>2250</v>
      </c>
      <c r="C622" s="635" t="s">
        <v>346</v>
      </c>
      <c r="E622" s="418"/>
      <c r="F622" s="130"/>
      <c r="G622" s="419"/>
      <c r="H622" s="337"/>
    </row>
    <row r="623" spans="1:13" ht="24" customHeight="1">
      <c r="A623" s="1133" t="s">
        <v>30</v>
      </c>
      <c r="B623" s="420" t="s">
        <v>19</v>
      </c>
      <c r="C623" s="343" t="s">
        <v>82</v>
      </c>
      <c r="D623" s="1131" t="s">
        <v>79</v>
      </c>
      <c r="E623" s="1131" t="s">
        <v>83</v>
      </c>
      <c r="F623" s="345" t="s">
        <v>84</v>
      </c>
      <c r="G623" s="421" t="s">
        <v>85</v>
      </c>
      <c r="H623" s="337"/>
    </row>
    <row r="624" spans="1:13" ht="14.1" customHeight="1">
      <c r="A624" s="1317">
        <v>88241</v>
      </c>
      <c r="B624" s="1310" t="s">
        <v>2025</v>
      </c>
      <c r="C624" s="343" t="s">
        <v>102</v>
      </c>
      <c r="D624" s="1306" t="s">
        <v>345</v>
      </c>
      <c r="E624" s="1321">
        <v>9.4200000000000006E-2</v>
      </c>
      <c r="F624" s="348">
        <f>'COMP AUX'!G53</f>
        <v>10.74</v>
      </c>
      <c r="G624" s="424">
        <f>TRUNC(E624*F624,2)</f>
        <v>1.01</v>
      </c>
      <c r="H624" s="337"/>
    </row>
    <row r="625" spans="1:9" ht="14.1" customHeight="1">
      <c r="A625" s="1318"/>
      <c r="B625" s="1311"/>
      <c r="C625" s="343" t="s">
        <v>89</v>
      </c>
      <c r="D625" s="1307"/>
      <c r="E625" s="1322"/>
      <c r="F625" s="348">
        <f>'COMP AUX'!G54</f>
        <v>4.5600000000000005</v>
      </c>
      <c r="G625" s="369">
        <f>TRUNC(E624*F625,2)</f>
        <v>0.42</v>
      </c>
      <c r="H625" s="337"/>
    </row>
    <row r="626" spans="1:9" ht="14.1" customHeight="1">
      <c r="A626" s="1319">
        <v>88262</v>
      </c>
      <c r="B626" s="1310" t="s">
        <v>1165</v>
      </c>
      <c r="C626" s="343" t="s">
        <v>102</v>
      </c>
      <c r="D626" s="1306" t="s">
        <v>345</v>
      </c>
      <c r="E626" s="1321">
        <v>9.4200000000000006E-2</v>
      </c>
      <c r="F626" s="365">
        <f>'COMP AUX'!G87</f>
        <v>14.81</v>
      </c>
      <c r="G626" s="369">
        <f t="shared" ref="G626" si="41">TRUNC(E626*F626,2)</f>
        <v>1.39</v>
      </c>
      <c r="H626" s="337"/>
    </row>
    <row r="627" spans="1:9" ht="14.1" customHeight="1">
      <c r="A627" s="1320"/>
      <c r="B627" s="1311"/>
      <c r="C627" s="343" t="s">
        <v>89</v>
      </c>
      <c r="D627" s="1307"/>
      <c r="E627" s="1322"/>
      <c r="F627" s="365">
        <f>'COMP AUX'!G88</f>
        <v>4.5600000000000005</v>
      </c>
      <c r="G627" s="369">
        <f>TRUNC(E626*F627,2)</f>
        <v>0.42</v>
      </c>
      <c r="H627" s="337"/>
    </row>
    <row r="628" spans="1:9" ht="16.5" customHeight="1">
      <c r="A628" s="862">
        <v>5061</v>
      </c>
      <c r="B628" s="1127" t="s">
        <v>2467</v>
      </c>
      <c r="C628" s="343" t="s">
        <v>89</v>
      </c>
      <c r="D628" s="1128" t="s">
        <v>685</v>
      </c>
      <c r="E628" s="1132">
        <v>9.4000000000000004E-3</v>
      </c>
      <c r="F628" s="365">
        <v>9</v>
      </c>
      <c r="G628" s="369">
        <f t="shared" ref="G628:G629" si="42">TRUNC(E628*F628,2)</f>
        <v>0.08</v>
      </c>
      <c r="H628" s="337"/>
    </row>
    <row r="629" spans="1:9" ht="15" customHeight="1">
      <c r="A629" s="862" t="s">
        <v>81</v>
      </c>
      <c r="B629" s="1127" t="s">
        <v>2266</v>
      </c>
      <c r="C629" s="343" t="s">
        <v>89</v>
      </c>
      <c r="D629" s="1128" t="s">
        <v>346</v>
      </c>
      <c r="E629" s="1130">
        <v>1.05</v>
      </c>
      <c r="F629" s="365">
        <v>1.1599999999999999</v>
      </c>
      <c r="G629" s="369">
        <f t="shared" si="42"/>
        <v>1.21</v>
      </c>
      <c r="H629" s="337"/>
    </row>
    <row r="630" spans="1:9" ht="14.1" customHeight="1">
      <c r="E630" s="146"/>
      <c r="F630" s="1180" t="s">
        <v>92</v>
      </c>
      <c r="G630" s="379">
        <f>G624+G626</f>
        <v>2.4</v>
      </c>
    </row>
    <row r="631" spans="1:9" ht="14.1" customHeight="1">
      <c r="E631" s="146"/>
      <c r="F631" s="1181" t="s">
        <v>94</v>
      </c>
      <c r="G631" s="369">
        <f>G625+G627+G628+G629</f>
        <v>2.13</v>
      </c>
    </row>
    <row r="632" spans="1:9" ht="14.1" customHeight="1">
      <c r="A632" s="130" t="s">
        <v>96</v>
      </c>
      <c r="E632" s="146"/>
      <c r="F632" s="1181" t="s">
        <v>95</v>
      </c>
      <c r="G632" s="370">
        <f>SUM(G630:G631)</f>
        <v>4.5299999999999994</v>
      </c>
    </row>
    <row r="633" spans="1:9" ht="14.1" customHeight="1">
      <c r="A633" s="350" t="s">
        <v>97</v>
      </c>
      <c r="B633" s="461">
        <f>G632</f>
        <v>4.5299999999999994</v>
      </c>
      <c r="F633" s="1182"/>
    </row>
    <row r="634" spans="1:9" ht="14.1" customHeight="1">
      <c r="A634" s="455" t="s">
        <v>1936</v>
      </c>
      <c r="B634" s="454"/>
      <c r="F634" s="1182"/>
    </row>
    <row r="635" spans="1:9" ht="14.1" customHeight="1">
      <c r="A635" s="535" t="s">
        <v>1995</v>
      </c>
      <c r="B635" s="454">
        <f>(B633+B634)*0.245</f>
        <v>1.1098499999999998</v>
      </c>
      <c r="F635" s="1182"/>
    </row>
    <row r="636" spans="1:9" ht="14.1" customHeight="1">
      <c r="A636" s="350" t="s">
        <v>98</v>
      </c>
      <c r="B636" s="462">
        <f>SUM(B633:B635)</f>
        <v>5.6398499999999991</v>
      </c>
      <c r="F636" s="1182"/>
      <c r="H636" s="473"/>
      <c r="I636" s="130" t="s">
        <v>1940</v>
      </c>
    </row>
    <row r="637" spans="1:9" ht="11.25" customHeight="1">
      <c r="A637" s="429"/>
      <c r="B637" s="430"/>
      <c r="C637" s="431"/>
      <c r="D637" s="429"/>
      <c r="E637" s="430"/>
      <c r="F637" s="430"/>
      <c r="G637" s="430"/>
      <c r="H637" s="429"/>
    </row>
    <row r="638" spans="1:9" ht="11.25" customHeight="1">
      <c r="A638" s="337"/>
      <c r="B638" s="334"/>
      <c r="C638" s="336"/>
      <c r="D638" s="337"/>
      <c r="E638" s="334"/>
      <c r="F638" s="334"/>
      <c r="G638" s="334"/>
      <c r="H638" s="337"/>
    </row>
    <row r="639" spans="1:9" ht="11.25" customHeight="1">
      <c r="A639" s="130" t="s">
        <v>542</v>
      </c>
      <c r="H639" s="337"/>
    </row>
    <row r="640" spans="1:9" ht="11.25" customHeight="1">
      <c r="A640" s="148" t="s">
        <v>1485</v>
      </c>
      <c r="H640" s="337"/>
    </row>
    <row r="641" spans="1:9" ht="19.5" customHeight="1">
      <c r="A641" s="418" t="s">
        <v>820</v>
      </c>
      <c r="B641" s="418" t="s">
        <v>1491</v>
      </c>
      <c r="C641" s="815" t="s">
        <v>858</v>
      </c>
      <c r="E641" s="418"/>
      <c r="F641" s="130"/>
      <c r="G641" s="419"/>
      <c r="H641" s="337"/>
    </row>
    <row r="642" spans="1:9" ht="24.75" customHeight="1">
      <c r="A642" s="814" t="s">
        <v>30</v>
      </c>
      <c r="B642" s="420" t="s">
        <v>19</v>
      </c>
      <c r="C642" s="343" t="s">
        <v>82</v>
      </c>
      <c r="D642" s="809" t="s">
        <v>79</v>
      </c>
      <c r="E642" s="809" t="s">
        <v>83</v>
      </c>
      <c r="F642" s="345" t="s">
        <v>84</v>
      </c>
      <c r="G642" s="421" t="s">
        <v>85</v>
      </c>
      <c r="H642" s="337"/>
    </row>
    <row r="643" spans="1:9" ht="15" customHeight="1">
      <c r="A643" s="1317" t="s">
        <v>688</v>
      </c>
      <c r="B643" s="1310" t="s">
        <v>106</v>
      </c>
      <c r="C643" s="343" t="s">
        <v>102</v>
      </c>
      <c r="D643" s="1306" t="s">
        <v>345</v>
      </c>
      <c r="E643" s="1312">
        <v>0.1</v>
      </c>
      <c r="F643" s="348">
        <f>'COMP AUX'!G104</f>
        <v>11.1</v>
      </c>
      <c r="G643" s="424">
        <f>TRUNC(E643*F643,2)</f>
        <v>1.1100000000000001</v>
      </c>
      <c r="H643" s="337"/>
    </row>
    <row r="644" spans="1:9" ht="15" customHeight="1">
      <c r="A644" s="1318"/>
      <c r="B644" s="1311"/>
      <c r="C644" s="343" t="s">
        <v>89</v>
      </c>
      <c r="D644" s="1307"/>
      <c r="E644" s="1313"/>
      <c r="F644" s="348">
        <f>'COMP AUX'!G105</f>
        <v>4.5600000000000005</v>
      </c>
      <c r="G644" s="369">
        <f>TRUNC(E643*F644,2)</f>
        <v>0.45</v>
      </c>
      <c r="H644" s="337"/>
    </row>
    <row r="645" spans="1:9" ht="15" customHeight="1">
      <c r="A645" s="1319">
        <v>88262</v>
      </c>
      <c r="B645" s="1310" t="s">
        <v>1165</v>
      </c>
      <c r="C645" s="343" t="s">
        <v>102</v>
      </c>
      <c r="D645" s="1306" t="s">
        <v>345</v>
      </c>
      <c r="E645" s="1312">
        <v>0.1</v>
      </c>
      <c r="F645" s="365">
        <f>'COMP AUX'!G87</f>
        <v>14.81</v>
      </c>
      <c r="G645" s="369">
        <f t="shared" ref="G645" si="43">TRUNC(E645*F645,2)</f>
        <v>1.48</v>
      </c>
      <c r="H645" s="337"/>
    </row>
    <row r="646" spans="1:9" ht="15" customHeight="1">
      <c r="A646" s="1320"/>
      <c r="B646" s="1311"/>
      <c r="C646" s="343" t="s">
        <v>89</v>
      </c>
      <c r="D646" s="1307"/>
      <c r="E646" s="1313"/>
      <c r="F646" s="365">
        <f>'COMP AUX'!G88</f>
        <v>4.5600000000000005</v>
      </c>
      <c r="G646" s="369">
        <f>TRUNC(E645*F646,2)</f>
        <v>0.45</v>
      </c>
      <c r="H646" s="337"/>
    </row>
    <row r="647" spans="1:9" ht="15" customHeight="1">
      <c r="A647" s="634" t="s">
        <v>81</v>
      </c>
      <c r="B647" s="409" t="s">
        <v>1490</v>
      </c>
      <c r="C647" s="343" t="s">
        <v>89</v>
      </c>
      <c r="D647" s="345" t="s">
        <v>858</v>
      </c>
      <c r="E647" s="437">
        <v>1.05</v>
      </c>
      <c r="F647" s="365">
        <v>18.05</v>
      </c>
      <c r="G647" s="369">
        <f t="shared" ref="G647" si="44">TRUNC(E647*F647,2)</f>
        <v>18.95</v>
      </c>
      <c r="H647" s="337"/>
    </row>
    <row r="648" spans="1:9" ht="15" customHeight="1">
      <c r="E648" s="146"/>
      <c r="F648" s="427" t="s">
        <v>92</v>
      </c>
      <c r="G648" s="379">
        <f>G643+G646</f>
        <v>1.56</v>
      </c>
    </row>
    <row r="649" spans="1:9" ht="15" customHeight="1">
      <c r="E649" s="146"/>
      <c r="F649" s="351" t="s">
        <v>94</v>
      </c>
      <c r="G649" s="369">
        <f>G644+G646+G647</f>
        <v>19.849999999999998</v>
      </c>
    </row>
    <row r="650" spans="1:9" ht="15" customHeight="1">
      <c r="A650" s="130" t="s">
        <v>96</v>
      </c>
      <c r="E650" s="146"/>
      <c r="F650" s="351" t="s">
        <v>95</v>
      </c>
      <c r="G650" s="370">
        <f>SUM(G648:G649)</f>
        <v>21.409999999999997</v>
      </c>
    </row>
    <row r="651" spans="1:9" ht="15" customHeight="1">
      <c r="A651" s="350" t="s">
        <v>97</v>
      </c>
      <c r="B651" s="461">
        <f>G650</f>
        <v>21.409999999999997</v>
      </c>
    </row>
    <row r="652" spans="1:9" ht="15" customHeight="1">
      <c r="A652" s="455" t="s">
        <v>1936</v>
      </c>
      <c r="B652" s="454"/>
    </row>
    <row r="653" spans="1:9" ht="15" customHeight="1">
      <c r="A653" s="535" t="s">
        <v>1995</v>
      </c>
      <c r="B653" s="454">
        <f>(B651+B652)*0.245</f>
        <v>5.2454499999999991</v>
      </c>
    </row>
    <row r="654" spans="1:9" ht="15" customHeight="1">
      <c r="A654" s="350" t="s">
        <v>98</v>
      </c>
      <c r="B654" s="462">
        <f>SUM(B651:B653)</f>
        <v>26.655449999999995</v>
      </c>
      <c r="H654" s="473"/>
      <c r="I654" s="130" t="s">
        <v>1940</v>
      </c>
    </row>
    <row r="655" spans="1:9" ht="11.25" customHeight="1">
      <c r="A655" s="429"/>
      <c r="B655" s="430"/>
      <c r="C655" s="431"/>
      <c r="D655" s="429"/>
      <c r="E655" s="430"/>
      <c r="F655" s="430"/>
      <c r="G655" s="430"/>
      <c r="H655" s="429"/>
    </row>
    <row r="656" spans="1:9" ht="11.25" customHeight="1">
      <c r="A656" s="337"/>
      <c r="B656" s="334"/>
      <c r="C656" s="336"/>
      <c r="D656" s="337"/>
      <c r="E656" s="334"/>
      <c r="F656" s="334"/>
      <c r="G656" s="334"/>
      <c r="H656" s="337"/>
    </row>
    <row r="657" spans="1:13" ht="11.25" customHeight="1">
      <c r="A657" s="130" t="s">
        <v>542</v>
      </c>
      <c r="H657" s="337"/>
    </row>
    <row r="658" spans="1:13" ht="11.25" customHeight="1">
      <c r="A658" s="148" t="s">
        <v>1488</v>
      </c>
      <c r="H658" s="337"/>
    </row>
    <row r="659" spans="1:13" ht="16.5" customHeight="1">
      <c r="A659" s="418" t="s">
        <v>820</v>
      </c>
      <c r="B659" s="418" t="s">
        <v>1483</v>
      </c>
      <c r="C659" s="815" t="s">
        <v>346</v>
      </c>
      <c r="E659" s="418"/>
      <c r="F659" s="130"/>
      <c r="G659" s="419"/>
      <c r="H659" s="337"/>
    </row>
    <row r="660" spans="1:13" ht="25.5" customHeight="1">
      <c r="A660" s="814" t="s">
        <v>30</v>
      </c>
      <c r="B660" s="420" t="s">
        <v>19</v>
      </c>
      <c r="C660" s="343" t="s">
        <v>82</v>
      </c>
      <c r="D660" s="809" t="s">
        <v>79</v>
      </c>
      <c r="E660" s="809" t="s">
        <v>83</v>
      </c>
      <c r="F660" s="345" t="s">
        <v>84</v>
      </c>
      <c r="G660" s="421" t="s">
        <v>85</v>
      </c>
      <c r="H660" s="337"/>
    </row>
    <row r="661" spans="1:13" ht="15" customHeight="1">
      <c r="A661" s="1317" t="s">
        <v>688</v>
      </c>
      <c r="B661" s="1310" t="s">
        <v>106</v>
      </c>
      <c r="C661" s="343" t="s">
        <v>102</v>
      </c>
      <c r="D661" s="1306" t="s">
        <v>345</v>
      </c>
      <c r="E661" s="1312">
        <v>0.14000000000000001</v>
      </c>
      <c r="F661" s="348">
        <f>'COMP AUX'!G104</f>
        <v>11.1</v>
      </c>
      <c r="G661" s="424">
        <f>TRUNC(E661*F661,2)</f>
        <v>1.55</v>
      </c>
      <c r="H661" s="337"/>
    </row>
    <row r="662" spans="1:13" ht="15" customHeight="1">
      <c r="A662" s="1318"/>
      <c r="B662" s="1311"/>
      <c r="C662" s="343" t="s">
        <v>89</v>
      </c>
      <c r="D662" s="1307"/>
      <c r="E662" s="1313"/>
      <c r="F662" s="348">
        <f>'COMP AUX'!G105</f>
        <v>4.5600000000000005</v>
      </c>
      <c r="G662" s="369">
        <f>TRUNC(E661*F662,2)</f>
        <v>0.63</v>
      </c>
      <c r="H662" s="337"/>
    </row>
    <row r="663" spans="1:13" ht="15" customHeight="1">
      <c r="A663" s="1308">
        <v>88315</v>
      </c>
      <c r="B663" s="1310" t="s">
        <v>1114</v>
      </c>
      <c r="C663" s="343" t="s">
        <v>102</v>
      </c>
      <c r="D663" s="1306" t="s">
        <v>345</v>
      </c>
      <c r="E663" s="1312">
        <v>0.14000000000000001</v>
      </c>
      <c r="F663" s="348">
        <f>'COMP AUX'!G440</f>
        <v>14.81</v>
      </c>
      <c r="G663" s="369">
        <f t="shared" ref="G663" si="45">TRUNC(E663*F663,2)</f>
        <v>2.0699999999999998</v>
      </c>
      <c r="H663" s="337"/>
      <c r="L663" s="130" t="s">
        <v>2109</v>
      </c>
      <c r="M663" s="338"/>
    </row>
    <row r="664" spans="1:13" ht="15" customHeight="1">
      <c r="A664" s="1309"/>
      <c r="B664" s="1311"/>
      <c r="C664" s="343" t="s">
        <v>89</v>
      </c>
      <c r="D664" s="1307"/>
      <c r="E664" s="1313"/>
      <c r="F664" s="348">
        <f>'COMP AUX'!G441</f>
        <v>4.5600000000000005</v>
      </c>
      <c r="G664" s="369">
        <f>TRUNC(E663*F664,2)</f>
        <v>0.63</v>
      </c>
      <c r="H664" s="337"/>
      <c r="L664" s="338" t="s">
        <v>2103</v>
      </c>
      <c r="M664" s="338"/>
    </row>
    <row r="665" spans="1:13" ht="15" customHeight="1">
      <c r="A665" s="634" t="s">
        <v>81</v>
      </c>
      <c r="B665" s="409" t="s">
        <v>1484</v>
      </c>
      <c r="C665" s="343" t="s">
        <v>89</v>
      </c>
      <c r="D665" s="345" t="s">
        <v>346</v>
      </c>
      <c r="E665" s="437">
        <v>1.05</v>
      </c>
      <c r="F665" s="365">
        <f>(1.35+1.4+1.6)/3</f>
        <v>1.45</v>
      </c>
      <c r="G665" s="369">
        <f t="shared" ref="G665" si="46">TRUNC(E665*F665,2)</f>
        <v>1.52</v>
      </c>
      <c r="H665" s="337"/>
      <c r="J665" s="338" t="s">
        <v>2101</v>
      </c>
      <c r="K665" s="1051" t="s">
        <v>2102</v>
      </c>
      <c r="L665" s="338">
        <v>1.35</v>
      </c>
    </row>
    <row r="666" spans="1:13" ht="15" customHeight="1">
      <c r="E666" s="146"/>
      <c r="F666" s="427" t="s">
        <v>92</v>
      </c>
      <c r="G666" s="379">
        <f>G661+G663</f>
        <v>3.62</v>
      </c>
      <c r="J666" s="780" t="s">
        <v>2104</v>
      </c>
      <c r="K666" s="1051" t="s">
        <v>2105</v>
      </c>
      <c r="L666" s="1052">
        <v>1.4</v>
      </c>
    </row>
    <row r="667" spans="1:13" ht="15" customHeight="1">
      <c r="E667" s="146"/>
      <c r="F667" s="351" t="s">
        <v>94</v>
      </c>
      <c r="G667" s="369">
        <f>G662+G664+G665</f>
        <v>2.7800000000000002</v>
      </c>
      <c r="J667" s="130" t="s">
        <v>2107</v>
      </c>
      <c r="K667" s="1051" t="s">
        <v>2106</v>
      </c>
      <c r="L667" s="1052">
        <v>1.6</v>
      </c>
    </row>
    <row r="668" spans="1:13" ht="15" customHeight="1">
      <c r="A668" s="130" t="s">
        <v>96</v>
      </c>
      <c r="E668" s="146"/>
      <c r="F668" s="351" t="s">
        <v>95</v>
      </c>
      <c r="G668" s="370">
        <f>SUM(G666:G667)</f>
        <v>6.4</v>
      </c>
    </row>
    <row r="669" spans="1:13" ht="15" customHeight="1">
      <c r="A669" s="350" t="s">
        <v>97</v>
      </c>
      <c r="B669" s="461">
        <f>G668</f>
        <v>6.4</v>
      </c>
    </row>
    <row r="670" spans="1:13" ht="15" customHeight="1">
      <c r="A670" s="455" t="s">
        <v>1936</v>
      </c>
      <c r="B670" s="454"/>
    </row>
    <row r="671" spans="1:13" ht="15" customHeight="1">
      <c r="A671" s="535" t="s">
        <v>1995</v>
      </c>
      <c r="B671" s="454">
        <f>(B669+B670)*0.245</f>
        <v>1.5680000000000001</v>
      </c>
    </row>
    <row r="672" spans="1:13" ht="15" customHeight="1">
      <c r="A672" s="350" t="s">
        <v>98</v>
      </c>
      <c r="B672" s="462">
        <f>SUM(B669:B671)</f>
        <v>7.968</v>
      </c>
      <c r="H672" s="473"/>
      <c r="I672" s="130" t="s">
        <v>1940</v>
      </c>
    </row>
    <row r="673" spans="1:12" ht="11.25" customHeight="1">
      <c r="A673" s="429"/>
      <c r="B673" s="430"/>
      <c r="C673" s="431"/>
      <c r="D673" s="429"/>
      <c r="E673" s="430"/>
      <c r="F673" s="430"/>
      <c r="G673" s="430"/>
      <c r="H673" s="429"/>
    </row>
    <row r="674" spans="1:12" ht="11.25" customHeight="1">
      <c r="A674" s="337"/>
      <c r="B674" s="334"/>
      <c r="C674" s="336"/>
      <c r="D674" s="337"/>
      <c r="E674" s="334"/>
      <c r="F674" s="334"/>
      <c r="G674" s="334"/>
      <c r="H674" s="337"/>
    </row>
    <row r="675" spans="1:12" ht="11.25" customHeight="1">
      <c r="A675" s="130" t="s">
        <v>542</v>
      </c>
      <c r="H675" s="337"/>
    </row>
    <row r="676" spans="1:12" ht="11.25" customHeight="1">
      <c r="A676" s="148" t="s">
        <v>2082</v>
      </c>
      <c r="H676" s="337"/>
    </row>
    <row r="677" spans="1:12" ht="18" customHeight="1">
      <c r="A677" s="418" t="s">
        <v>820</v>
      </c>
      <c r="B677" s="418" t="s">
        <v>1486</v>
      </c>
      <c r="C677" s="815" t="s">
        <v>822</v>
      </c>
      <c r="E677" s="418"/>
      <c r="F677" s="130"/>
      <c r="G677" s="419"/>
      <c r="H677" s="337"/>
    </row>
    <row r="678" spans="1:12" ht="29.25" customHeight="1">
      <c r="A678" s="814" t="s">
        <v>30</v>
      </c>
      <c r="B678" s="420" t="s">
        <v>19</v>
      </c>
      <c r="C678" s="343" t="s">
        <v>82</v>
      </c>
      <c r="D678" s="809" t="s">
        <v>79</v>
      </c>
      <c r="E678" s="809" t="s">
        <v>83</v>
      </c>
      <c r="F678" s="345" t="s">
        <v>84</v>
      </c>
      <c r="G678" s="421" t="s">
        <v>85</v>
      </c>
      <c r="H678" s="337"/>
    </row>
    <row r="679" spans="1:12" ht="15" customHeight="1">
      <c r="A679" s="1317" t="s">
        <v>688</v>
      </c>
      <c r="B679" s="1310" t="s">
        <v>106</v>
      </c>
      <c r="C679" s="343" t="s">
        <v>102</v>
      </c>
      <c r="D679" s="1306" t="s">
        <v>345</v>
      </c>
      <c r="E679" s="1312">
        <v>0.46</v>
      </c>
      <c r="F679" s="348">
        <f>'COMP AUX'!G104</f>
        <v>11.1</v>
      </c>
      <c r="G679" s="424">
        <f>TRUNC(E679*F679,2)</f>
        <v>5.0999999999999996</v>
      </c>
      <c r="H679" s="337"/>
    </row>
    <row r="680" spans="1:12" ht="15" customHeight="1">
      <c r="A680" s="1318"/>
      <c r="B680" s="1311"/>
      <c r="C680" s="343" t="s">
        <v>89</v>
      </c>
      <c r="D680" s="1307"/>
      <c r="E680" s="1313"/>
      <c r="F680" s="348">
        <f>'COMP AUX'!G105</f>
        <v>4.5600000000000005</v>
      </c>
      <c r="G680" s="369">
        <f>TRUNC(E679*F680,2)</f>
        <v>2.09</v>
      </c>
      <c r="H680" s="337"/>
    </row>
    <row r="681" spans="1:12" ht="15" customHeight="1">
      <c r="A681" s="1308">
        <v>88315</v>
      </c>
      <c r="B681" s="1310" t="s">
        <v>1114</v>
      </c>
      <c r="C681" s="343" t="s">
        <v>102</v>
      </c>
      <c r="D681" s="1306" t="s">
        <v>345</v>
      </c>
      <c r="E681" s="1312">
        <v>0.46</v>
      </c>
      <c r="F681" s="348">
        <f>'COMP AUX'!G440</f>
        <v>14.81</v>
      </c>
      <c r="G681" s="369">
        <f t="shared" ref="G681" si="47">TRUNC(E681*F681,2)</f>
        <v>6.81</v>
      </c>
      <c r="H681" s="337"/>
    </row>
    <row r="682" spans="1:12" ht="15" customHeight="1">
      <c r="A682" s="1309"/>
      <c r="B682" s="1311"/>
      <c r="C682" s="343" t="s">
        <v>89</v>
      </c>
      <c r="D682" s="1307"/>
      <c r="E682" s="1313"/>
      <c r="F682" s="348">
        <f>'COMP AUX'!G441</f>
        <v>4.5600000000000005</v>
      </c>
      <c r="G682" s="369">
        <f>TRUNC(E681*F682,2)</f>
        <v>2.09</v>
      </c>
      <c r="H682" s="337"/>
      <c r="L682" s="130" t="s">
        <v>2111</v>
      </c>
    </row>
    <row r="683" spans="1:12" ht="15" customHeight="1">
      <c r="A683" s="634" t="s">
        <v>81</v>
      </c>
      <c r="B683" s="409" t="s">
        <v>2108</v>
      </c>
      <c r="C683" s="343" t="s">
        <v>89</v>
      </c>
      <c r="D683" s="345" t="s">
        <v>822</v>
      </c>
      <c r="E683" s="437">
        <v>1</v>
      </c>
      <c r="F683" s="365">
        <f>(3.8+3.3+5.2)/3</f>
        <v>4.1000000000000005</v>
      </c>
      <c r="G683" s="369">
        <f t="shared" ref="G683" si="48">TRUNC(E683*F683,2)</f>
        <v>4.0999999999999996</v>
      </c>
      <c r="H683" s="337"/>
      <c r="L683" s="130" t="s">
        <v>2110</v>
      </c>
    </row>
    <row r="684" spans="1:12" ht="15" customHeight="1">
      <c r="E684" s="146"/>
      <c r="F684" s="427" t="s">
        <v>92</v>
      </c>
      <c r="G684" s="379">
        <f>G679+G681</f>
        <v>11.91</v>
      </c>
      <c r="L684" s="338" t="s">
        <v>2103</v>
      </c>
    </row>
    <row r="685" spans="1:12" ht="15" customHeight="1">
      <c r="E685" s="146"/>
      <c r="F685" s="351" t="s">
        <v>94</v>
      </c>
      <c r="G685" s="369">
        <f>G680+G682+G683</f>
        <v>8.2799999999999994</v>
      </c>
      <c r="J685" s="338" t="s">
        <v>2101</v>
      </c>
      <c r="K685" s="1051" t="s">
        <v>2102</v>
      </c>
      <c r="L685" s="1052">
        <v>3.8</v>
      </c>
    </row>
    <row r="686" spans="1:12" ht="15" customHeight="1">
      <c r="A686" s="130" t="s">
        <v>96</v>
      </c>
      <c r="E686" s="146"/>
      <c r="F686" s="351" t="s">
        <v>95</v>
      </c>
      <c r="G686" s="370">
        <f>SUM(G684:G685)</f>
        <v>20.189999999999998</v>
      </c>
      <c r="J686" s="780" t="s">
        <v>2104</v>
      </c>
      <c r="K686" s="1051" t="s">
        <v>2105</v>
      </c>
      <c r="L686" s="1052">
        <v>3.3</v>
      </c>
    </row>
    <row r="687" spans="1:12" ht="15" customHeight="1">
      <c r="A687" s="350" t="s">
        <v>97</v>
      </c>
      <c r="B687" s="461">
        <f>G686</f>
        <v>20.189999999999998</v>
      </c>
      <c r="J687" s="130" t="s">
        <v>2107</v>
      </c>
      <c r="K687" s="1051" t="s">
        <v>2106</v>
      </c>
      <c r="L687" s="1052">
        <v>5.2</v>
      </c>
    </row>
    <row r="688" spans="1:12" ht="15" customHeight="1">
      <c r="A688" s="455" t="s">
        <v>1936</v>
      </c>
      <c r="B688" s="454"/>
    </row>
    <row r="689" spans="1:9" ht="15" customHeight="1">
      <c r="A689" s="535" t="s">
        <v>1995</v>
      </c>
      <c r="B689" s="454">
        <f>(B687+B688)*0.245</f>
        <v>4.9465499999999993</v>
      </c>
    </row>
    <row r="690" spans="1:9" ht="15" customHeight="1">
      <c r="A690" s="350" t="s">
        <v>98</v>
      </c>
      <c r="B690" s="462">
        <f>SUM(B687:B689)</f>
        <v>25.136549999999996</v>
      </c>
      <c r="H690" s="473"/>
      <c r="I690" s="130" t="s">
        <v>1940</v>
      </c>
    </row>
    <row r="691" spans="1:9" ht="11.25" customHeight="1">
      <c r="A691" s="429"/>
      <c r="B691" s="430"/>
      <c r="C691" s="431"/>
      <c r="D691" s="429"/>
      <c r="E691" s="430"/>
      <c r="F691" s="430"/>
      <c r="G691" s="430"/>
      <c r="H691" s="429"/>
    </row>
    <row r="692" spans="1:9" ht="11.25" customHeight="1">
      <c r="A692" s="337"/>
      <c r="B692" s="334"/>
      <c r="C692" s="336"/>
      <c r="D692" s="337"/>
      <c r="E692" s="334"/>
      <c r="F692" s="334"/>
      <c r="G692" s="334"/>
      <c r="H692" s="337"/>
    </row>
    <row r="693" spans="1:9" ht="11.25" customHeight="1">
      <c r="A693" s="130" t="s">
        <v>542</v>
      </c>
      <c r="H693" s="337"/>
    </row>
    <row r="694" spans="1:9" ht="11.25" customHeight="1">
      <c r="A694" s="148" t="s">
        <v>1499</v>
      </c>
      <c r="H694" s="337"/>
    </row>
    <row r="695" spans="1:9" ht="24.75" customHeight="1">
      <c r="A695" s="418" t="s">
        <v>820</v>
      </c>
      <c r="B695" s="418" t="s">
        <v>2468</v>
      </c>
      <c r="C695" s="815" t="s">
        <v>346</v>
      </c>
      <c r="E695" s="418"/>
      <c r="F695" s="130"/>
      <c r="G695" s="419"/>
      <c r="H695" s="337"/>
    </row>
    <row r="696" spans="1:9" ht="28.5" customHeight="1">
      <c r="A696" s="814" t="s">
        <v>30</v>
      </c>
      <c r="B696" s="420" t="s">
        <v>19</v>
      </c>
      <c r="C696" s="343" t="s">
        <v>82</v>
      </c>
      <c r="D696" s="809" t="s">
        <v>79</v>
      </c>
      <c r="E696" s="809" t="s">
        <v>83</v>
      </c>
      <c r="F696" s="345" t="s">
        <v>84</v>
      </c>
      <c r="G696" s="421" t="s">
        <v>85</v>
      </c>
      <c r="H696" s="337"/>
    </row>
    <row r="697" spans="1:9" ht="28.5" customHeight="1">
      <c r="A697" s="811" t="s">
        <v>372</v>
      </c>
      <c r="B697" s="808" t="s">
        <v>373</v>
      </c>
      <c r="C697" s="343" t="s">
        <v>89</v>
      </c>
      <c r="D697" s="812" t="s">
        <v>1501</v>
      </c>
      <c r="E697" s="812">
        <v>0.161</v>
      </c>
      <c r="F697" s="345">
        <v>28.24</v>
      </c>
      <c r="G697" s="421">
        <f t="shared" ref="G697:G701" si="49">TRUNC(E697*F697,2)</f>
        <v>4.54</v>
      </c>
      <c r="H697" s="337"/>
    </row>
    <row r="698" spans="1:9" ht="28.5" customHeight="1">
      <c r="A698" s="811" t="s">
        <v>389</v>
      </c>
      <c r="B698" s="808" t="s">
        <v>2467</v>
      </c>
      <c r="C698" s="343" t="s">
        <v>89</v>
      </c>
      <c r="D698" s="812" t="s">
        <v>685</v>
      </c>
      <c r="E698" s="812">
        <v>2.5000000000000001E-2</v>
      </c>
      <c r="F698" s="414">
        <v>9</v>
      </c>
      <c r="G698" s="421">
        <f t="shared" si="49"/>
        <v>0.22</v>
      </c>
      <c r="H698" s="337"/>
    </row>
    <row r="699" spans="1:9" ht="28.5" customHeight="1">
      <c r="A699" s="811" t="s">
        <v>391</v>
      </c>
      <c r="B699" s="808" t="s">
        <v>392</v>
      </c>
      <c r="C699" s="343" t="s">
        <v>89</v>
      </c>
      <c r="D699" s="812" t="s">
        <v>685</v>
      </c>
      <c r="E699" s="812">
        <v>4.8999999999999998E-3</v>
      </c>
      <c r="F699" s="345">
        <v>35.71</v>
      </c>
      <c r="G699" s="421">
        <f t="shared" si="49"/>
        <v>0.17</v>
      </c>
      <c r="H699" s="337"/>
    </row>
    <row r="700" spans="1:9" ht="28.5" customHeight="1">
      <c r="A700" s="811" t="s">
        <v>387</v>
      </c>
      <c r="B700" s="808" t="s">
        <v>388</v>
      </c>
      <c r="C700" s="343" t="s">
        <v>89</v>
      </c>
      <c r="D700" s="812" t="s">
        <v>685</v>
      </c>
      <c r="E700" s="812">
        <v>0.18</v>
      </c>
      <c r="F700" s="345">
        <v>58.39</v>
      </c>
      <c r="G700" s="421">
        <f t="shared" si="49"/>
        <v>10.51</v>
      </c>
      <c r="H700" s="337"/>
    </row>
    <row r="701" spans="1:9" ht="28.5" customHeight="1">
      <c r="A701" s="811" t="s">
        <v>1500</v>
      </c>
      <c r="B701" s="808" t="s">
        <v>2469</v>
      </c>
      <c r="C701" s="343" t="s">
        <v>89</v>
      </c>
      <c r="D701" s="812" t="s">
        <v>346</v>
      </c>
      <c r="E701" s="812">
        <v>1.05</v>
      </c>
      <c r="F701" s="345">
        <v>49.45</v>
      </c>
      <c r="G701" s="421">
        <f t="shared" si="49"/>
        <v>51.92</v>
      </c>
      <c r="H701" s="337"/>
    </row>
    <row r="702" spans="1:9" ht="15" customHeight="1">
      <c r="A702" s="1317" t="s">
        <v>688</v>
      </c>
      <c r="B702" s="1310" t="s">
        <v>106</v>
      </c>
      <c r="C702" s="343" t="s">
        <v>102</v>
      </c>
      <c r="D702" s="1306" t="s">
        <v>345</v>
      </c>
      <c r="E702" s="1312">
        <v>0.63300000000000001</v>
      </c>
      <c r="F702" s="348">
        <f>'COMP AUX'!G104</f>
        <v>11.1</v>
      </c>
      <c r="G702" s="424">
        <f>TRUNC(E702*F702,2)</f>
        <v>7.02</v>
      </c>
      <c r="H702" s="337"/>
    </row>
    <row r="703" spans="1:9" ht="15" customHeight="1">
      <c r="A703" s="1318"/>
      <c r="B703" s="1311"/>
      <c r="C703" s="343" t="s">
        <v>89</v>
      </c>
      <c r="D703" s="1307"/>
      <c r="E703" s="1313"/>
      <c r="F703" s="348">
        <f>'COMP AUX'!G105</f>
        <v>4.5600000000000005</v>
      </c>
      <c r="G703" s="369">
        <f>TRUNC(E702*F703,2)</f>
        <v>2.88</v>
      </c>
      <c r="H703" s="337"/>
    </row>
    <row r="704" spans="1:9" ht="15" customHeight="1">
      <c r="A704" s="1319">
        <v>88323</v>
      </c>
      <c r="B704" s="1310" t="s">
        <v>393</v>
      </c>
      <c r="C704" s="343" t="s">
        <v>102</v>
      </c>
      <c r="D704" s="1306" t="s">
        <v>345</v>
      </c>
      <c r="E704" s="1312">
        <v>0.53900000000000003</v>
      </c>
      <c r="F704" s="365">
        <f>'COMP AUX'!G372</f>
        <v>16.16</v>
      </c>
      <c r="G704" s="369">
        <f t="shared" ref="G704" si="50">TRUNC(E704*F704,2)</f>
        <v>8.7100000000000009</v>
      </c>
      <c r="H704" s="337"/>
    </row>
    <row r="705" spans="1:9" ht="15" customHeight="1">
      <c r="A705" s="1320"/>
      <c r="B705" s="1311"/>
      <c r="C705" s="343" t="s">
        <v>89</v>
      </c>
      <c r="D705" s="1307"/>
      <c r="E705" s="1313"/>
      <c r="F705" s="365">
        <f>'COMP AUX'!G373</f>
        <v>4.5600000000000005</v>
      </c>
      <c r="G705" s="369">
        <f>TRUNC(E704*F705,2)</f>
        <v>2.4500000000000002</v>
      </c>
      <c r="H705" s="337"/>
    </row>
    <row r="706" spans="1:9" ht="15" customHeight="1">
      <c r="A706" s="1368" t="s">
        <v>1494</v>
      </c>
      <c r="B706" s="1370" t="s">
        <v>1496</v>
      </c>
      <c r="C706" s="343" t="s">
        <v>102</v>
      </c>
      <c r="D706" s="1306" t="s">
        <v>643</v>
      </c>
      <c r="E706" s="1321">
        <v>1.32E-2</v>
      </c>
      <c r="F706" s="365">
        <f>'COMP AUX'!G1322</f>
        <v>10.68</v>
      </c>
      <c r="G706" s="369">
        <f>TRUNC(E706*F706,2)</f>
        <v>0.14000000000000001</v>
      </c>
      <c r="H706" s="337"/>
    </row>
    <row r="707" spans="1:9" ht="15" customHeight="1">
      <c r="A707" s="1368"/>
      <c r="B707" s="1371"/>
      <c r="C707" s="343" t="s">
        <v>89</v>
      </c>
      <c r="D707" s="1307"/>
      <c r="E707" s="1322"/>
      <c r="F707" s="365">
        <f>'COMP AUX'!G1323</f>
        <v>6.7000000000000011</v>
      </c>
      <c r="G707" s="369">
        <f>TRUNC(E706*F707,2)</f>
        <v>0.08</v>
      </c>
      <c r="H707" s="337"/>
    </row>
    <row r="708" spans="1:9" ht="15" customHeight="1">
      <c r="A708" s="1368" t="s">
        <v>1495</v>
      </c>
      <c r="B708" s="1370" t="s">
        <v>1497</v>
      </c>
      <c r="C708" s="343" t="s">
        <v>102</v>
      </c>
      <c r="D708" s="1306" t="s">
        <v>622</v>
      </c>
      <c r="E708" s="1321">
        <v>1.83E-2</v>
      </c>
      <c r="F708" s="365">
        <f>'COMP AUX'!G1401</f>
        <v>10.68</v>
      </c>
      <c r="G708" s="369">
        <f>TRUNC(E708*F708,2)</f>
        <v>0.19</v>
      </c>
      <c r="H708" s="337"/>
    </row>
    <row r="709" spans="1:9" ht="15" customHeight="1">
      <c r="A709" s="1369"/>
      <c r="B709" s="1371"/>
      <c r="C709" s="343" t="s">
        <v>89</v>
      </c>
      <c r="D709" s="1307"/>
      <c r="E709" s="1322"/>
      <c r="F709" s="365">
        <f>'COMP AUX'!G1402</f>
        <v>4.45</v>
      </c>
      <c r="G709" s="369">
        <f>TRUNC(E708*F709,2)</f>
        <v>0.08</v>
      </c>
      <c r="H709" s="337"/>
    </row>
    <row r="710" spans="1:9" ht="15" customHeight="1">
      <c r="E710" s="146"/>
      <c r="F710" s="427" t="s">
        <v>92</v>
      </c>
      <c r="G710" s="379">
        <f>G704+G702+G706+G708</f>
        <v>16.060000000000002</v>
      </c>
    </row>
    <row r="711" spans="1:9" ht="15" customHeight="1">
      <c r="E711" s="146"/>
      <c r="F711" s="351" t="s">
        <v>94</v>
      </c>
      <c r="G711" s="369">
        <f>G697+G698+G699+G700+G703+G701+G705+G707+G709</f>
        <v>72.850000000000009</v>
      </c>
    </row>
    <row r="712" spans="1:9" ht="15" customHeight="1">
      <c r="A712" s="130" t="s">
        <v>96</v>
      </c>
      <c r="E712" s="146"/>
      <c r="F712" s="351" t="s">
        <v>95</v>
      </c>
      <c r="G712" s="370">
        <f>SUM(G710:G711)</f>
        <v>88.910000000000011</v>
      </c>
    </row>
    <row r="713" spans="1:9" ht="15" customHeight="1">
      <c r="A713" s="350" t="s">
        <v>97</v>
      </c>
      <c r="B713" s="461">
        <f>G712</f>
        <v>88.910000000000011</v>
      </c>
    </row>
    <row r="714" spans="1:9" ht="15" customHeight="1">
      <c r="A714" s="455" t="s">
        <v>1936</v>
      </c>
      <c r="B714" s="454"/>
    </row>
    <row r="715" spans="1:9" ht="15" customHeight="1">
      <c r="A715" s="535" t="s">
        <v>1995</v>
      </c>
      <c r="B715" s="454">
        <f>(B713+B714)*0.245</f>
        <v>21.782950000000003</v>
      </c>
    </row>
    <row r="716" spans="1:9" ht="15" customHeight="1">
      <c r="A716" s="350" t="s">
        <v>98</v>
      </c>
      <c r="B716" s="462">
        <f>SUM(B713:B715)</f>
        <v>110.69295000000001</v>
      </c>
      <c r="H716" s="473"/>
      <c r="I716" s="130" t="s">
        <v>1940</v>
      </c>
    </row>
    <row r="717" spans="1:9" ht="11.25" customHeight="1">
      <c r="A717" s="429"/>
      <c r="B717" s="430"/>
      <c r="C717" s="431"/>
      <c r="D717" s="429"/>
      <c r="E717" s="430"/>
      <c r="F717" s="430"/>
      <c r="G717" s="430"/>
      <c r="H717" s="429"/>
    </row>
    <row r="718" spans="1:9" ht="11.25" customHeight="1">
      <c r="A718" s="337"/>
      <c r="B718" s="334"/>
      <c r="C718" s="336"/>
      <c r="D718" s="337"/>
      <c r="E718" s="334"/>
      <c r="F718" s="334"/>
      <c r="G718" s="334"/>
      <c r="H718" s="337"/>
    </row>
    <row r="719" spans="1:9" ht="11.25" customHeight="1">
      <c r="A719" s="130" t="s">
        <v>542</v>
      </c>
      <c r="H719" s="337"/>
    </row>
    <row r="720" spans="1:9" ht="11.25" customHeight="1">
      <c r="A720" s="148" t="s">
        <v>1759</v>
      </c>
      <c r="H720" s="337"/>
    </row>
    <row r="721" spans="1:9" ht="15" customHeight="1">
      <c r="A721" s="418" t="s">
        <v>820</v>
      </c>
      <c r="B721" s="418" t="s">
        <v>1760</v>
      </c>
      <c r="C721" s="903" t="s">
        <v>346</v>
      </c>
      <c r="E721" s="418"/>
      <c r="F721" s="130"/>
      <c r="G721" s="419"/>
      <c r="H721" s="337"/>
    </row>
    <row r="722" spans="1:9" ht="22.5" customHeight="1">
      <c r="A722" s="896" t="s">
        <v>30</v>
      </c>
      <c r="B722" s="420" t="s">
        <v>19</v>
      </c>
      <c r="C722" s="343" t="s">
        <v>82</v>
      </c>
      <c r="D722" s="899" t="s">
        <v>79</v>
      </c>
      <c r="E722" s="899" t="s">
        <v>83</v>
      </c>
      <c r="F722" s="345" t="s">
        <v>84</v>
      </c>
      <c r="G722" s="421" t="s">
        <v>85</v>
      </c>
      <c r="H722" s="337"/>
    </row>
    <row r="723" spans="1:9" ht="28.5" customHeight="1">
      <c r="A723" s="900" t="s">
        <v>1761</v>
      </c>
      <c r="B723" s="898" t="s">
        <v>1762</v>
      </c>
      <c r="C723" s="343" t="s">
        <v>89</v>
      </c>
      <c r="D723" s="901" t="s">
        <v>858</v>
      </c>
      <c r="E723" s="901">
        <v>0.82499999999999996</v>
      </c>
      <c r="F723" s="345">
        <v>35.14</v>
      </c>
      <c r="G723" s="421">
        <f t="shared" ref="G723" si="51">TRUNC(E723*F723,2)</f>
        <v>28.99</v>
      </c>
      <c r="H723" s="337"/>
    </row>
    <row r="724" spans="1:9" ht="14.1" customHeight="1">
      <c r="A724" s="1317" t="s">
        <v>688</v>
      </c>
      <c r="B724" s="1310" t="s">
        <v>106</v>
      </c>
      <c r="C724" s="343" t="s">
        <v>102</v>
      </c>
      <c r="D724" s="1306" t="s">
        <v>345</v>
      </c>
      <c r="E724" s="1312">
        <v>0.12</v>
      </c>
      <c r="F724" s="348">
        <f>'COMP AUX'!G104</f>
        <v>11.1</v>
      </c>
      <c r="G724" s="424">
        <f>TRUNC(E724*F724,2)</f>
        <v>1.33</v>
      </c>
      <c r="H724" s="337"/>
    </row>
    <row r="725" spans="1:9" ht="14.1" customHeight="1">
      <c r="A725" s="1318"/>
      <c r="B725" s="1311"/>
      <c r="C725" s="343" t="s">
        <v>89</v>
      </c>
      <c r="D725" s="1307"/>
      <c r="E725" s="1313"/>
      <c r="F725" s="348">
        <f>'COMP AUX'!G105</f>
        <v>4.5600000000000005</v>
      </c>
      <c r="G725" s="369">
        <f>TRUNC(E724*F725,2)</f>
        <v>0.54</v>
      </c>
      <c r="H725" s="337"/>
    </row>
    <row r="726" spans="1:9" ht="14.1" customHeight="1">
      <c r="A726" s="1319">
        <v>88323</v>
      </c>
      <c r="B726" s="1310" t="s">
        <v>393</v>
      </c>
      <c r="C726" s="343" t="s">
        <v>102</v>
      </c>
      <c r="D726" s="1306" t="s">
        <v>345</v>
      </c>
      <c r="E726" s="1312">
        <v>0.12</v>
      </c>
      <c r="F726" s="365">
        <f>'COMP AUX'!G372</f>
        <v>16.16</v>
      </c>
      <c r="G726" s="369">
        <f t="shared" ref="G726" si="52">TRUNC(E726*F726,2)</f>
        <v>1.93</v>
      </c>
      <c r="H726" s="337"/>
    </row>
    <row r="727" spans="1:9" ht="14.1" customHeight="1">
      <c r="A727" s="1320"/>
      <c r="B727" s="1311"/>
      <c r="C727" s="343" t="s">
        <v>89</v>
      </c>
      <c r="D727" s="1307"/>
      <c r="E727" s="1313"/>
      <c r="F727" s="365">
        <f>'COMP AUX'!G373</f>
        <v>4.5600000000000005</v>
      </c>
      <c r="G727" s="369">
        <f>TRUNC(E726*F727,2)</f>
        <v>0.54</v>
      </c>
      <c r="H727" s="337"/>
    </row>
    <row r="728" spans="1:9" ht="14.1" customHeight="1">
      <c r="E728" s="146"/>
      <c r="F728" s="427" t="s">
        <v>92</v>
      </c>
      <c r="G728" s="379">
        <f>G724+G726</f>
        <v>3.26</v>
      </c>
    </row>
    <row r="729" spans="1:9" ht="14.1" customHeight="1">
      <c r="E729" s="146"/>
      <c r="F729" s="351" t="s">
        <v>94</v>
      </c>
      <c r="G729" s="369">
        <f>G723+G725+G727</f>
        <v>30.069999999999997</v>
      </c>
    </row>
    <row r="730" spans="1:9" ht="14.1" customHeight="1">
      <c r="A730" s="130" t="s">
        <v>96</v>
      </c>
      <c r="E730" s="146"/>
      <c r="F730" s="351" t="s">
        <v>95</v>
      </c>
      <c r="G730" s="370">
        <f>SUM(G728:G729)</f>
        <v>33.33</v>
      </c>
    </row>
    <row r="731" spans="1:9" ht="14.1" customHeight="1">
      <c r="A731" s="350" t="s">
        <v>97</v>
      </c>
      <c r="B731" s="461">
        <f>G730</f>
        <v>33.33</v>
      </c>
    </row>
    <row r="732" spans="1:9" ht="14.1" customHeight="1">
      <c r="A732" s="455" t="s">
        <v>1936</v>
      </c>
      <c r="B732" s="454"/>
    </row>
    <row r="733" spans="1:9" ht="14.1" customHeight="1">
      <c r="A733" s="535" t="s">
        <v>1995</v>
      </c>
      <c r="B733" s="454">
        <f>(B731+B732)*0.245</f>
        <v>8.1658499999999989</v>
      </c>
    </row>
    <row r="734" spans="1:9" ht="14.1" customHeight="1">
      <c r="A734" s="350" t="s">
        <v>98</v>
      </c>
      <c r="B734" s="462">
        <f>SUM(B731:B733)</f>
        <v>41.495849999999997</v>
      </c>
      <c r="H734" s="473"/>
      <c r="I734" s="130" t="s">
        <v>1940</v>
      </c>
    </row>
    <row r="735" spans="1:9" ht="11.25" customHeight="1">
      <c r="A735" s="429"/>
      <c r="B735" s="430"/>
      <c r="C735" s="431"/>
      <c r="D735" s="429"/>
      <c r="E735" s="430"/>
      <c r="F735" s="430"/>
      <c r="G735" s="430"/>
      <c r="H735" s="429"/>
    </row>
    <row r="736" spans="1:9" ht="11.25" customHeight="1">
      <c r="A736" s="337"/>
      <c r="B736" s="334"/>
      <c r="C736" s="336"/>
      <c r="D736" s="337"/>
      <c r="E736" s="334"/>
      <c r="F736" s="334"/>
      <c r="G736" s="334"/>
      <c r="H736" s="337"/>
    </row>
    <row r="737" spans="1:12" ht="11.25" customHeight="1">
      <c r="A737" s="130" t="s">
        <v>542</v>
      </c>
      <c r="H737" s="337"/>
    </row>
    <row r="738" spans="1:12" ht="11.25" customHeight="1">
      <c r="A738" s="148" t="s">
        <v>2311</v>
      </c>
      <c r="H738" s="337"/>
    </row>
    <row r="739" spans="1:12" ht="15" customHeight="1">
      <c r="A739" s="418" t="s">
        <v>820</v>
      </c>
      <c r="B739" s="418" t="s">
        <v>2210</v>
      </c>
      <c r="C739" s="635" t="s">
        <v>858</v>
      </c>
      <c r="D739" s="418"/>
      <c r="E739" s="130"/>
      <c r="F739" s="130"/>
      <c r="G739" s="419"/>
      <c r="H739" s="337"/>
    </row>
    <row r="740" spans="1:12" ht="26.25" customHeight="1">
      <c r="A740" s="1126" t="s">
        <v>30</v>
      </c>
      <c r="B740" s="420" t="s">
        <v>19</v>
      </c>
      <c r="C740" s="343" t="s">
        <v>82</v>
      </c>
      <c r="D740" s="1122" t="s">
        <v>79</v>
      </c>
      <c r="E740" s="1122" t="s">
        <v>83</v>
      </c>
      <c r="F740" s="345" t="s">
        <v>84</v>
      </c>
      <c r="G740" s="421" t="s">
        <v>85</v>
      </c>
      <c r="H740" s="337"/>
    </row>
    <row r="741" spans="1:12" ht="15" customHeight="1">
      <c r="A741" s="1317" t="s">
        <v>688</v>
      </c>
      <c r="B741" s="1310" t="s">
        <v>106</v>
      </c>
      <c r="C741" s="343" t="s">
        <v>102</v>
      </c>
      <c r="D741" s="1314" t="s">
        <v>345</v>
      </c>
      <c r="E741" s="1315">
        <v>1.4</v>
      </c>
      <c r="F741" s="348">
        <f>'COMP AUX'!G104</f>
        <v>11.1</v>
      </c>
      <c r="G741" s="424">
        <f>TRUNC(E741*F741,2)</f>
        <v>15.54</v>
      </c>
      <c r="H741" s="337"/>
    </row>
    <row r="742" spans="1:12" ht="15" customHeight="1">
      <c r="A742" s="1318"/>
      <c r="B742" s="1311"/>
      <c r="C742" s="343" t="s">
        <v>89</v>
      </c>
      <c r="D742" s="1314"/>
      <c r="E742" s="1316"/>
      <c r="F742" s="348">
        <f>'COMP AUX'!G105</f>
        <v>4.5600000000000005</v>
      </c>
      <c r="G742" s="369">
        <f>TRUNC(E741*F742,2)</f>
        <v>6.38</v>
      </c>
      <c r="H742" s="337"/>
    </row>
    <row r="743" spans="1:12" ht="15" customHeight="1">
      <c r="A743" s="1317">
        <v>88262</v>
      </c>
      <c r="B743" s="1310" t="s">
        <v>1165</v>
      </c>
      <c r="C743" s="343" t="s">
        <v>102</v>
      </c>
      <c r="D743" s="1364" t="s">
        <v>345</v>
      </c>
      <c r="E743" s="1315">
        <v>1.4</v>
      </c>
      <c r="F743" s="348">
        <f>'COMP AUX'!G87</f>
        <v>14.81</v>
      </c>
      <c r="G743" s="369">
        <f>TRUNC(E743:E743*F743,2)</f>
        <v>20.73</v>
      </c>
      <c r="H743" s="337"/>
    </row>
    <row r="744" spans="1:12" ht="15" customHeight="1">
      <c r="A744" s="1318"/>
      <c r="B744" s="1311"/>
      <c r="C744" s="343" t="s">
        <v>89</v>
      </c>
      <c r="D744" s="1365"/>
      <c r="E744" s="1316"/>
      <c r="F744" s="348">
        <f>'COMP AUX'!G88</f>
        <v>4.5600000000000005</v>
      </c>
      <c r="G744" s="369">
        <f>TRUNC(E743:E743*F744,2)</f>
        <v>6.38</v>
      </c>
      <c r="H744" s="337"/>
    </row>
    <row r="745" spans="1:12" ht="15" customHeight="1">
      <c r="A745" s="1124" t="s">
        <v>81</v>
      </c>
      <c r="B745" s="1121" t="s">
        <v>2196</v>
      </c>
      <c r="C745" s="343" t="s">
        <v>89</v>
      </c>
      <c r="D745" s="1123" t="s">
        <v>950</v>
      </c>
      <c r="E745" s="1187">
        <v>0.33400000000000002</v>
      </c>
      <c r="F745" s="348">
        <v>405.9</v>
      </c>
      <c r="G745" s="369">
        <f>TRUNC(E745*F745,2)</f>
        <v>135.57</v>
      </c>
      <c r="H745" s="337"/>
      <c r="K745" s="1037">
        <f>1.2*2.5</f>
        <v>3</v>
      </c>
      <c r="L745" s="130">
        <v>405.9</v>
      </c>
    </row>
    <row r="746" spans="1:12" ht="26.25" customHeight="1">
      <c r="A746" s="1124">
        <v>39422</v>
      </c>
      <c r="B746" s="1121" t="s">
        <v>2300</v>
      </c>
      <c r="C746" s="343" t="s">
        <v>89</v>
      </c>
      <c r="D746" s="1123" t="s">
        <v>822</v>
      </c>
      <c r="E746" s="1187">
        <v>0.33400000000000002</v>
      </c>
      <c r="F746" s="348">
        <v>5.16</v>
      </c>
      <c r="G746" s="369">
        <f>TRUNC(E746*F746,2)</f>
        <v>1.72</v>
      </c>
      <c r="H746" s="337"/>
      <c r="K746" s="130">
        <v>1</v>
      </c>
      <c r="L746" s="130">
        <f>L745/K745</f>
        <v>135.29999999999998</v>
      </c>
    </row>
    <row r="747" spans="1:12" ht="25.5" customHeight="1">
      <c r="A747" s="1124">
        <v>39419</v>
      </c>
      <c r="B747" s="1121" t="s">
        <v>2444</v>
      </c>
      <c r="C747" s="343" t="s">
        <v>89</v>
      </c>
      <c r="D747" s="1123" t="s">
        <v>822</v>
      </c>
      <c r="E747" s="1187">
        <v>0.33400000000000002</v>
      </c>
      <c r="F747" s="348">
        <v>4.55</v>
      </c>
      <c r="G747" s="369">
        <f t="shared" ref="G747:G748" si="53">TRUNC(E747*F747,2)</f>
        <v>1.51</v>
      </c>
      <c r="H747" s="337"/>
    </row>
    <row r="748" spans="1:12" ht="36" customHeight="1">
      <c r="A748" s="1124">
        <v>39434</v>
      </c>
      <c r="B748" s="1121" t="s">
        <v>2442</v>
      </c>
      <c r="C748" s="343" t="s">
        <v>89</v>
      </c>
      <c r="D748" s="1123" t="s">
        <v>685</v>
      </c>
      <c r="E748" s="1187">
        <v>10</v>
      </c>
      <c r="F748" s="348">
        <v>3.83</v>
      </c>
      <c r="G748" s="369">
        <f t="shared" si="53"/>
        <v>38.299999999999997</v>
      </c>
      <c r="H748" s="337"/>
    </row>
    <row r="749" spans="1:12" ht="39" customHeight="1">
      <c r="A749" s="420">
        <v>39438</v>
      </c>
      <c r="B749" s="630" t="s">
        <v>2443</v>
      </c>
      <c r="C749" s="343" t="s">
        <v>89</v>
      </c>
      <c r="D749" s="345" t="s">
        <v>822</v>
      </c>
      <c r="E749" s="348">
        <v>34</v>
      </c>
      <c r="F749" s="348">
        <v>0.13</v>
      </c>
      <c r="G749" s="369">
        <f t="shared" ref="G749:G750" si="54">TRUNC(E749*F749,2)</f>
        <v>4.42</v>
      </c>
      <c r="H749" s="337"/>
    </row>
    <row r="750" spans="1:12" ht="15" customHeight="1">
      <c r="A750" s="1125">
        <v>20247</v>
      </c>
      <c r="B750" s="1225" t="s">
        <v>2441</v>
      </c>
      <c r="C750" s="343" t="s">
        <v>89</v>
      </c>
      <c r="D750" s="364" t="s">
        <v>685</v>
      </c>
      <c r="E750" s="437">
        <v>0.33400000000000002</v>
      </c>
      <c r="F750" s="365">
        <v>10.130000000000001</v>
      </c>
      <c r="G750" s="369">
        <f t="shared" si="54"/>
        <v>3.38</v>
      </c>
      <c r="H750" s="337"/>
    </row>
    <row r="751" spans="1:12" ht="15" customHeight="1">
      <c r="E751" s="146"/>
      <c r="F751" s="427" t="s">
        <v>92</v>
      </c>
      <c r="G751" s="379">
        <f>G741+G743</f>
        <v>36.269999999999996</v>
      </c>
    </row>
    <row r="752" spans="1:12" ht="15" customHeight="1">
      <c r="E752" s="146"/>
      <c r="F752" s="351" t="s">
        <v>94</v>
      </c>
      <c r="G752" s="369">
        <f>G742+G744+G745+G746+G747+G748+G749+G750</f>
        <v>197.65999999999994</v>
      </c>
    </row>
    <row r="753" spans="1:9" ht="15" customHeight="1">
      <c r="A753" s="130" t="s">
        <v>96</v>
      </c>
      <c r="E753" s="146"/>
      <c r="F753" s="351" t="s">
        <v>95</v>
      </c>
      <c r="G753" s="370">
        <f>SUM(G751:G752)</f>
        <v>233.92999999999995</v>
      </c>
    </row>
    <row r="754" spans="1:9" ht="15" customHeight="1">
      <c r="A754" s="350" t="s">
        <v>97</v>
      </c>
      <c r="B754" s="461">
        <f>G753</f>
        <v>233.92999999999995</v>
      </c>
    </row>
    <row r="755" spans="1:9" ht="15" customHeight="1">
      <c r="A755" s="455" t="s">
        <v>1936</v>
      </c>
      <c r="B755" s="454"/>
    </row>
    <row r="756" spans="1:9" ht="15" customHeight="1">
      <c r="A756" s="535" t="s">
        <v>1995</v>
      </c>
      <c r="B756" s="454">
        <f>(B754+B755)*0.245</f>
        <v>57.312849999999983</v>
      </c>
    </row>
    <row r="757" spans="1:9" ht="15" customHeight="1">
      <c r="A757" s="350" t="s">
        <v>98</v>
      </c>
      <c r="B757" s="462">
        <f>SUM(B754:B756)</f>
        <v>291.24284999999992</v>
      </c>
      <c r="H757" s="473"/>
      <c r="I757" s="130" t="s">
        <v>1940</v>
      </c>
    </row>
    <row r="758" spans="1:9" ht="11.25" customHeight="1">
      <c r="A758" s="429"/>
      <c r="B758" s="430"/>
      <c r="C758" s="431"/>
      <c r="D758" s="429"/>
      <c r="E758" s="430"/>
      <c r="F758" s="430"/>
      <c r="G758" s="430"/>
      <c r="H758" s="429"/>
    </row>
    <row r="759" spans="1:9" ht="11.25" customHeight="1">
      <c r="A759" s="337"/>
      <c r="B759" s="334"/>
      <c r="C759" s="336"/>
      <c r="D759" s="337"/>
      <c r="E759" s="334"/>
      <c r="F759" s="334"/>
      <c r="G759" s="334"/>
      <c r="H759" s="337"/>
    </row>
    <row r="760" spans="1:9" ht="11.25" customHeight="1">
      <c r="A760" s="130" t="s">
        <v>542</v>
      </c>
      <c r="H760" s="337"/>
    </row>
    <row r="761" spans="1:9" ht="11.25" customHeight="1">
      <c r="A761" s="148" t="s">
        <v>2199</v>
      </c>
      <c r="H761" s="337"/>
    </row>
    <row r="762" spans="1:9" ht="15" customHeight="1">
      <c r="A762" s="418" t="s">
        <v>820</v>
      </c>
      <c r="B762" s="418" t="s">
        <v>2197</v>
      </c>
      <c r="C762" s="635" t="s">
        <v>858</v>
      </c>
      <c r="D762" s="418"/>
      <c r="E762" s="130"/>
      <c r="F762" s="130"/>
      <c r="G762" s="419"/>
      <c r="H762" s="337"/>
    </row>
    <row r="763" spans="1:9" ht="24" customHeight="1">
      <c r="A763" s="1119" t="s">
        <v>30</v>
      </c>
      <c r="B763" s="420" t="s">
        <v>19</v>
      </c>
      <c r="C763" s="343" t="s">
        <v>82</v>
      </c>
      <c r="D763" s="1114" t="s">
        <v>79</v>
      </c>
      <c r="E763" s="1114" t="s">
        <v>83</v>
      </c>
      <c r="F763" s="345" t="s">
        <v>84</v>
      </c>
      <c r="G763" s="421" t="s">
        <v>85</v>
      </c>
      <c r="H763" s="337"/>
    </row>
    <row r="764" spans="1:9" ht="15" customHeight="1">
      <c r="A764" s="1317" t="s">
        <v>688</v>
      </c>
      <c r="B764" s="1310" t="s">
        <v>106</v>
      </c>
      <c r="C764" s="343" t="s">
        <v>102</v>
      </c>
      <c r="D764" s="1314" t="s">
        <v>345</v>
      </c>
      <c r="E764" s="1353">
        <v>0.3</v>
      </c>
      <c r="F764" s="348">
        <f>'COMP AUX'!G104</f>
        <v>11.1</v>
      </c>
      <c r="G764" s="424">
        <f>TRUNC(E764*F764,2)</f>
        <v>3.33</v>
      </c>
      <c r="H764" s="337"/>
    </row>
    <row r="765" spans="1:9" ht="15" customHeight="1">
      <c r="A765" s="1318"/>
      <c r="B765" s="1311"/>
      <c r="C765" s="343" t="s">
        <v>89</v>
      </c>
      <c r="D765" s="1314"/>
      <c r="E765" s="1354"/>
      <c r="F765" s="348">
        <f>'COMP AUX'!G105</f>
        <v>4.5600000000000005</v>
      </c>
      <c r="G765" s="369">
        <f>TRUNC(E764*F765,2)</f>
        <v>1.36</v>
      </c>
      <c r="H765" s="337"/>
    </row>
    <row r="766" spans="1:9" ht="15" customHeight="1">
      <c r="A766" s="1317">
        <v>88262</v>
      </c>
      <c r="B766" s="1310" t="s">
        <v>1165</v>
      </c>
      <c r="C766" s="343" t="s">
        <v>102</v>
      </c>
      <c r="D766" s="1364" t="s">
        <v>345</v>
      </c>
      <c r="E766" s="1353">
        <v>0.3</v>
      </c>
      <c r="F766" s="348">
        <f>'COMP AUX'!G87</f>
        <v>14.81</v>
      </c>
      <c r="G766" s="369">
        <f>TRUNC(E766:E766*F766,2)</f>
        <v>4.4400000000000004</v>
      </c>
      <c r="H766" s="337"/>
    </row>
    <row r="767" spans="1:9" ht="15" customHeight="1">
      <c r="A767" s="1318"/>
      <c r="B767" s="1311"/>
      <c r="C767" s="343" t="s">
        <v>89</v>
      </c>
      <c r="D767" s="1365"/>
      <c r="E767" s="1354"/>
      <c r="F767" s="348">
        <f>'COMP AUX'!G88</f>
        <v>4.5600000000000005</v>
      </c>
      <c r="G767" s="369">
        <f>TRUNC(E766:E766*F767,2)</f>
        <v>1.36</v>
      </c>
      <c r="H767" s="337"/>
    </row>
    <row r="768" spans="1:9" ht="15" customHeight="1">
      <c r="A768" s="1117" t="s">
        <v>81</v>
      </c>
      <c r="B768" s="1113" t="s">
        <v>2196</v>
      </c>
      <c r="C768" s="343" t="s">
        <v>89</v>
      </c>
      <c r="D768" s="1116" t="s">
        <v>950</v>
      </c>
      <c r="E768" s="1115">
        <v>0.33400000000000002</v>
      </c>
      <c r="F768" s="348">
        <v>405.9</v>
      </c>
      <c r="G768" s="369">
        <f>TRUNC(E768*F768,2)</f>
        <v>135.57</v>
      </c>
      <c r="H768" s="337"/>
    </row>
    <row r="769" spans="1:8" ht="34.5" customHeight="1">
      <c r="A769" s="1118">
        <v>11950</v>
      </c>
      <c r="B769" s="362" t="s">
        <v>2301</v>
      </c>
      <c r="C769" s="343" t="s">
        <v>89</v>
      </c>
      <c r="D769" s="364" t="s">
        <v>822</v>
      </c>
      <c r="E769" s="437">
        <v>34</v>
      </c>
      <c r="F769" s="365">
        <v>0.2</v>
      </c>
      <c r="G769" s="369">
        <f t="shared" ref="G769" si="55">TRUNC(E769*F769,2)</f>
        <v>6.8</v>
      </c>
      <c r="H769" s="337"/>
    </row>
    <row r="770" spans="1:8" ht="14.1" customHeight="1">
      <c r="E770" s="146"/>
      <c r="F770" s="427" t="s">
        <v>92</v>
      </c>
      <c r="G770" s="379">
        <f>G764+G766</f>
        <v>7.7700000000000005</v>
      </c>
    </row>
    <row r="771" spans="1:8" ht="14.1" customHeight="1">
      <c r="E771" s="146"/>
      <c r="F771" s="351" t="s">
        <v>94</v>
      </c>
      <c r="G771" s="369">
        <f>G765+G767+G768+G769</f>
        <v>145.09</v>
      </c>
    </row>
    <row r="772" spans="1:8" ht="14.1" customHeight="1">
      <c r="A772" s="130" t="s">
        <v>96</v>
      </c>
      <c r="E772" s="146"/>
      <c r="F772" s="351" t="s">
        <v>95</v>
      </c>
      <c r="G772" s="370">
        <f>SUM(G770:G771)</f>
        <v>152.86000000000001</v>
      </c>
    </row>
    <row r="773" spans="1:8" ht="14.1" customHeight="1">
      <c r="A773" s="350" t="s">
        <v>97</v>
      </c>
      <c r="B773" s="461">
        <f>G772</f>
        <v>152.86000000000001</v>
      </c>
    </row>
    <row r="774" spans="1:8" ht="14.1" customHeight="1">
      <c r="A774" s="455" t="s">
        <v>1936</v>
      </c>
      <c r="B774" s="454"/>
    </row>
    <row r="775" spans="1:8" ht="14.1" customHeight="1">
      <c r="A775" s="535" t="s">
        <v>1995</v>
      </c>
      <c r="B775" s="454">
        <f>(B773+B774)*0.245</f>
        <v>37.450700000000005</v>
      </c>
    </row>
    <row r="776" spans="1:8" ht="14.1" customHeight="1">
      <c r="A776" s="350" t="s">
        <v>98</v>
      </c>
      <c r="B776" s="462">
        <f>SUM(B773:B775)</f>
        <v>190.31070000000003</v>
      </c>
      <c r="H776" s="473"/>
    </row>
    <row r="777" spans="1:8" ht="11.25" customHeight="1">
      <c r="A777" s="429"/>
      <c r="B777" s="430"/>
      <c r="C777" s="431"/>
      <c r="D777" s="429"/>
      <c r="E777" s="430"/>
      <c r="F777" s="430"/>
      <c r="G777" s="430"/>
      <c r="H777" s="429"/>
    </row>
    <row r="778" spans="1:8" ht="11.25" customHeight="1">
      <c r="A778" s="337"/>
      <c r="B778" s="334"/>
      <c r="C778" s="336"/>
      <c r="D778" s="337"/>
      <c r="E778" s="334"/>
      <c r="F778" s="334"/>
      <c r="G778" s="334"/>
      <c r="H778" s="337"/>
    </row>
    <row r="779" spans="1:8" ht="11.25" customHeight="1">
      <c r="A779" s="130" t="s">
        <v>542</v>
      </c>
      <c r="H779" s="337"/>
    </row>
    <row r="780" spans="1:8" ht="11.25" customHeight="1">
      <c r="A780" s="148" t="s">
        <v>2448</v>
      </c>
      <c r="H780" s="337"/>
    </row>
    <row r="781" spans="1:8" ht="26.25" customHeight="1">
      <c r="A781" s="418" t="s">
        <v>820</v>
      </c>
      <c r="B781" s="1356" t="s">
        <v>2447</v>
      </c>
      <c r="C781" s="1356"/>
      <c r="D781" s="635" t="s">
        <v>858</v>
      </c>
      <c r="E781" s="130"/>
      <c r="F781" s="130"/>
      <c r="G781" s="419"/>
      <c r="H781" s="337"/>
    </row>
    <row r="782" spans="1:8" ht="24.75" customHeight="1">
      <c r="A782" s="1260" t="s">
        <v>30</v>
      </c>
      <c r="B782" s="420" t="s">
        <v>19</v>
      </c>
      <c r="C782" s="343" t="s">
        <v>82</v>
      </c>
      <c r="D782" s="1257" t="s">
        <v>79</v>
      </c>
      <c r="E782" s="1257" t="s">
        <v>83</v>
      </c>
      <c r="F782" s="345" t="s">
        <v>84</v>
      </c>
      <c r="G782" s="421" t="s">
        <v>85</v>
      </c>
      <c r="H782" s="337"/>
    </row>
    <row r="783" spans="1:8" ht="14.1" customHeight="1">
      <c r="A783" s="1317" t="s">
        <v>688</v>
      </c>
      <c r="B783" s="1310" t="s">
        <v>106</v>
      </c>
      <c r="C783" s="343" t="s">
        <v>102</v>
      </c>
      <c r="D783" s="1314" t="s">
        <v>345</v>
      </c>
      <c r="E783" s="1315">
        <v>4</v>
      </c>
      <c r="F783" s="348">
        <f>'COMP AUX'!G104</f>
        <v>11.1</v>
      </c>
      <c r="G783" s="424">
        <f>TRUNC(E783*F783,2)</f>
        <v>44.4</v>
      </c>
      <c r="H783" s="337"/>
    </row>
    <row r="784" spans="1:8" ht="14.1" customHeight="1">
      <c r="A784" s="1318"/>
      <c r="B784" s="1311"/>
      <c r="C784" s="343" t="s">
        <v>89</v>
      </c>
      <c r="D784" s="1314"/>
      <c r="E784" s="1316"/>
      <c r="F784" s="348">
        <f>'COMP AUX'!G105</f>
        <v>4.5600000000000005</v>
      </c>
      <c r="G784" s="369">
        <f>TRUNC(E783*F784,2)</f>
        <v>18.239999999999998</v>
      </c>
      <c r="H784" s="337"/>
    </row>
    <row r="785" spans="1:10" ht="14.1" customHeight="1">
      <c r="A785" s="1317">
        <v>88262</v>
      </c>
      <c r="B785" s="1310" t="s">
        <v>1114</v>
      </c>
      <c r="C785" s="343" t="s">
        <v>102</v>
      </c>
      <c r="D785" s="1364" t="s">
        <v>345</v>
      </c>
      <c r="E785" s="1315">
        <v>4</v>
      </c>
      <c r="F785" s="348">
        <f>'COMP AUX'!G440</f>
        <v>14.81</v>
      </c>
      <c r="G785" s="369">
        <f>TRUNC(E785:E785*F785,2)</f>
        <v>59.24</v>
      </c>
      <c r="H785" s="337"/>
    </row>
    <row r="786" spans="1:10" ht="14.1" customHeight="1">
      <c r="A786" s="1318"/>
      <c r="B786" s="1311"/>
      <c r="C786" s="343" t="s">
        <v>89</v>
      </c>
      <c r="D786" s="1365"/>
      <c r="E786" s="1316"/>
      <c r="F786" s="348">
        <f>'COMP AUX'!G441</f>
        <v>4.5600000000000005</v>
      </c>
      <c r="G786" s="369">
        <f>TRUNC(E785:E785*F786,2)</f>
        <v>18.239999999999998</v>
      </c>
      <c r="H786" s="337"/>
    </row>
    <row r="787" spans="1:10" ht="14.1" customHeight="1">
      <c r="A787" s="1261">
        <v>583</v>
      </c>
      <c r="B787" s="1256" t="s">
        <v>2446</v>
      </c>
      <c r="C787" s="343" t="s">
        <v>89</v>
      </c>
      <c r="D787" s="1259" t="s">
        <v>685</v>
      </c>
      <c r="E787" s="1258">
        <v>10.5</v>
      </c>
      <c r="F787" s="348">
        <v>21.59</v>
      </c>
      <c r="G787" s="369">
        <f>TRUNC(E787*F787,2)</f>
        <v>226.69</v>
      </c>
      <c r="H787" s="337"/>
    </row>
    <row r="788" spans="1:10" ht="14.1" customHeight="1">
      <c r="E788" s="146"/>
      <c r="F788" s="427" t="s">
        <v>92</v>
      </c>
      <c r="G788" s="379">
        <f>G783+G785</f>
        <v>103.64</v>
      </c>
    </row>
    <row r="789" spans="1:10" ht="14.1" customHeight="1">
      <c r="E789" s="146"/>
      <c r="F789" s="351" t="s">
        <v>94</v>
      </c>
      <c r="G789" s="369">
        <f>G784+G786+G787</f>
        <v>263.17</v>
      </c>
    </row>
    <row r="790" spans="1:10" ht="14.1" customHeight="1">
      <c r="A790" s="130" t="s">
        <v>96</v>
      </c>
      <c r="E790" s="146"/>
      <c r="F790" s="351" t="s">
        <v>95</v>
      </c>
      <c r="G790" s="370">
        <f>SUM(G788:G789)</f>
        <v>366.81</v>
      </c>
    </row>
    <row r="791" spans="1:10" ht="14.1" customHeight="1">
      <c r="A791" s="350" t="s">
        <v>97</v>
      </c>
      <c r="B791" s="461">
        <f>G790</f>
        <v>366.81</v>
      </c>
    </row>
    <row r="792" spans="1:10" ht="14.1" customHeight="1">
      <c r="A792" s="455" t="s">
        <v>1936</v>
      </c>
      <c r="B792" s="454"/>
    </row>
    <row r="793" spans="1:10" ht="14.1" customHeight="1">
      <c r="A793" s="535" t="s">
        <v>1995</v>
      </c>
      <c r="B793" s="454">
        <f>(B791+B792)*0.245</f>
        <v>89.868449999999996</v>
      </c>
    </row>
    <row r="794" spans="1:10" ht="14.1" customHeight="1">
      <c r="A794" s="350" t="s">
        <v>98</v>
      </c>
      <c r="B794" s="462">
        <f>SUM(B791:B793)</f>
        <v>456.67845</v>
      </c>
      <c r="H794" s="473"/>
    </row>
    <row r="795" spans="1:10" ht="11.25" customHeight="1">
      <c r="A795" s="429"/>
      <c r="B795" s="430"/>
      <c r="C795" s="431"/>
      <c r="D795" s="429"/>
      <c r="E795" s="430"/>
      <c r="F795" s="430"/>
      <c r="G795" s="430"/>
      <c r="H795" s="429"/>
    </row>
    <row r="796" spans="1:10" ht="11.25" customHeight="1">
      <c r="A796" s="337"/>
      <c r="B796" s="334"/>
      <c r="C796" s="336"/>
      <c r="D796" s="337"/>
      <c r="E796" s="334"/>
      <c r="F796" s="334"/>
      <c r="G796" s="334"/>
      <c r="H796" s="337"/>
    </row>
    <row r="797" spans="1:10" ht="13.5" customHeight="1">
      <c r="A797" s="130" t="s">
        <v>542</v>
      </c>
      <c r="H797" s="337"/>
    </row>
    <row r="798" spans="1:10" ht="13.5" customHeight="1">
      <c r="A798" s="148" t="s">
        <v>2217</v>
      </c>
      <c r="H798" s="337"/>
    </row>
    <row r="799" spans="1:10" ht="15.75" customHeight="1">
      <c r="A799" s="418" t="s">
        <v>820</v>
      </c>
      <c r="B799" s="418" t="s">
        <v>2216</v>
      </c>
      <c r="C799" s="635" t="s">
        <v>858</v>
      </c>
      <c r="D799" s="418"/>
      <c r="E799" s="130"/>
      <c r="F799" s="130"/>
      <c r="G799" s="419"/>
      <c r="H799" s="337"/>
      <c r="J799" s="130">
        <v>72118</v>
      </c>
    </row>
    <row r="800" spans="1:10" ht="24.75" customHeight="1">
      <c r="A800" s="1133" t="s">
        <v>30</v>
      </c>
      <c r="B800" s="420" t="s">
        <v>19</v>
      </c>
      <c r="C800" s="343" t="s">
        <v>82</v>
      </c>
      <c r="D800" s="1131" t="s">
        <v>79</v>
      </c>
      <c r="E800" s="1131" t="s">
        <v>83</v>
      </c>
      <c r="F800" s="345" t="s">
        <v>84</v>
      </c>
      <c r="G800" s="421" t="s">
        <v>85</v>
      </c>
      <c r="H800" s="337"/>
    </row>
    <row r="801" spans="1:8" ht="15" customHeight="1">
      <c r="A801" s="1317" t="s">
        <v>688</v>
      </c>
      <c r="B801" s="1310" t="s">
        <v>106</v>
      </c>
      <c r="C801" s="343" t="s">
        <v>102</v>
      </c>
      <c r="D801" s="1314" t="s">
        <v>345</v>
      </c>
      <c r="E801" s="1315">
        <v>0.5</v>
      </c>
      <c r="F801" s="348">
        <f>'COMP AUX'!G104</f>
        <v>11.1</v>
      </c>
      <c r="G801" s="424">
        <f>TRUNC(E801*F801,2)</f>
        <v>5.55</v>
      </c>
      <c r="H801" s="337"/>
    </row>
    <row r="802" spans="1:8" ht="15" customHeight="1">
      <c r="A802" s="1318"/>
      <c r="B802" s="1311"/>
      <c r="C802" s="343" t="s">
        <v>89</v>
      </c>
      <c r="D802" s="1314"/>
      <c r="E802" s="1316"/>
      <c r="F802" s="348">
        <f>'COMP AUX'!G105</f>
        <v>4.5600000000000005</v>
      </c>
      <c r="G802" s="369">
        <f>TRUNC(E801*F802,2)</f>
        <v>2.2799999999999998</v>
      </c>
      <c r="H802" s="337"/>
    </row>
    <row r="803" spans="1:8" ht="15" customHeight="1">
      <c r="A803" s="1317">
        <v>88325</v>
      </c>
      <c r="B803" s="1310" t="s">
        <v>2221</v>
      </c>
      <c r="C803" s="343" t="s">
        <v>102</v>
      </c>
      <c r="D803" s="1364" t="s">
        <v>345</v>
      </c>
      <c r="E803" s="1315">
        <v>0.5</v>
      </c>
      <c r="F803" s="348">
        <f>'COMP AUX'!G423</f>
        <v>14.21</v>
      </c>
      <c r="G803" s="369">
        <f>TRUNC(E803:E803*F803,2)</f>
        <v>7.1</v>
      </c>
      <c r="H803" s="337"/>
    </row>
    <row r="804" spans="1:8" ht="15" customHeight="1">
      <c r="A804" s="1318"/>
      <c r="B804" s="1311"/>
      <c r="C804" s="343" t="s">
        <v>89</v>
      </c>
      <c r="D804" s="1365"/>
      <c r="E804" s="1316"/>
      <c r="F804" s="348">
        <f>'COMP AUX'!G424</f>
        <v>3.16</v>
      </c>
      <c r="G804" s="369">
        <f>TRUNC(E803:E803*F804,2)</f>
        <v>1.58</v>
      </c>
      <c r="H804" s="337"/>
    </row>
    <row r="805" spans="1:8" ht="15" customHeight="1">
      <c r="A805" s="1136" t="s">
        <v>2219</v>
      </c>
      <c r="B805" s="1127" t="s">
        <v>2220</v>
      </c>
      <c r="C805" s="343" t="s">
        <v>89</v>
      </c>
      <c r="D805" s="1128" t="s">
        <v>685</v>
      </c>
      <c r="E805" s="1129">
        <v>1.5</v>
      </c>
      <c r="F805" s="348">
        <v>6.69</v>
      </c>
      <c r="G805" s="369">
        <f>TRUNC(E805*F805,2)</f>
        <v>10.029999999999999</v>
      </c>
      <c r="H805" s="337"/>
    </row>
    <row r="806" spans="1:8" ht="24" customHeight="1">
      <c r="A806" s="420">
        <v>10496</v>
      </c>
      <c r="B806" s="630" t="s">
        <v>2222</v>
      </c>
      <c r="C806" s="343" t="s">
        <v>89</v>
      </c>
      <c r="D806" s="345" t="s">
        <v>858</v>
      </c>
      <c r="E806" s="1135">
        <v>1</v>
      </c>
      <c r="F806" s="348">
        <v>438.88</v>
      </c>
      <c r="G806" s="369">
        <f t="shared" ref="G806" si="56">TRUNC(E806*F806,2)</f>
        <v>438.88</v>
      </c>
      <c r="H806" s="337"/>
    </row>
    <row r="807" spans="1:8" ht="15" customHeight="1">
      <c r="E807" s="146"/>
      <c r="F807" s="427" t="s">
        <v>92</v>
      </c>
      <c r="G807" s="379">
        <f>G801+G803</f>
        <v>12.649999999999999</v>
      </c>
    </row>
    <row r="808" spans="1:8" ht="15" customHeight="1">
      <c r="E808" s="146"/>
      <c r="F808" s="351" t="s">
        <v>94</v>
      </c>
      <c r="G808" s="369">
        <f>G802+G804+G805+G806</f>
        <v>452.77</v>
      </c>
    </row>
    <row r="809" spans="1:8" ht="15" customHeight="1">
      <c r="A809" s="130" t="s">
        <v>96</v>
      </c>
      <c r="E809" s="146"/>
      <c r="F809" s="351" t="s">
        <v>95</v>
      </c>
      <c r="G809" s="370">
        <f>SUM(G807:G808)</f>
        <v>465.41999999999996</v>
      </c>
    </row>
    <row r="810" spans="1:8" ht="15" customHeight="1">
      <c r="A810" s="350" t="s">
        <v>97</v>
      </c>
      <c r="B810" s="461">
        <f>G809</f>
        <v>465.41999999999996</v>
      </c>
    </row>
    <row r="811" spans="1:8" ht="15" customHeight="1">
      <c r="A811" s="455" t="s">
        <v>1936</v>
      </c>
      <c r="B811" s="454"/>
    </row>
    <row r="812" spans="1:8" ht="15" customHeight="1">
      <c r="A812" s="535" t="s">
        <v>1995</v>
      </c>
      <c r="B812" s="454">
        <f>(B810+B811)*0.245</f>
        <v>114.02789999999999</v>
      </c>
    </row>
    <row r="813" spans="1:8" ht="15" customHeight="1">
      <c r="A813" s="350" t="s">
        <v>98</v>
      </c>
      <c r="B813" s="462">
        <f>SUM(B810:B812)</f>
        <v>579.44789999999989</v>
      </c>
      <c r="H813" s="473"/>
    </row>
    <row r="814" spans="1:8" ht="11.25" customHeight="1">
      <c r="A814" s="429"/>
      <c r="B814" s="430"/>
      <c r="C814" s="431"/>
      <c r="D814" s="429"/>
      <c r="E814" s="430"/>
      <c r="F814" s="430"/>
      <c r="G814" s="430"/>
      <c r="H814" s="429"/>
    </row>
    <row r="815" spans="1:8" ht="11.25" customHeight="1">
      <c r="A815" s="337"/>
      <c r="B815" s="334"/>
      <c r="C815" s="336"/>
      <c r="D815" s="337"/>
      <c r="E815" s="334"/>
      <c r="F815" s="334"/>
      <c r="G815" s="334"/>
      <c r="H815" s="337"/>
    </row>
    <row r="816" spans="1:8" ht="11.25" customHeight="1">
      <c r="A816" s="130" t="s">
        <v>542</v>
      </c>
      <c r="H816" s="337"/>
    </row>
    <row r="817" spans="1:8" ht="11.25" customHeight="1">
      <c r="A817" s="148" t="s">
        <v>2230</v>
      </c>
      <c r="H817" s="337"/>
    </row>
    <row r="818" spans="1:8" ht="15" customHeight="1">
      <c r="A818" s="418" t="s">
        <v>820</v>
      </c>
      <c r="B818" s="418" t="s">
        <v>2233</v>
      </c>
      <c r="C818" s="635" t="s">
        <v>858</v>
      </c>
      <c r="D818" s="418"/>
      <c r="E818" s="130"/>
      <c r="F818" s="130"/>
      <c r="G818" s="419"/>
      <c r="H818" s="337"/>
    </row>
    <row r="819" spans="1:8" ht="21" customHeight="1">
      <c r="A819" s="1133" t="s">
        <v>30</v>
      </c>
      <c r="B819" s="420" t="s">
        <v>19</v>
      </c>
      <c r="C819" s="343" t="s">
        <v>82</v>
      </c>
      <c r="D819" s="1131" t="s">
        <v>79</v>
      </c>
      <c r="E819" s="1131" t="s">
        <v>83</v>
      </c>
      <c r="F819" s="345" t="s">
        <v>84</v>
      </c>
      <c r="G819" s="421" t="s">
        <v>85</v>
      </c>
      <c r="H819" s="337"/>
    </row>
    <row r="820" spans="1:8" ht="14.1" customHeight="1">
      <c r="A820" s="1317" t="s">
        <v>688</v>
      </c>
      <c r="B820" s="1310" t="s">
        <v>106</v>
      </c>
      <c r="C820" s="343" t="s">
        <v>102</v>
      </c>
      <c r="D820" s="1314" t="s">
        <v>345</v>
      </c>
      <c r="E820" s="1315">
        <v>0.2</v>
      </c>
      <c r="F820" s="348">
        <f>'COMP AUX'!G104</f>
        <v>11.1</v>
      </c>
      <c r="G820" s="424">
        <f>TRUNC(E820*F820,2)</f>
        <v>2.2200000000000002</v>
      </c>
      <c r="H820" s="337"/>
    </row>
    <row r="821" spans="1:8" ht="14.1" customHeight="1">
      <c r="A821" s="1318"/>
      <c r="B821" s="1311"/>
      <c r="C821" s="343" t="s">
        <v>89</v>
      </c>
      <c r="D821" s="1314"/>
      <c r="E821" s="1316"/>
      <c r="F821" s="348">
        <f>'COMP AUX'!G105</f>
        <v>4.5600000000000005</v>
      </c>
      <c r="G821" s="369">
        <f>TRUNC(E820*F821,2)</f>
        <v>0.91</v>
      </c>
      <c r="H821" s="337"/>
    </row>
    <row r="822" spans="1:8" ht="14.1" customHeight="1">
      <c r="A822" s="1317">
        <v>88325</v>
      </c>
      <c r="B822" s="1310" t="s">
        <v>2221</v>
      </c>
      <c r="C822" s="343" t="s">
        <v>102</v>
      </c>
      <c r="D822" s="1364" t="s">
        <v>345</v>
      </c>
      <c r="E822" s="1315">
        <v>1</v>
      </c>
      <c r="F822" s="348">
        <f>'COMP AUX'!G423</f>
        <v>14.21</v>
      </c>
      <c r="G822" s="369">
        <f>TRUNC(E822:E822*F822,2)</f>
        <v>14.21</v>
      </c>
      <c r="H822" s="337"/>
    </row>
    <row r="823" spans="1:8" ht="14.1" customHeight="1">
      <c r="A823" s="1318"/>
      <c r="B823" s="1311"/>
      <c r="C823" s="343" t="s">
        <v>89</v>
      </c>
      <c r="D823" s="1365"/>
      <c r="E823" s="1316"/>
      <c r="F823" s="348">
        <f>'COMP AUX'!G424</f>
        <v>3.16</v>
      </c>
      <c r="G823" s="369">
        <f>TRUNC(E822:E822*F823,2)</f>
        <v>3.16</v>
      </c>
      <c r="H823" s="337"/>
    </row>
    <row r="824" spans="1:8" ht="14.1" customHeight="1">
      <c r="A824" s="1136" t="s">
        <v>2219</v>
      </c>
      <c r="B824" s="1127" t="s">
        <v>2220</v>
      </c>
      <c r="C824" s="343" t="s">
        <v>89</v>
      </c>
      <c r="D824" s="1128" t="s">
        <v>685</v>
      </c>
      <c r="E824" s="1129">
        <v>2</v>
      </c>
      <c r="F824" s="348">
        <v>6.69</v>
      </c>
      <c r="G824" s="369">
        <f>TRUNC(E824*F824,2)</f>
        <v>13.38</v>
      </c>
      <c r="H824" s="337"/>
    </row>
    <row r="825" spans="1:8" ht="16.5" customHeight="1">
      <c r="A825" s="420">
        <v>34385</v>
      </c>
      <c r="B825" s="630" t="s">
        <v>2236</v>
      </c>
      <c r="C825" s="343" t="s">
        <v>89</v>
      </c>
      <c r="D825" s="345" t="s">
        <v>858</v>
      </c>
      <c r="E825" s="1135">
        <v>1</v>
      </c>
      <c r="F825" s="348">
        <v>217.68</v>
      </c>
      <c r="G825" s="369">
        <f t="shared" ref="G825" si="57">TRUNC(E825*F825,2)</f>
        <v>217.68</v>
      </c>
      <c r="H825" s="337"/>
    </row>
    <row r="826" spans="1:8" ht="14.1" customHeight="1">
      <c r="E826" s="146"/>
      <c r="F826" s="427" t="s">
        <v>92</v>
      </c>
      <c r="G826" s="379">
        <f>G820+G822</f>
        <v>16.43</v>
      </c>
    </row>
    <row r="827" spans="1:8" ht="14.1" customHeight="1">
      <c r="E827" s="146"/>
      <c r="F827" s="351" t="s">
        <v>94</v>
      </c>
      <c r="G827" s="369">
        <f>G821+G823+G824+G825</f>
        <v>235.13</v>
      </c>
    </row>
    <row r="828" spans="1:8" ht="14.1" customHeight="1">
      <c r="A828" s="130" t="s">
        <v>96</v>
      </c>
      <c r="E828" s="146"/>
      <c r="F828" s="351" t="s">
        <v>95</v>
      </c>
      <c r="G828" s="370">
        <f>SUM(G826:G827)</f>
        <v>251.56</v>
      </c>
    </row>
    <row r="829" spans="1:8" ht="14.1" customHeight="1">
      <c r="A829" s="350" t="s">
        <v>97</v>
      </c>
      <c r="B829" s="461">
        <f>G828</f>
        <v>251.56</v>
      </c>
    </row>
    <row r="830" spans="1:8" ht="14.1" customHeight="1">
      <c r="A830" s="455" t="s">
        <v>1936</v>
      </c>
      <c r="B830" s="454"/>
    </row>
    <row r="831" spans="1:8" ht="14.1" customHeight="1">
      <c r="A831" s="535" t="s">
        <v>1995</v>
      </c>
      <c r="B831" s="454">
        <f>(B829+B830)*0.245</f>
        <v>61.632199999999997</v>
      </c>
    </row>
    <row r="832" spans="1:8" ht="14.1" customHeight="1">
      <c r="A832" s="350" t="s">
        <v>98</v>
      </c>
      <c r="B832" s="462">
        <f>SUM(B829:B831)</f>
        <v>313.19220000000001</v>
      </c>
      <c r="H832" s="473"/>
    </row>
    <row r="833" spans="1:8" ht="11.25" customHeight="1">
      <c r="A833" s="429"/>
      <c r="B833" s="430"/>
      <c r="C833" s="431"/>
      <c r="D833" s="429"/>
      <c r="E833" s="430"/>
      <c r="F833" s="430"/>
      <c r="G833" s="430"/>
      <c r="H833" s="429"/>
    </row>
    <row r="834" spans="1:8" ht="11.25" customHeight="1">
      <c r="A834" s="337"/>
      <c r="B834" s="334"/>
      <c r="C834" s="336"/>
      <c r="D834" s="337"/>
      <c r="E834" s="334"/>
      <c r="F834" s="334"/>
      <c r="G834" s="334"/>
      <c r="H834" s="337"/>
    </row>
    <row r="835" spans="1:8" ht="11.25" customHeight="1">
      <c r="A835" s="130" t="s">
        <v>542</v>
      </c>
      <c r="H835" s="337"/>
    </row>
    <row r="836" spans="1:8" ht="12.75" customHeight="1">
      <c r="A836" s="148" t="s">
        <v>2235</v>
      </c>
      <c r="H836" s="337"/>
    </row>
    <row r="837" spans="1:8" ht="15.75" customHeight="1">
      <c r="A837" s="418" t="s">
        <v>820</v>
      </c>
      <c r="B837" s="418" t="s">
        <v>2231</v>
      </c>
      <c r="C837" s="635" t="s">
        <v>858</v>
      </c>
      <c r="D837" s="418"/>
      <c r="E837" s="130"/>
      <c r="F837" s="130"/>
      <c r="G837" s="419"/>
      <c r="H837" s="337"/>
    </row>
    <row r="838" spans="1:8" ht="24" customHeight="1">
      <c r="A838" s="1133" t="s">
        <v>30</v>
      </c>
      <c r="B838" s="420" t="s">
        <v>19</v>
      </c>
      <c r="C838" s="343" t="s">
        <v>82</v>
      </c>
      <c r="D838" s="1131" t="s">
        <v>79</v>
      </c>
      <c r="E838" s="1131" t="s">
        <v>83</v>
      </c>
      <c r="F838" s="345" t="s">
        <v>84</v>
      </c>
      <c r="G838" s="421" t="s">
        <v>85</v>
      </c>
      <c r="H838" s="337"/>
    </row>
    <row r="839" spans="1:8" ht="14.1" customHeight="1">
      <c r="A839" s="1317" t="s">
        <v>688</v>
      </c>
      <c r="B839" s="1310" t="s">
        <v>106</v>
      </c>
      <c r="C839" s="343" t="s">
        <v>102</v>
      </c>
      <c r="D839" s="1314" t="s">
        <v>345</v>
      </c>
      <c r="E839" s="1315">
        <v>0.5</v>
      </c>
      <c r="F839" s="348">
        <f>'COMP AUX'!G104</f>
        <v>11.1</v>
      </c>
      <c r="G839" s="424">
        <f>TRUNC(E839*F839,2)</f>
        <v>5.55</v>
      </c>
      <c r="H839" s="337"/>
    </row>
    <row r="840" spans="1:8" ht="14.1" customHeight="1">
      <c r="A840" s="1318"/>
      <c r="B840" s="1311"/>
      <c r="C840" s="343" t="s">
        <v>89</v>
      </c>
      <c r="D840" s="1314"/>
      <c r="E840" s="1316"/>
      <c r="F840" s="348">
        <f>'COMP AUX'!G105</f>
        <v>4.5600000000000005</v>
      </c>
      <c r="G840" s="369">
        <f>TRUNC(E839*F840,2)</f>
        <v>2.2799999999999998</v>
      </c>
      <c r="H840" s="337"/>
    </row>
    <row r="841" spans="1:8" ht="14.1" customHeight="1">
      <c r="A841" s="1317">
        <v>88325</v>
      </c>
      <c r="B841" s="1310" t="s">
        <v>2221</v>
      </c>
      <c r="C841" s="343" t="s">
        <v>102</v>
      </c>
      <c r="D841" s="1364" t="s">
        <v>345</v>
      </c>
      <c r="E841" s="1315">
        <v>0.5</v>
      </c>
      <c r="F841" s="348">
        <f>'COMP AUX'!G423</f>
        <v>14.21</v>
      </c>
      <c r="G841" s="369">
        <f>TRUNC(E841:E841*F841,2)</f>
        <v>7.1</v>
      </c>
      <c r="H841" s="337"/>
    </row>
    <row r="842" spans="1:8" ht="14.1" customHeight="1">
      <c r="A842" s="1318"/>
      <c r="B842" s="1311"/>
      <c r="C842" s="343" t="s">
        <v>89</v>
      </c>
      <c r="D842" s="1365"/>
      <c r="E842" s="1316"/>
      <c r="F842" s="348">
        <f>'COMP AUX'!G424</f>
        <v>3.16</v>
      </c>
      <c r="G842" s="369">
        <f>TRUNC(E841:E841*F842,2)</f>
        <v>1.58</v>
      </c>
      <c r="H842" s="337"/>
    </row>
    <row r="843" spans="1:8" ht="14.1" customHeight="1">
      <c r="A843" s="1136" t="s">
        <v>2219</v>
      </c>
      <c r="B843" s="1127" t="s">
        <v>2220</v>
      </c>
      <c r="C843" s="343" t="s">
        <v>89</v>
      </c>
      <c r="D843" s="1128" t="s">
        <v>685</v>
      </c>
      <c r="E843" s="1129">
        <v>1.5</v>
      </c>
      <c r="F843" s="348">
        <v>6.69</v>
      </c>
      <c r="G843" s="369">
        <f>TRUNC(E843*F843,2)</f>
        <v>10.029999999999999</v>
      </c>
      <c r="H843" s="337"/>
    </row>
    <row r="844" spans="1:8" ht="22.5" customHeight="1">
      <c r="A844" s="420">
        <v>34391</v>
      </c>
      <c r="B844" s="630" t="s">
        <v>2232</v>
      </c>
      <c r="C844" s="343" t="s">
        <v>89</v>
      </c>
      <c r="D844" s="345" t="s">
        <v>858</v>
      </c>
      <c r="E844" s="1135">
        <v>1</v>
      </c>
      <c r="F844" s="348">
        <v>504.18</v>
      </c>
      <c r="G844" s="369">
        <f t="shared" ref="G844" si="58">TRUNC(E844*F844,2)</f>
        <v>504.18</v>
      </c>
      <c r="H844" s="337"/>
    </row>
    <row r="845" spans="1:8" ht="14.1" customHeight="1">
      <c r="E845" s="146"/>
      <c r="F845" s="427" t="s">
        <v>92</v>
      </c>
      <c r="G845" s="379">
        <f>G839+G841</f>
        <v>12.649999999999999</v>
      </c>
    </row>
    <row r="846" spans="1:8" ht="14.1" customHeight="1">
      <c r="E846" s="146"/>
      <c r="F846" s="351" t="s">
        <v>94</v>
      </c>
      <c r="G846" s="369">
        <f>G840+G842+G843+G844</f>
        <v>518.07000000000005</v>
      </c>
    </row>
    <row r="847" spans="1:8" ht="14.1" customHeight="1">
      <c r="A847" s="130" t="s">
        <v>96</v>
      </c>
      <c r="E847" s="146"/>
      <c r="F847" s="351" t="s">
        <v>95</v>
      </c>
      <c r="G847" s="370">
        <f>SUM(G845:G846)</f>
        <v>530.72</v>
      </c>
    </row>
    <row r="848" spans="1:8" ht="14.1" customHeight="1">
      <c r="A848" s="350" t="s">
        <v>97</v>
      </c>
      <c r="B848" s="461">
        <f>G847</f>
        <v>530.72</v>
      </c>
    </row>
    <row r="849" spans="1:8" ht="14.1" customHeight="1">
      <c r="A849" s="455" t="s">
        <v>1936</v>
      </c>
      <c r="B849" s="454"/>
    </row>
    <row r="850" spans="1:8" ht="14.1" customHeight="1">
      <c r="A850" s="535" t="s">
        <v>1995</v>
      </c>
      <c r="B850" s="454">
        <f>(B848+B849)*0.245</f>
        <v>130.0264</v>
      </c>
    </row>
    <row r="851" spans="1:8" ht="14.1" customHeight="1">
      <c r="A851" s="350" t="s">
        <v>98</v>
      </c>
      <c r="B851" s="462">
        <f>SUM(B848:B850)</f>
        <v>660.74639999999999</v>
      </c>
      <c r="H851" s="473"/>
    </row>
    <row r="852" spans="1:8" ht="11.25" customHeight="1">
      <c r="A852" s="429"/>
      <c r="B852" s="430"/>
      <c r="C852" s="431"/>
      <c r="D852" s="429"/>
      <c r="E852" s="430"/>
      <c r="F852" s="430"/>
      <c r="G852" s="430"/>
      <c r="H852" s="429"/>
    </row>
    <row r="853" spans="1:8" ht="11.25" customHeight="1">
      <c r="A853" s="337"/>
      <c r="B853" s="334"/>
      <c r="C853" s="336"/>
      <c r="D853" s="337"/>
      <c r="E853" s="334"/>
      <c r="F853" s="334"/>
      <c r="G853" s="334"/>
      <c r="H853" s="337"/>
    </row>
    <row r="854" spans="1:8" ht="11.25" customHeight="1">
      <c r="A854" s="130" t="s">
        <v>542</v>
      </c>
    </row>
    <row r="855" spans="1:8" ht="16.5" customHeight="1">
      <c r="A855" s="148" t="s">
        <v>1212</v>
      </c>
    </row>
    <row r="856" spans="1:8" ht="27.75" customHeight="1">
      <c r="A856" s="418" t="s">
        <v>820</v>
      </c>
      <c r="B856" s="1356" t="s">
        <v>1211</v>
      </c>
      <c r="C856" s="1356"/>
      <c r="D856" s="1356"/>
      <c r="E856" s="724" t="s">
        <v>682</v>
      </c>
      <c r="F856" s="130"/>
      <c r="G856" s="419"/>
    </row>
    <row r="857" spans="1:8" ht="27" customHeight="1">
      <c r="A857" s="718" t="s">
        <v>30</v>
      </c>
      <c r="B857" s="420" t="s">
        <v>19</v>
      </c>
      <c r="C857" s="343" t="s">
        <v>82</v>
      </c>
      <c r="D857" s="715" t="s">
        <v>79</v>
      </c>
      <c r="E857" s="715" t="s">
        <v>83</v>
      </c>
      <c r="F857" s="345" t="s">
        <v>84</v>
      </c>
      <c r="G857" s="421" t="s">
        <v>85</v>
      </c>
    </row>
    <row r="858" spans="1:8" ht="15" customHeight="1">
      <c r="A858" s="1317" t="s">
        <v>688</v>
      </c>
      <c r="B858" s="1310" t="s">
        <v>106</v>
      </c>
      <c r="C858" s="343" t="s">
        <v>102</v>
      </c>
      <c r="D858" s="1314" t="s">
        <v>345</v>
      </c>
      <c r="E858" s="1315">
        <v>0.35699999999999998</v>
      </c>
      <c r="F858" s="348">
        <f>'COMP AUX'!G104</f>
        <v>11.1</v>
      </c>
      <c r="G858" s="424">
        <f>TRUNC(E858*F858,2)</f>
        <v>3.96</v>
      </c>
    </row>
    <row r="859" spans="1:8" ht="15" customHeight="1">
      <c r="A859" s="1318"/>
      <c r="B859" s="1311"/>
      <c r="C859" s="343" t="s">
        <v>89</v>
      </c>
      <c r="D859" s="1314"/>
      <c r="E859" s="1316"/>
      <c r="F859" s="348">
        <f>'COMP AUX'!G105</f>
        <v>4.5600000000000005</v>
      </c>
      <c r="G859" s="369">
        <f>TRUNC(E858*F859,2)</f>
        <v>1.62</v>
      </c>
    </row>
    <row r="860" spans="1:8" ht="15" customHeight="1">
      <c r="A860" s="1317">
        <v>88262</v>
      </c>
      <c r="B860" s="1310" t="s">
        <v>1165</v>
      </c>
      <c r="C860" s="343" t="s">
        <v>102</v>
      </c>
      <c r="D860" s="1364" t="s">
        <v>345</v>
      </c>
      <c r="E860" s="1353">
        <v>0.13539999999999999</v>
      </c>
      <c r="F860" s="348">
        <f>'COMP AUX'!G87</f>
        <v>14.81</v>
      </c>
      <c r="G860" s="369">
        <f>TRUNC(E860:E860*F860,2)</f>
        <v>2</v>
      </c>
    </row>
    <row r="861" spans="1:8" ht="15" customHeight="1">
      <c r="A861" s="1318"/>
      <c r="B861" s="1311"/>
      <c r="C861" s="343" t="s">
        <v>89</v>
      </c>
      <c r="D861" s="1365"/>
      <c r="E861" s="1354"/>
      <c r="F861" s="348">
        <f>'COMP AUX'!G88</f>
        <v>4.5600000000000005</v>
      </c>
      <c r="G861" s="369">
        <f>TRUNC(E860:E860*F861,2)</f>
        <v>0.61</v>
      </c>
    </row>
    <row r="862" spans="1:8" ht="15" customHeight="1">
      <c r="A862" s="1308">
        <v>88309</v>
      </c>
      <c r="B862" s="1310" t="s">
        <v>110</v>
      </c>
      <c r="C862" s="343" t="s">
        <v>102</v>
      </c>
      <c r="D862" s="1306" t="s">
        <v>345</v>
      </c>
      <c r="E862" s="1353">
        <v>0.22170000000000001</v>
      </c>
      <c r="F862" s="348">
        <f>'COMP AUX'!G151</f>
        <v>14.93</v>
      </c>
      <c r="G862" s="369">
        <f t="shared" ref="G862" si="59">TRUNC(E862*F862,2)</f>
        <v>3.3</v>
      </c>
    </row>
    <row r="863" spans="1:8" ht="15" customHeight="1">
      <c r="A863" s="1309"/>
      <c r="B863" s="1311"/>
      <c r="C863" s="343" t="s">
        <v>89</v>
      </c>
      <c r="D863" s="1307"/>
      <c r="E863" s="1354"/>
      <c r="F863" s="348">
        <f>'COMP AUX'!G152</f>
        <v>4.5600000000000005</v>
      </c>
      <c r="G863" s="369">
        <f>TRUNC(E862*F863,2)</f>
        <v>1.01</v>
      </c>
    </row>
    <row r="864" spans="1:8" ht="15" customHeight="1">
      <c r="A864" s="770" t="s">
        <v>1213</v>
      </c>
      <c r="B864" s="714" t="s">
        <v>1214</v>
      </c>
      <c r="C864" s="343" t="s">
        <v>89</v>
      </c>
      <c r="D864" s="717" t="s">
        <v>950</v>
      </c>
      <c r="E864" s="716">
        <v>1.1279999999999999</v>
      </c>
      <c r="F864" s="348">
        <v>0.91</v>
      </c>
      <c r="G864" s="369">
        <f>TRUNC(E864*F864,2)</f>
        <v>1.02</v>
      </c>
    </row>
    <row r="865" spans="1:9" ht="27" customHeight="1">
      <c r="A865" s="770" t="s">
        <v>973</v>
      </c>
      <c r="B865" s="714" t="s">
        <v>866</v>
      </c>
      <c r="C865" s="343" t="s">
        <v>89</v>
      </c>
      <c r="D865" s="717" t="s">
        <v>950</v>
      </c>
      <c r="E865" s="716">
        <v>0.45</v>
      </c>
      <c r="F865" s="348">
        <v>1.17</v>
      </c>
      <c r="G865" s="369">
        <f t="shared" ref="G865:G866" si="60">TRUNC(E865*F865,2)</f>
        <v>0.52</v>
      </c>
    </row>
    <row r="866" spans="1:9" ht="39.75" customHeight="1">
      <c r="A866" s="634" t="s">
        <v>1215</v>
      </c>
      <c r="B866" s="409" t="s">
        <v>1216</v>
      </c>
      <c r="C866" s="343" t="s">
        <v>89</v>
      </c>
      <c r="D866" s="345" t="s">
        <v>950</v>
      </c>
      <c r="E866" s="432">
        <v>1.1224000000000001</v>
      </c>
      <c r="F866" s="348">
        <v>15.07</v>
      </c>
      <c r="G866" s="369">
        <f t="shared" si="60"/>
        <v>16.91</v>
      </c>
    </row>
    <row r="867" spans="1:9" ht="15" customHeight="1">
      <c r="A867" s="1347">
        <v>94964</v>
      </c>
      <c r="B867" s="1310" t="s">
        <v>1217</v>
      </c>
      <c r="C867" s="343" t="s">
        <v>102</v>
      </c>
      <c r="D867" s="1306" t="s">
        <v>369</v>
      </c>
      <c r="E867" s="1353">
        <v>7.2800000000000004E-2</v>
      </c>
      <c r="F867" s="348">
        <f>'COMP AUX'!G822</f>
        <v>45</v>
      </c>
      <c r="G867" s="369">
        <f>TRUNC(E867*F867,2)</f>
        <v>3.27</v>
      </c>
    </row>
    <row r="868" spans="1:9" ht="15" customHeight="1">
      <c r="A868" s="1348"/>
      <c r="B868" s="1311"/>
      <c r="C868" s="343" t="s">
        <v>89</v>
      </c>
      <c r="D868" s="1307"/>
      <c r="E868" s="1354"/>
      <c r="F868" s="348">
        <f>'COMP AUX'!G823</f>
        <v>258.84999999999997</v>
      </c>
      <c r="G868" s="369">
        <f>TRUNC(E867*F868,2)</f>
        <v>18.84</v>
      </c>
    </row>
    <row r="869" spans="1:9" ht="15" customHeight="1">
      <c r="E869" s="146"/>
      <c r="F869" s="427" t="s">
        <v>92</v>
      </c>
      <c r="G869" s="379">
        <f>G858+G860+G862+G867</f>
        <v>12.53</v>
      </c>
    </row>
    <row r="870" spans="1:9" ht="15" customHeight="1">
      <c r="E870" s="146"/>
      <c r="F870" s="351" t="s">
        <v>94</v>
      </c>
      <c r="G870" s="369">
        <f>G859+G861+G863+G864+G865+G866+G868</f>
        <v>40.53</v>
      </c>
    </row>
    <row r="871" spans="1:9" ht="15" customHeight="1">
      <c r="A871" s="130" t="s">
        <v>96</v>
      </c>
      <c r="E871" s="146"/>
      <c r="F871" s="351" t="s">
        <v>95</v>
      </c>
      <c r="G871" s="370">
        <f>SUM(G869:G870)</f>
        <v>53.06</v>
      </c>
    </row>
    <row r="872" spans="1:9" ht="15" customHeight="1">
      <c r="A872" s="350" t="s">
        <v>97</v>
      </c>
      <c r="B872" s="461">
        <f>G871</f>
        <v>53.06</v>
      </c>
    </row>
    <row r="873" spans="1:9" ht="15" customHeight="1">
      <c r="A873" s="455" t="s">
        <v>1936</v>
      </c>
      <c r="B873" s="454"/>
    </row>
    <row r="874" spans="1:9" ht="15" customHeight="1">
      <c r="A874" s="535" t="s">
        <v>1995</v>
      </c>
      <c r="B874" s="454">
        <f>(B872+B873)*0.245</f>
        <v>12.999700000000001</v>
      </c>
    </row>
    <row r="875" spans="1:9" ht="15" customHeight="1">
      <c r="A875" s="350" t="s">
        <v>98</v>
      </c>
      <c r="B875" s="462">
        <f>SUM(B872:B874)</f>
        <v>66.059700000000007</v>
      </c>
      <c r="H875" s="473"/>
      <c r="I875" s="130" t="s">
        <v>1937</v>
      </c>
    </row>
    <row r="876" spans="1:9" ht="11.25" customHeight="1">
      <c r="A876" s="429"/>
      <c r="B876" s="430"/>
      <c r="C876" s="431"/>
      <c r="D876" s="429"/>
      <c r="E876" s="430"/>
      <c r="F876" s="430"/>
      <c r="G876" s="430"/>
      <c r="H876" s="429"/>
    </row>
    <row r="877" spans="1:9" ht="11.25" customHeight="1">
      <c r="A877" s="337"/>
      <c r="B877" s="334"/>
      <c r="C877" s="336"/>
      <c r="D877" s="337"/>
      <c r="E877" s="334"/>
      <c r="F877" s="334"/>
      <c r="G877" s="334"/>
      <c r="H877" s="337"/>
    </row>
    <row r="878" spans="1:9" ht="11.25" customHeight="1">
      <c r="A878" s="130" t="s">
        <v>542</v>
      </c>
    </row>
    <row r="879" spans="1:9" ht="11.25" customHeight="1">
      <c r="A879" s="148" t="s">
        <v>2489</v>
      </c>
    </row>
    <row r="880" spans="1:9" ht="33" customHeight="1">
      <c r="A880" s="418" t="s">
        <v>820</v>
      </c>
      <c r="B880" s="418" t="s">
        <v>1166</v>
      </c>
      <c r="C880" s="472" t="s">
        <v>858</v>
      </c>
      <c r="E880" s="418"/>
      <c r="F880" s="130"/>
      <c r="G880" s="419"/>
    </row>
    <row r="881" spans="1:9" ht="29.25" customHeight="1">
      <c r="A881" s="664" t="s">
        <v>30</v>
      </c>
      <c r="B881" s="420" t="s">
        <v>19</v>
      </c>
      <c r="C881" s="343" t="s">
        <v>82</v>
      </c>
      <c r="D881" s="652" t="s">
        <v>79</v>
      </c>
      <c r="E881" s="652" t="s">
        <v>83</v>
      </c>
      <c r="F881" s="345" t="s">
        <v>84</v>
      </c>
      <c r="G881" s="421" t="s">
        <v>85</v>
      </c>
    </row>
    <row r="882" spans="1:9" ht="15" customHeight="1">
      <c r="A882" s="1317">
        <v>88241</v>
      </c>
      <c r="B882" s="1310" t="s">
        <v>836</v>
      </c>
      <c r="C882" s="343" t="s">
        <v>102</v>
      </c>
      <c r="D882" s="1314" t="s">
        <v>103</v>
      </c>
      <c r="E882" s="1315">
        <v>1</v>
      </c>
      <c r="F882" s="348">
        <f>'COMP AUX'!G53</f>
        <v>10.74</v>
      </c>
      <c r="G882" s="424">
        <f>TRUNC(E882*F882,2)</f>
        <v>10.74</v>
      </c>
    </row>
    <row r="883" spans="1:9" ht="15" customHeight="1">
      <c r="A883" s="1318"/>
      <c r="B883" s="1311"/>
      <c r="C883" s="343" t="s">
        <v>89</v>
      </c>
      <c r="D883" s="1314"/>
      <c r="E883" s="1316"/>
      <c r="F883" s="348">
        <f>'COMP AUX'!G54</f>
        <v>4.5600000000000005</v>
      </c>
      <c r="G883" s="369">
        <f>TRUNC(E882*F883,2)</f>
        <v>4.5599999999999996</v>
      </c>
    </row>
    <row r="884" spans="1:9" ht="15" customHeight="1">
      <c r="A884" s="1308">
        <v>88262</v>
      </c>
      <c r="B884" s="1310" t="s">
        <v>1165</v>
      </c>
      <c r="C884" s="343" t="s">
        <v>102</v>
      </c>
      <c r="D884" s="1306" t="s">
        <v>345</v>
      </c>
      <c r="E884" s="1315">
        <v>1</v>
      </c>
      <c r="F884" s="348">
        <f>'COMP AUX'!G87</f>
        <v>14.81</v>
      </c>
      <c r="G884" s="369">
        <f t="shared" ref="G884" si="61">TRUNC(E884*F884,2)</f>
        <v>14.81</v>
      </c>
    </row>
    <row r="885" spans="1:9" ht="15" customHeight="1">
      <c r="A885" s="1309"/>
      <c r="B885" s="1311"/>
      <c r="C885" s="343" t="s">
        <v>89</v>
      </c>
      <c r="D885" s="1307"/>
      <c r="E885" s="1316"/>
      <c r="F885" s="348">
        <f>'COMP AUX'!G88</f>
        <v>4.5600000000000005</v>
      </c>
      <c r="G885" s="369">
        <f>TRUNC(E884*F885,2)</f>
        <v>4.5599999999999996</v>
      </c>
    </row>
    <row r="886" spans="1:9" ht="22.5" customHeight="1">
      <c r="A886" s="420">
        <v>4460</v>
      </c>
      <c r="B886" s="630" t="s">
        <v>2490</v>
      </c>
      <c r="C886" s="343" t="s">
        <v>89</v>
      </c>
      <c r="D886" s="345" t="s">
        <v>346</v>
      </c>
      <c r="E886" s="666">
        <v>11</v>
      </c>
      <c r="F886" s="365">
        <v>4.68</v>
      </c>
      <c r="G886" s="369">
        <f t="shared" ref="G886" si="62">TRUNC(E886*F886,2)</f>
        <v>51.48</v>
      </c>
    </row>
    <row r="887" spans="1:9" ht="24.75" customHeight="1">
      <c r="A887" s="664">
        <v>4358</v>
      </c>
      <c r="B887" s="630" t="s">
        <v>1938</v>
      </c>
      <c r="C887" s="343" t="s">
        <v>89</v>
      </c>
      <c r="D887" s="345" t="s">
        <v>346</v>
      </c>
      <c r="E887" s="437">
        <v>10</v>
      </c>
      <c r="F887" s="365">
        <v>1.07</v>
      </c>
      <c r="G887" s="369">
        <f>TRUNC(E887*F887,2)</f>
        <v>10.7</v>
      </c>
    </row>
    <row r="888" spans="1:9" ht="15" customHeight="1">
      <c r="E888" s="146"/>
      <c r="F888" s="427" t="s">
        <v>92</v>
      </c>
      <c r="G888" s="379">
        <f>G882+G884</f>
        <v>25.55</v>
      </c>
    </row>
    <row r="889" spans="1:9" ht="15" customHeight="1">
      <c r="E889" s="146"/>
      <c r="F889" s="351" t="s">
        <v>94</v>
      </c>
      <c r="G889" s="369">
        <f>G883+G885+G886+G887</f>
        <v>71.3</v>
      </c>
    </row>
    <row r="890" spans="1:9" ht="15" customHeight="1">
      <c r="A890" s="130" t="s">
        <v>96</v>
      </c>
      <c r="E890" s="146"/>
      <c r="F890" s="351" t="s">
        <v>95</v>
      </c>
      <c r="G890" s="370">
        <f>SUM(G888:G889)</f>
        <v>96.85</v>
      </c>
    </row>
    <row r="891" spans="1:9" ht="15" customHeight="1">
      <c r="A891" s="350" t="s">
        <v>97</v>
      </c>
      <c r="B891" s="461">
        <f>G890</f>
        <v>96.85</v>
      </c>
    </row>
    <row r="892" spans="1:9" ht="15" customHeight="1">
      <c r="A892" s="455" t="s">
        <v>1936</v>
      </c>
      <c r="B892" s="454"/>
    </row>
    <row r="893" spans="1:9" ht="15" customHeight="1">
      <c r="A893" s="535" t="s">
        <v>1995</v>
      </c>
      <c r="B893" s="454">
        <f>(B891+B892)*0.245</f>
        <v>23.728249999999999</v>
      </c>
    </row>
    <row r="894" spans="1:9" ht="15" customHeight="1">
      <c r="A894" s="350" t="s">
        <v>98</v>
      </c>
      <c r="B894" s="462">
        <f>SUM(B891:B893)</f>
        <v>120.57825</v>
      </c>
      <c r="H894" s="473"/>
      <c r="I894" s="130" t="s">
        <v>1937</v>
      </c>
    </row>
    <row r="895" spans="1:9" ht="11.25" customHeight="1">
      <c r="A895" s="429"/>
      <c r="B895" s="430"/>
      <c r="C895" s="431"/>
      <c r="D895" s="429"/>
      <c r="E895" s="430"/>
      <c r="F895" s="430"/>
      <c r="G895" s="430"/>
      <c r="H895" s="429"/>
    </row>
    <row r="896" spans="1:9" ht="11.25" customHeight="1">
      <c r="A896" s="337"/>
      <c r="B896" s="334"/>
      <c r="C896" s="336"/>
      <c r="D896" s="337"/>
      <c r="E896" s="334"/>
      <c r="F896" s="334"/>
      <c r="G896" s="334"/>
      <c r="H896" s="337"/>
    </row>
    <row r="897" spans="1:7" ht="11.25" customHeight="1">
      <c r="A897" s="130" t="s">
        <v>542</v>
      </c>
    </row>
    <row r="898" spans="1:7" ht="11.25" customHeight="1">
      <c r="A898" s="148" t="s">
        <v>1856</v>
      </c>
    </row>
    <row r="899" spans="1:7" ht="24.75" customHeight="1">
      <c r="A899" s="418" t="s">
        <v>820</v>
      </c>
      <c r="B899" s="418" t="s">
        <v>1857</v>
      </c>
      <c r="C899" s="472" t="s">
        <v>858</v>
      </c>
      <c r="E899" s="418"/>
      <c r="F899" s="130"/>
      <c r="G899" s="419"/>
    </row>
    <row r="900" spans="1:7" ht="29.25" customHeight="1">
      <c r="A900" s="913" t="s">
        <v>30</v>
      </c>
      <c r="B900" s="420" t="s">
        <v>19</v>
      </c>
      <c r="C900" s="343" t="s">
        <v>82</v>
      </c>
      <c r="D900" s="915" t="s">
        <v>79</v>
      </c>
      <c r="E900" s="915" t="s">
        <v>83</v>
      </c>
      <c r="F900" s="345" t="s">
        <v>84</v>
      </c>
      <c r="G900" s="421" t="s">
        <v>85</v>
      </c>
    </row>
    <row r="901" spans="1:7" ht="14.1" customHeight="1">
      <c r="A901" s="1308">
        <v>88270</v>
      </c>
      <c r="B901" s="1310" t="s">
        <v>1220</v>
      </c>
      <c r="C901" s="343" t="s">
        <v>102</v>
      </c>
      <c r="D901" s="1306" t="s">
        <v>345</v>
      </c>
      <c r="E901" s="1353">
        <v>0.6</v>
      </c>
      <c r="F901" s="348">
        <f>'COMP AUX'!G389</f>
        <v>15.82</v>
      </c>
      <c r="G901" s="387">
        <f t="shared" ref="G901:G903" si="63">TRUNC(E901*F901,2)</f>
        <v>9.49</v>
      </c>
    </row>
    <row r="902" spans="1:7" ht="14.1" customHeight="1">
      <c r="A902" s="1309"/>
      <c r="B902" s="1311"/>
      <c r="C902" s="343" t="s">
        <v>89</v>
      </c>
      <c r="D902" s="1307"/>
      <c r="E902" s="1354"/>
      <c r="F902" s="348">
        <f>'COMP AUX'!G390</f>
        <v>4.5600000000000005</v>
      </c>
      <c r="G902" s="387">
        <f>TRUNC(E901*F902,2)</f>
        <v>2.73</v>
      </c>
    </row>
    <row r="903" spans="1:7" ht="14.1" customHeight="1">
      <c r="A903" s="1308" t="s">
        <v>688</v>
      </c>
      <c r="B903" s="1310" t="s">
        <v>106</v>
      </c>
      <c r="C903" s="343" t="s">
        <v>102</v>
      </c>
      <c r="D903" s="1306" t="s">
        <v>345</v>
      </c>
      <c r="E903" s="1315">
        <v>0.3</v>
      </c>
      <c r="F903" s="348">
        <f>'COMP AUX'!G104</f>
        <v>11.1</v>
      </c>
      <c r="G903" s="387">
        <f t="shared" si="63"/>
        <v>3.33</v>
      </c>
    </row>
    <row r="904" spans="1:7" ht="14.1" customHeight="1">
      <c r="A904" s="1309"/>
      <c r="B904" s="1342"/>
      <c r="C904" s="343" t="s">
        <v>89</v>
      </c>
      <c r="D904" s="1307"/>
      <c r="E904" s="1316"/>
      <c r="F904" s="348">
        <f>'COMP AUX'!G105</f>
        <v>4.5600000000000005</v>
      </c>
      <c r="G904" s="387">
        <f>TRUNC(E903*F904,2)</f>
        <v>1.36</v>
      </c>
    </row>
    <row r="905" spans="1:7" ht="21.75" customHeight="1">
      <c r="A905" s="913" t="s">
        <v>1858</v>
      </c>
      <c r="B905" s="911" t="s">
        <v>1859</v>
      </c>
      <c r="C905" s="343" t="s">
        <v>89</v>
      </c>
      <c r="D905" s="918" t="s">
        <v>560</v>
      </c>
      <c r="E905" s="912">
        <v>0.24</v>
      </c>
      <c r="F905" s="348">
        <v>38.049999999999997</v>
      </c>
      <c r="G905" s="387">
        <f>TRUNC(E905*F905,2)</f>
        <v>9.1300000000000008</v>
      </c>
    </row>
    <row r="906" spans="1:7" ht="14.1" customHeight="1">
      <c r="A906" s="913" t="s">
        <v>1860</v>
      </c>
      <c r="B906" s="630" t="s">
        <v>1861</v>
      </c>
      <c r="C906" s="383" t="s">
        <v>89</v>
      </c>
      <c r="D906" s="363" t="s">
        <v>560</v>
      </c>
      <c r="E906" s="931">
        <v>0.1</v>
      </c>
      <c r="F906" s="365">
        <v>28.24</v>
      </c>
      <c r="G906" s="387">
        <f>TRUNC(E906*F906,2)</f>
        <v>2.82</v>
      </c>
    </row>
    <row r="907" spans="1:7" ht="14.1" customHeight="1">
      <c r="E907" s="146"/>
      <c r="F907" s="427" t="s">
        <v>92</v>
      </c>
      <c r="G907" s="932">
        <f>G901+G903</f>
        <v>12.82</v>
      </c>
    </row>
    <row r="908" spans="1:7" ht="14.1" customHeight="1">
      <c r="E908" s="146"/>
      <c r="F908" s="351" t="s">
        <v>94</v>
      </c>
      <c r="G908" s="387">
        <f>G902+G904+G905+G906</f>
        <v>16.04</v>
      </c>
    </row>
    <row r="909" spans="1:7" ht="14.1" customHeight="1">
      <c r="A909" s="130" t="s">
        <v>96</v>
      </c>
      <c r="E909" s="146"/>
      <c r="F909" s="351" t="s">
        <v>95</v>
      </c>
      <c r="G909" s="392">
        <f>SUM(G907:G908)</f>
        <v>28.86</v>
      </c>
    </row>
    <row r="910" spans="1:7" ht="14.1" customHeight="1">
      <c r="A910" s="350" t="s">
        <v>97</v>
      </c>
      <c r="B910" s="569">
        <f>G909</f>
        <v>28.86</v>
      </c>
    </row>
    <row r="911" spans="1:7" ht="14.1" customHeight="1">
      <c r="A911" s="455" t="s">
        <v>1936</v>
      </c>
      <c r="B911" s="454"/>
    </row>
    <row r="912" spans="1:7" ht="14.1" customHeight="1">
      <c r="A912" s="535" t="s">
        <v>1995</v>
      </c>
      <c r="B912" s="454">
        <f>(B910+B911)*0.245</f>
        <v>7.0706999999999995</v>
      </c>
    </row>
    <row r="913" spans="1:8" ht="14.1" customHeight="1">
      <c r="A913" s="350" t="s">
        <v>98</v>
      </c>
      <c r="B913" s="570">
        <f>SUM(B910:B912)</f>
        <v>35.930700000000002</v>
      </c>
      <c r="H913" s="473"/>
    </row>
    <row r="914" spans="1:8" ht="11.25" customHeight="1">
      <c r="A914" s="429"/>
      <c r="B914" s="430"/>
      <c r="C914" s="431"/>
      <c r="D914" s="429"/>
      <c r="E914" s="430"/>
      <c r="F914" s="430"/>
      <c r="G914" s="430"/>
      <c r="H914" s="429"/>
    </row>
    <row r="915" spans="1:8" ht="11.25" customHeight="1">
      <c r="A915" s="337"/>
      <c r="B915" s="334"/>
      <c r="C915" s="336"/>
      <c r="D915" s="337"/>
      <c r="E915" s="334"/>
      <c r="F915" s="334"/>
      <c r="G915" s="334"/>
      <c r="H915" s="337"/>
    </row>
    <row r="916" spans="1:8" ht="14.25" customHeight="1">
      <c r="A916" s="130" t="s">
        <v>542</v>
      </c>
    </row>
    <row r="917" spans="1:8" ht="13.5" customHeight="1">
      <c r="A917" s="148" t="s">
        <v>1804</v>
      </c>
    </row>
    <row r="918" spans="1:8" ht="29.25" customHeight="1">
      <c r="A918" s="418" t="s">
        <v>820</v>
      </c>
      <c r="B918" s="418" t="s">
        <v>1803</v>
      </c>
      <c r="C918" s="472" t="s">
        <v>858</v>
      </c>
      <c r="E918" s="418"/>
      <c r="F918" s="130"/>
      <c r="G918" s="419"/>
    </row>
    <row r="919" spans="1:8" ht="27.75" customHeight="1">
      <c r="A919" s="718" t="s">
        <v>30</v>
      </c>
      <c r="B919" s="420" t="s">
        <v>19</v>
      </c>
      <c r="C919" s="343" t="s">
        <v>82</v>
      </c>
      <c r="D919" s="715" t="s">
        <v>79</v>
      </c>
      <c r="E919" s="715" t="s">
        <v>83</v>
      </c>
      <c r="F919" s="345" t="s">
        <v>84</v>
      </c>
      <c r="G919" s="421" t="s">
        <v>85</v>
      </c>
    </row>
    <row r="920" spans="1:8" ht="15" customHeight="1">
      <c r="A920" s="1308">
        <v>88270</v>
      </c>
      <c r="B920" s="1310" t="s">
        <v>1220</v>
      </c>
      <c r="C920" s="343" t="s">
        <v>102</v>
      </c>
      <c r="D920" s="1306" t="s">
        <v>345</v>
      </c>
      <c r="E920" s="1353">
        <f>0.33</f>
        <v>0.33</v>
      </c>
      <c r="F920" s="348">
        <f>'COMP AUX'!G389</f>
        <v>15.82</v>
      </c>
      <c r="G920" s="387">
        <f t="shared" ref="G920" si="64">TRUNC(E920*F920,2)</f>
        <v>5.22</v>
      </c>
    </row>
    <row r="921" spans="1:8" ht="15" customHeight="1">
      <c r="A921" s="1309"/>
      <c r="B921" s="1311"/>
      <c r="C921" s="343" t="s">
        <v>89</v>
      </c>
      <c r="D921" s="1307"/>
      <c r="E921" s="1354"/>
      <c r="F921" s="348">
        <f>'COMP AUX'!G390</f>
        <v>4.5600000000000005</v>
      </c>
      <c r="G921" s="387">
        <f>TRUNC(E920*F921,2)</f>
        <v>1.5</v>
      </c>
    </row>
    <row r="922" spans="1:8" ht="25.5" customHeight="1">
      <c r="A922" s="718" t="s">
        <v>372</v>
      </c>
      <c r="B922" s="630" t="s">
        <v>373</v>
      </c>
      <c r="C922" s="383" t="s">
        <v>89</v>
      </c>
      <c r="D922" s="363" t="s">
        <v>1501</v>
      </c>
      <c r="E922" s="931">
        <f>3.226</f>
        <v>3.226</v>
      </c>
      <c r="F922" s="365">
        <v>28.24</v>
      </c>
      <c r="G922" s="387">
        <f>TRUNC(E922*F922,2)</f>
        <v>91.1</v>
      </c>
    </row>
    <row r="923" spans="1:8" ht="15" customHeight="1">
      <c r="E923" s="146"/>
      <c r="F923" s="427" t="s">
        <v>92</v>
      </c>
      <c r="G923" s="932">
        <f>G920</f>
        <v>5.22</v>
      </c>
    </row>
    <row r="924" spans="1:8" ht="15" customHeight="1">
      <c r="E924" s="146"/>
      <c r="F924" s="351" t="s">
        <v>94</v>
      </c>
      <c r="G924" s="387">
        <f>G921+G922</f>
        <v>92.6</v>
      </c>
    </row>
    <row r="925" spans="1:8" ht="15" customHeight="1">
      <c r="A925" s="130" t="s">
        <v>96</v>
      </c>
      <c r="E925" s="146"/>
      <c r="F925" s="351" t="s">
        <v>95</v>
      </c>
      <c r="G925" s="392">
        <f>SUM(G923:G924)</f>
        <v>97.82</v>
      </c>
    </row>
    <row r="926" spans="1:8" ht="15" customHeight="1">
      <c r="A926" s="350" t="s">
        <v>97</v>
      </c>
      <c r="B926" s="569">
        <f>G925</f>
        <v>97.82</v>
      </c>
    </row>
    <row r="927" spans="1:8" ht="15" customHeight="1">
      <c r="A927" s="455" t="s">
        <v>1936</v>
      </c>
      <c r="B927" s="454"/>
    </row>
    <row r="928" spans="1:8" ht="15" customHeight="1">
      <c r="A928" s="535" t="s">
        <v>1995</v>
      </c>
      <c r="B928" s="454">
        <f>(B926+B927)*0.245</f>
        <v>23.965899999999998</v>
      </c>
    </row>
    <row r="929" spans="1:8" ht="15" customHeight="1">
      <c r="A929" s="350" t="s">
        <v>98</v>
      </c>
      <c r="B929" s="570">
        <f>SUM(B926:B928)</f>
        <v>121.7859</v>
      </c>
      <c r="H929" s="473"/>
    </row>
    <row r="930" spans="1:8" ht="11.25" customHeight="1">
      <c r="A930" s="429"/>
      <c r="B930" s="430"/>
      <c r="C930" s="431"/>
      <c r="D930" s="429"/>
      <c r="E930" s="430"/>
      <c r="F930" s="430"/>
      <c r="G930" s="430"/>
      <c r="H930" s="429"/>
    </row>
    <row r="931" spans="1:8" ht="11.25" customHeight="1">
      <c r="A931" s="337"/>
      <c r="B931" s="334"/>
      <c r="C931" s="336"/>
      <c r="D931" s="337"/>
      <c r="E931" s="334"/>
      <c r="F931" s="334"/>
      <c r="G931" s="334"/>
      <c r="H931" s="337"/>
    </row>
    <row r="932" spans="1:8" ht="11.25" customHeight="1">
      <c r="A932" s="130" t="s">
        <v>542</v>
      </c>
      <c r="H932" s="337"/>
    </row>
    <row r="933" spans="1:8" ht="15" customHeight="1">
      <c r="A933" s="148" t="s">
        <v>1862</v>
      </c>
      <c r="H933" s="337"/>
    </row>
    <row r="934" spans="1:8" ht="42.75" customHeight="1">
      <c r="A934" s="418" t="s">
        <v>820</v>
      </c>
      <c r="B934" s="1356" t="s">
        <v>1364</v>
      </c>
      <c r="C934" s="1356"/>
      <c r="D934" s="1356"/>
      <c r="E934" s="635" t="s">
        <v>858</v>
      </c>
      <c r="F934" s="130"/>
      <c r="G934" s="419"/>
      <c r="H934" s="337"/>
    </row>
    <row r="935" spans="1:8" ht="22.5" customHeight="1">
      <c r="A935" s="913" t="s">
        <v>30</v>
      </c>
      <c r="B935" s="420" t="s">
        <v>19</v>
      </c>
      <c r="C935" s="343" t="s">
        <v>82</v>
      </c>
      <c r="D935" s="915" t="s">
        <v>79</v>
      </c>
      <c r="E935" s="915" t="s">
        <v>83</v>
      </c>
      <c r="F935" s="345" t="s">
        <v>84</v>
      </c>
      <c r="G935" s="421" t="s">
        <v>85</v>
      </c>
      <c r="H935" s="337"/>
    </row>
    <row r="936" spans="1:8" ht="14.1" customHeight="1">
      <c r="A936" s="1317" t="s">
        <v>688</v>
      </c>
      <c r="B936" s="1310" t="s">
        <v>106</v>
      </c>
      <c r="C936" s="343" t="s">
        <v>102</v>
      </c>
      <c r="D936" s="1314" t="s">
        <v>345</v>
      </c>
      <c r="E936" s="1315">
        <v>0.43</v>
      </c>
      <c r="F936" s="348">
        <f>'COMP AUX'!G104</f>
        <v>11.1</v>
      </c>
      <c r="G936" s="424">
        <f>TRUNC(E936*F936,2)</f>
        <v>4.7699999999999996</v>
      </c>
      <c r="H936" s="337"/>
    </row>
    <row r="937" spans="1:8" ht="14.1" customHeight="1">
      <c r="A937" s="1318"/>
      <c r="B937" s="1311"/>
      <c r="C937" s="343" t="s">
        <v>89</v>
      </c>
      <c r="D937" s="1314"/>
      <c r="E937" s="1316"/>
      <c r="F937" s="348">
        <f>'COMP AUX'!G105</f>
        <v>4.5600000000000005</v>
      </c>
      <c r="G937" s="369">
        <f>TRUNC(E936*F937,2)</f>
        <v>1.96</v>
      </c>
      <c r="H937" s="337"/>
    </row>
    <row r="938" spans="1:8" ht="14.1" customHeight="1">
      <c r="A938" s="1308">
        <v>88309</v>
      </c>
      <c r="B938" s="1310" t="s">
        <v>110</v>
      </c>
      <c r="C938" s="343" t="s">
        <v>102</v>
      </c>
      <c r="D938" s="1306" t="s">
        <v>345</v>
      </c>
      <c r="E938" s="1315">
        <v>0.86</v>
      </c>
      <c r="F938" s="348">
        <f>'COMP AUX'!G151</f>
        <v>14.93</v>
      </c>
      <c r="G938" s="369">
        <f t="shared" ref="G938" si="65">TRUNC(E938*F938,2)</f>
        <v>12.83</v>
      </c>
      <c r="H938" s="337"/>
    </row>
    <row r="939" spans="1:8" ht="14.1" customHeight="1">
      <c r="A939" s="1309"/>
      <c r="B939" s="1311"/>
      <c r="C939" s="343" t="s">
        <v>89</v>
      </c>
      <c r="D939" s="1307"/>
      <c r="E939" s="1316"/>
      <c r="F939" s="348">
        <f>'COMP AUX'!G152</f>
        <v>4.5600000000000005</v>
      </c>
      <c r="G939" s="369">
        <f>TRUNC(E938*F939,2)</f>
        <v>3.92</v>
      </c>
      <c r="H939" s="337"/>
    </row>
    <row r="940" spans="1:8" ht="34.5" customHeight="1">
      <c r="A940" s="917" t="s">
        <v>1863</v>
      </c>
      <c r="B940" s="911" t="s">
        <v>1864</v>
      </c>
      <c r="C940" s="343" t="s">
        <v>89</v>
      </c>
      <c r="D940" s="918" t="s">
        <v>346</v>
      </c>
      <c r="E940" s="910">
        <v>0.78500000000000003</v>
      </c>
      <c r="F940" s="348">
        <v>1.97</v>
      </c>
      <c r="G940" s="369">
        <f>TRUNC(E940*F940,2)</f>
        <v>1.54</v>
      </c>
      <c r="H940" s="337"/>
    </row>
    <row r="941" spans="1:8" ht="14.1" customHeight="1">
      <c r="A941" s="917" t="s">
        <v>1865</v>
      </c>
      <c r="B941" s="911" t="s">
        <v>1866</v>
      </c>
      <c r="C941" s="343" t="s">
        <v>89</v>
      </c>
      <c r="D941" s="918" t="s">
        <v>1869</v>
      </c>
      <c r="E941" s="910">
        <v>1.89E-2</v>
      </c>
      <c r="F941" s="348">
        <v>43.29</v>
      </c>
      <c r="G941" s="369">
        <f t="shared" ref="G941:G943" si="66">TRUNC(E941*F941,2)</f>
        <v>0.81</v>
      </c>
      <c r="H941" s="337"/>
    </row>
    <row r="942" spans="1:8" ht="24.75" customHeight="1">
      <c r="A942" s="634" t="s">
        <v>1867</v>
      </c>
      <c r="B942" s="409" t="s">
        <v>1868</v>
      </c>
      <c r="C942" s="343" t="s">
        <v>89</v>
      </c>
      <c r="D942" s="345" t="s">
        <v>344</v>
      </c>
      <c r="E942" s="432">
        <v>13.35</v>
      </c>
      <c r="F942" s="348">
        <v>1.73</v>
      </c>
      <c r="G942" s="369">
        <f t="shared" si="66"/>
        <v>23.09</v>
      </c>
      <c r="H942" s="337"/>
    </row>
    <row r="943" spans="1:8" ht="21.95" customHeight="1">
      <c r="A943" s="1308" t="s">
        <v>1870</v>
      </c>
      <c r="B943" s="1310" t="s">
        <v>1871</v>
      </c>
      <c r="C943" s="343" t="s">
        <v>102</v>
      </c>
      <c r="D943" s="1306" t="s">
        <v>682</v>
      </c>
      <c r="E943" s="1353">
        <v>1.18E-2</v>
      </c>
      <c r="F943" s="348">
        <f>'COMP AUX'!G1554</f>
        <v>50.25</v>
      </c>
      <c r="G943" s="387">
        <f t="shared" si="66"/>
        <v>0.59</v>
      </c>
      <c r="H943" s="337"/>
    </row>
    <row r="944" spans="1:8" ht="21.95" customHeight="1">
      <c r="A944" s="1380"/>
      <c r="B944" s="1311"/>
      <c r="C944" s="343" t="s">
        <v>89</v>
      </c>
      <c r="D944" s="1307"/>
      <c r="E944" s="1354"/>
      <c r="F944" s="348">
        <f>'COMP AUX'!G1555</f>
        <v>292.83999999999997</v>
      </c>
      <c r="G944" s="387">
        <f>TRUNC(E943*F944,2)</f>
        <v>3.45</v>
      </c>
      <c r="H944" s="337"/>
    </row>
    <row r="945" spans="1:8" ht="14.1" customHeight="1">
      <c r="E945" s="146"/>
      <c r="F945" s="427" t="s">
        <v>92</v>
      </c>
      <c r="G945" s="932">
        <f>G936+G938+G943</f>
        <v>18.190000000000001</v>
      </c>
    </row>
    <row r="946" spans="1:8" ht="14.1" customHeight="1">
      <c r="E946" s="146"/>
      <c r="F946" s="351" t="s">
        <v>94</v>
      </c>
      <c r="G946" s="387">
        <f>G937+G939+G940+G941+G942+G944</f>
        <v>34.770000000000003</v>
      </c>
    </row>
    <row r="947" spans="1:8" ht="14.1" customHeight="1">
      <c r="A947" s="130" t="s">
        <v>96</v>
      </c>
      <c r="E947" s="146"/>
      <c r="F947" s="351" t="s">
        <v>95</v>
      </c>
      <c r="G947" s="392">
        <f>SUM(G945:G946)</f>
        <v>52.960000000000008</v>
      </c>
    </row>
    <row r="948" spans="1:8" ht="14.1" customHeight="1">
      <c r="A948" s="350" t="s">
        <v>97</v>
      </c>
      <c r="B948" s="569">
        <f>G947</f>
        <v>52.960000000000008</v>
      </c>
    </row>
    <row r="949" spans="1:8" ht="14.1" customHeight="1">
      <c r="A949" s="455" t="s">
        <v>1936</v>
      </c>
      <c r="B949" s="454"/>
    </row>
    <row r="950" spans="1:8" ht="14.1" customHeight="1">
      <c r="A950" s="535" t="s">
        <v>1995</v>
      </c>
      <c r="B950" s="454">
        <f>(B948+B949)*0.245</f>
        <v>12.975200000000001</v>
      </c>
    </row>
    <row r="951" spans="1:8" ht="14.1" customHeight="1">
      <c r="A951" s="350" t="s">
        <v>98</v>
      </c>
      <c r="B951" s="570">
        <f>SUM(B948:B950)</f>
        <v>65.935200000000009</v>
      </c>
      <c r="H951" s="473"/>
    </row>
    <row r="952" spans="1:8" ht="11.25" customHeight="1">
      <c r="A952" s="429"/>
      <c r="B952" s="430"/>
      <c r="C952" s="431"/>
      <c r="D952" s="429"/>
      <c r="E952" s="430"/>
      <c r="F952" s="430"/>
      <c r="G952" s="430"/>
      <c r="H952" s="429"/>
    </row>
    <row r="953" spans="1:8" ht="11.25" customHeight="1">
      <c r="A953" s="337"/>
      <c r="B953" s="334"/>
      <c r="C953" s="336"/>
      <c r="D953" s="337"/>
      <c r="E953" s="334"/>
      <c r="F953" s="334"/>
      <c r="G953" s="334"/>
      <c r="H953" s="337"/>
    </row>
    <row r="954" spans="1:8" ht="11.25" customHeight="1">
      <c r="A954" s="130" t="s">
        <v>542</v>
      </c>
    </row>
    <row r="955" spans="1:8" ht="11.25" customHeight="1">
      <c r="A955" s="148" t="s">
        <v>1877</v>
      </c>
    </row>
    <row r="956" spans="1:8" ht="35.25" customHeight="1">
      <c r="A956" s="418" t="s">
        <v>820</v>
      </c>
      <c r="B956" s="1356" t="s">
        <v>1366</v>
      </c>
      <c r="C956" s="1356"/>
      <c r="D956" s="635" t="s">
        <v>858</v>
      </c>
      <c r="E956" s="418"/>
      <c r="F956" s="130"/>
      <c r="G956" s="419"/>
    </row>
    <row r="957" spans="1:8" ht="21.75" customHeight="1">
      <c r="A957" s="913" t="s">
        <v>30</v>
      </c>
      <c r="B957" s="420" t="s">
        <v>19</v>
      </c>
      <c r="C957" s="343" t="s">
        <v>82</v>
      </c>
      <c r="D957" s="915" t="s">
        <v>79</v>
      </c>
      <c r="E957" s="915" t="s">
        <v>83</v>
      </c>
      <c r="F957" s="345" t="s">
        <v>84</v>
      </c>
      <c r="G957" s="421" t="s">
        <v>85</v>
      </c>
    </row>
    <row r="958" spans="1:8" ht="14.1" customHeight="1">
      <c r="A958" s="1317" t="s">
        <v>688</v>
      </c>
      <c r="B958" s="1310" t="s">
        <v>106</v>
      </c>
      <c r="C958" s="343" t="s">
        <v>102</v>
      </c>
      <c r="D958" s="1314" t="s">
        <v>345</v>
      </c>
      <c r="E958" s="1315">
        <v>7.0000000000000001E-3</v>
      </c>
      <c r="F958" s="348">
        <f>'COMP AUX'!G104</f>
        <v>11.1</v>
      </c>
      <c r="G958" s="424">
        <f>TRUNC(E958*F958,2)</f>
        <v>7.0000000000000007E-2</v>
      </c>
    </row>
    <row r="959" spans="1:8" ht="14.1" customHeight="1">
      <c r="A959" s="1318"/>
      <c r="B959" s="1311"/>
      <c r="C959" s="343" t="s">
        <v>89</v>
      </c>
      <c r="D959" s="1314"/>
      <c r="E959" s="1316"/>
      <c r="F959" s="348">
        <f>'COMP AUX'!G105</f>
        <v>4.5600000000000005</v>
      </c>
      <c r="G959" s="346">
        <f>TRUNC(E958*F959,2)</f>
        <v>0.03</v>
      </c>
    </row>
    <row r="960" spans="1:8" ht="14.1" customHeight="1">
      <c r="A960" s="1308" t="s">
        <v>893</v>
      </c>
      <c r="B960" s="1310" t="s">
        <v>110</v>
      </c>
      <c r="C960" s="343" t="s">
        <v>102</v>
      </c>
      <c r="D960" s="1306" t="s">
        <v>345</v>
      </c>
      <c r="E960" s="1315">
        <v>7.0000000000000007E-2</v>
      </c>
      <c r="F960" s="365">
        <f>'COMP AUX'!G151</f>
        <v>14.93</v>
      </c>
      <c r="G960" s="369">
        <f t="shared" ref="G960" si="67">TRUNC(E960*F960,2)</f>
        <v>1.04</v>
      </c>
    </row>
    <row r="961" spans="1:8" ht="14.1" customHeight="1">
      <c r="A961" s="1309"/>
      <c r="B961" s="1311"/>
      <c r="C961" s="343" t="s">
        <v>89</v>
      </c>
      <c r="D961" s="1307"/>
      <c r="E961" s="1316"/>
      <c r="F961" s="348">
        <f>'COMP AUX'!G152</f>
        <v>4.5600000000000005</v>
      </c>
      <c r="G961" s="369">
        <f>TRUNC(E960*F961,2)</f>
        <v>0.31</v>
      </c>
    </row>
    <row r="962" spans="1:8" ht="14.1" customHeight="1">
      <c r="A962" s="1308" t="s">
        <v>1878</v>
      </c>
      <c r="B962" s="1310" t="s">
        <v>1879</v>
      </c>
      <c r="C962" s="343" t="s">
        <v>102</v>
      </c>
      <c r="D962" s="1306" t="s">
        <v>682</v>
      </c>
      <c r="E962" s="1353">
        <v>4.1999999999999997E-3</v>
      </c>
      <c r="F962" s="348">
        <f>'COMP AUX'!G1567</f>
        <v>120.87</v>
      </c>
      <c r="G962" s="369">
        <f>TRUNC(E962*F962,2)</f>
        <v>0.5</v>
      </c>
    </row>
    <row r="963" spans="1:8" ht="14.1" customHeight="1">
      <c r="A963" s="1309"/>
      <c r="B963" s="1311"/>
      <c r="C963" s="343" t="s">
        <v>89</v>
      </c>
      <c r="D963" s="1307"/>
      <c r="E963" s="1354"/>
      <c r="F963" s="348">
        <f>'COMP AUX'!G1568</f>
        <v>305.24</v>
      </c>
      <c r="G963" s="369">
        <f>TRUNC(E962*F963,2)</f>
        <v>1.28</v>
      </c>
    </row>
    <row r="964" spans="1:8" ht="14.1" customHeight="1">
      <c r="E964" s="146"/>
      <c r="F964" s="427" t="s">
        <v>92</v>
      </c>
      <c r="G964" s="379">
        <f>G958+G960+G962</f>
        <v>1.61</v>
      </c>
    </row>
    <row r="965" spans="1:8" ht="14.1" customHeight="1">
      <c r="E965" s="146"/>
      <c r="F965" s="351" t="s">
        <v>94</v>
      </c>
      <c r="G965" s="369">
        <f>G959+G961+G963</f>
        <v>1.62</v>
      </c>
    </row>
    <row r="966" spans="1:8" ht="14.1" customHeight="1">
      <c r="A966" s="130" t="s">
        <v>96</v>
      </c>
      <c r="E966" s="146"/>
      <c r="F966" s="351" t="s">
        <v>95</v>
      </c>
      <c r="G966" s="370">
        <f>SUM(G964:G965)</f>
        <v>3.2300000000000004</v>
      </c>
    </row>
    <row r="967" spans="1:8" ht="14.1" customHeight="1">
      <c r="A967" s="350" t="s">
        <v>97</v>
      </c>
      <c r="B967" s="461">
        <f>G966</f>
        <v>3.2300000000000004</v>
      </c>
    </row>
    <row r="968" spans="1:8" ht="14.1" customHeight="1">
      <c r="A968" s="455" t="s">
        <v>1936</v>
      </c>
      <c r="B968" s="454"/>
    </row>
    <row r="969" spans="1:8" ht="14.1" customHeight="1">
      <c r="A969" s="535" t="s">
        <v>1995</v>
      </c>
      <c r="B969" s="454">
        <f>(B967+B968)*0.245</f>
        <v>0.79135000000000011</v>
      </c>
    </row>
    <row r="970" spans="1:8" ht="14.1" customHeight="1">
      <c r="A970" s="350" t="s">
        <v>98</v>
      </c>
      <c r="B970" s="462">
        <f>SUM(B967:B969)</f>
        <v>4.0213500000000009</v>
      </c>
      <c r="H970" s="473"/>
    </row>
    <row r="971" spans="1:8" ht="11.25" customHeight="1">
      <c r="A971" s="429"/>
      <c r="B971" s="430"/>
      <c r="C971" s="431"/>
      <c r="D971" s="429"/>
      <c r="E971" s="430"/>
      <c r="F971" s="430"/>
      <c r="G971" s="430"/>
      <c r="H971" s="429"/>
    </row>
    <row r="972" spans="1:8" ht="11.25" customHeight="1">
      <c r="A972" s="337"/>
      <c r="B972" s="334"/>
      <c r="C972" s="336"/>
      <c r="D972" s="337"/>
      <c r="E972" s="334"/>
      <c r="F972" s="334"/>
      <c r="G972" s="334"/>
      <c r="H972" s="337"/>
    </row>
    <row r="973" spans="1:8" ht="11.25" customHeight="1">
      <c r="A973" s="130" t="s">
        <v>542</v>
      </c>
    </row>
    <row r="974" spans="1:8" ht="11.25" customHeight="1">
      <c r="A974" s="148" t="s">
        <v>1883</v>
      </c>
    </row>
    <row r="975" spans="1:8" ht="51" customHeight="1">
      <c r="A975" s="418" t="s">
        <v>820</v>
      </c>
      <c r="B975" s="1356" t="s">
        <v>1884</v>
      </c>
      <c r="C975" s="1356"/>
      <c r="D975" s="1356"/>
      <c r="E975" s="950" t="s">
        <v>858</v>
      </c>
      <c r="F975" s="130"/>
      <c r="G975" s="419"/>
    </row>
    <row r="976" spans="1:8" ht="25.5" customHeight="1">
      <c r="A976" s="913" t="s">
        <v>30</v>
      </c>
      <c r="B976" s="420" t="s">
        <v>19</v>
      </c>
      <c r="C976" s="343" t="s">
        <v>82</v>
      </c>
      <c r="D976" s="915" t="s">
        <v>79</v>
      </c>
      <c r="E976" s="915" t="s">
        <v>83</v>
      </c>
      <c r="F976" s="345" t="s">
        <v>84</v>
      </c>
      <c r="G976" s="421" t="s">
        <v>85</v>
      </c>
    </row>
    <row r="977" spans="1:8" ht="14.1" customHeight="1">
      <c r="A977" s="1317" t="s">
        <v>688</v>
      </c>
      <c r="B977" s="1310" t="s">
        <v>106</v>
      </c>
      <c r="C977" s="343" t="s">
        <v>102</v>
      </c>
      <c r="D977" s="1314" t="s">
        <v>345</v>
      </c>
      <c r="E977" s="1315">
        <v>0.21099999999999999</v>
      </c>
      <c r="F977" s="348">
        <f>'COMP AUX'!G104</f>
        <v>11.1</v>
      </c>
      <c r="G977" s="424">
        <f>TRUNC(E977*F977,2)</f>
        <v>2.34</v>
      </c>
    </row>
    <row r="978" spans="1:8" ht="14.1" customHeight="1">
      <c r="A978" s="1318"/>
      <c r="B978" s="1311"/>
      <c r="C978" s="343" t="s">
        <v>89</v>
      </c>
      <c r="D978" s="1314"/>
      <c r="E978" s="1316"/>
      <c r="F978" s="348">
        <f>'COMP AUX'!G105</f>
        <v>4.5600000000000005</v>
      </c>
      <c r="G978" s="346">
        <f>TRUNC(E977*F978,2)</f>
        <v>0.96</v>
      </c>
    </row>
    <row r="979" spans="1:8" ht="14.1" customHeight="1">
      <c r="A979" s="1308" t="s">
        <v>893</v>
      </c>
      <c r="B979" s="1310" t="s">
        <v>110</v>
      </c>
      <c r="C979" s="343" t="s">
        <v>102</v>
      </c>
      <c r="D979" s="1306" t="s">
        <v>345</v>
      </c>
      <c r="E979" s="1315">
        <v>0.57999999999999996</v>
      </c>
      <c r="F979" s="365">
        <f>'COMP AUX'!G151</f>
        <v>14.93</v>
      </c>
      <c r="G979" s="369">
        <f t="shared" ref="G979" si="68">TRUNC(E979*F979,2)</f>
        <v>8.65</v>
      </c>
    </row>
    <row r="980" spans="1:8" ht="14.1" customHeight="1">
      <c r="A980" s="1309"/>
      <c r="B980" s="1311"/>
      <c r="C980" s="343" t="s">
        <v>89</v>
      </c>
      <c r="D980" s="1307"/>
      <c r="E980" s="1316"/>
      <c r="F980" s="348">
        <f>'COMP AUX'!G152</f>
        <v>4.5600000000000005</v>
      </c>
      <c r="G980" s="369">
        <f>TRUNC(E979*F980,2)</f>
        <v>2.64</v>
      </c>
    </row>
    <row r="981" spans="1:8" ht="20.100000000000001" customHeight="1">
      <c r="A981" s="1308">
        <v>87292</v>
      </c>
      <c r="B981" s="1310" t="s">
        <v>1871</v>
      </c>
      <c r="C981" s="343" t="s">
        <v>102</v>
      </c>
      <c r="D981" s="1306" t="s">
        <v>682</v>
      </c>
      <c r="E981" s="1353">
        <v>3.7600000000000001E-2</v>
      </c>
      <c r="F981" s="348">
        <f>'COMP AUX'!G1554</f>
        <v>50.25</v>
      </c>
      <c r="G981" s="369">
        <f>TRUNC(E981*F981,2)</f>
        <v>1.88</v>
      </c>
    </row>
    <row r="982" spans="1:8" ht="20.100000000000001" customHeight="1">
      <c r="A982" s="1309"/>
      <c r="B982" s="1311"/>
      <c r="C982" s="343" t="s">
        <v>89</v>
      </c>
      <c r="D982" s="1307"/>
      <c r="E982" s="1354"/>
      <c r="F982" s="348">
        <f>'COMP AUX'!G1555</f>
        <v>292.83999999999997</v>
      </c>
      <c r="G982" s="369">
        <f>TRUNC(E981*F982,2)</f>
        <v>11.01</v>
      </c>
    </row>
    <row r="983" spans="1:8" ht="14.1" customHeight="1">
      <c r="E983" s="146"/>
      <c r="F983" s="427" t="s">
        <v>92</v>
      </c>
      <c r="G983" s="379">
        <f>G977+G979+G981</f>
        <v>12.870000000000001</v>
      </c>
    </row>
    <row r="984" spans="1:8" ht="14.1" customHeight="1">
      <c r="E984" s="146"/>
      <c r="F984" s="351" t="s">
        <v>94</v>
      </c>
      <c r="G984" s="369">
        <f>G978+G980+G982</f>
        <v>14.61</v>
      </c>
    </row>
    <row r="985" spans="1:8" ht="14.1" customHeight="1">
      <c r="A985" s="130" t="s">
        <v>96</v>
      </c>
      <c r="E985" s="146"/>
      <c r="F985" s="351" t="s">
        <v>95</v>
      </c>
      <c r="G985" s="370">
        <f>SUM(G983:G984)</f>
        <v>27.48</v>
      </c>
    </row>
    <row r="986" spans="1:8" ht="14.1" customHeight="1">
      <c r="A986" s="350" t="s">
        <v>97</v>
      </c>
      <c r="B986" s="461">
        <f>G985</f>
        <v>27.48</v>
      </c>
    </row>
    <row r="987" spans="1:8" ht="14.1" customHeight="1">
      <c r="A987" s="455" t="s">
        <v>1936</v>
      </c>
      <c r="B987" s="454"/>
    </row>
    <row r="988" spans="1:8" ht="14.1" customHeight="1">
      <c r="A988" s="535" t="s">
        <v>1995</v>
      </c>
      <c r="B988" s="454">
        <f>(B986+B987)*0.245</f>
        <v>6.7325999999999997</v>
      </c>
    </row>
    <row r="989" spans="1:8" ht="14.1" customHeight="1">
      <c r="A989" s="350" t="s">
        <v>98</v>
      </c>
      <c r="B989" s="462">
        <f>SUM(B986:B988)</f>
        <v>34.212600000000002</v>
      </c>
      <c r="H989" s="473"/>
    </row>
    <row r="990" spans="1:8" ht="11.25" customHeight="1">
      <c r="A990" s="429"/>
      <c r="B990" s="430"/>
      <c r="C990" s="431"/>
      <c r="D990" s="429"/>
      <c r="E990" s="430"/>
      <c r="F990" s="430"/>
      <c r="G990" s="430"/>
      <c r="H990" s="429"/>
    </row>
    <row r="991" spans="1:8" ht="11.25" customHeight="1">
      <c r="A991" s="337"/>
      <c r="B991" s="334"/>
      <c r="C991" s="336"/>
      <c r="D991" s="337"/>
      <c r="E991" s="334"/>
      <c r="F991" s="334"/>
      <c r="G991" s="334"/>
      <c r="H991" s="337"/>
    </row>
    <row r="992" spans="1:8" ht="11.25" customHeight="1">
      <c r="A992" s="130" t="s">
        <v>542</v>
      </c>
    </row>
    <row r="993" spans="1:8" ht="11.25" customHeight="1">
      <c r="A993" s="148" t="s">
        <v>1881</v>
      </c>
    </row>
    <row r="994" spans="1:8" ht="39" customHeight="1">
      <c r="A994" s="418" t="s">
        <v>820</v>
      </c>
      <c r="B994" s="1356" t="s">
        <v>1882</v>
      </c>
      <c r="C994" s="1356"/>
      <c r="D994" s="1356"/>
      <c r="E994" s="635" t="s">
        <v>858</v>
      </c>
      <c r="F994" s="130"/>
      <c r="G994" s="419"/>
    </row>
    <row r="995" spans="1:8" ht="21" customHeight="1">
      <c r="A995" s="913" t="s">
        <v>30</v>
      </c>
      <c r="B995" s="420" t="s">
        <v>19</v>
      </c>
      <c r="C995" s="343" t="s">
        <v>82</v>
      </c>
      <c r="D995" s="915" t="s">
        <v>79</v>
      </c>
      <c r="E995" s="915" t="s">
        <v>83</v>
      </c>
      <c r="F995" s="345" t="s">
        <v>84</v>
      </c>
      <c r="G995" s="421" t="s">
        <v>85</v>
      </c>
    </row>
    <row r="996" spans="1:8" ht="15" customHeight="1">
      <c r="A996" s="1317" t="s">
        <v>688</v>
      </c>
      <c r="B996" s="1310" t="s">
        <v>106</v>
      </c>
      <c r="C996" s="343" t="s">
        <v>102</v>
      </c>
      <c r="D996" s="1314" t="s">
        <v>345</v>
      </c>
      <c r="E996" s="1315">
        <v>0.17100000000000001</v>
      </c>
      <c r="F996" s="348">
        <f>'COMP AUX'!G104</f>
        <v>11.1</v>
      </c>
      <c r="G996" s="424">
        <f>TRUNC(E996*F996,2)</f>
        <v>1.89</v>
      </c>
    </row>
    <row r="997" spans="1:8" ht="15" customHeight="1">
      <c r="A997" s="1318"/>
      <c r="B997" s="1311"/>
      <c r="C997" s="343" t="s">
        <v>89</v>
      </c>
      <c r="D997" s="1314"/>
      <c r="E997" s="1316"/>
      <c r="F997" s="348">
        <f>'COMP AUX'!G105</f>
        <v>4.5600000000000005</v>
      </c>
      <c r="G997" s="346">
        <f>TRUNC(E996*F997,2)</f>
        <v>0.77</v>
      </c>
    </row>
    <row r="998" spans="1:8" ht="15" customHeight="1">
      <c r="A998" s="1308" t="s">
        <v>893</v>
      </c>
      <c r="B998" s="1310" t="s">
        <v>110</v>
      </c>
      <c r="C998" s="343" t="s">
        <v>102</v>
      </c>
      <c r="D998" s="1306" t="s">
        <v>345</v>
      </c>
      <c r="E998" s="1315">
        <v>0.47</v>
      </c>
      <c r="F998" s="365">
        <f>'COMP AUX'!G151</f>
        <v>14.93</v>
      </c>
      <c r="G998" s="369">
        <f t="shared" ref="G998" si="69">TRUNC(E998*F998,2)</f>
        <v>7.01</v>
      </c>
    </row>
    <row r="999" spans="1:8" ht="15" customHeight="1">
      <c r="A999" s="1309"/>
      <c r="B999" s="1311"/>
      <c r="C999" s="343" t="s">
        <v>89</v>
      </c>
      <c r="D999" s="1307"/>
      <c r="E999" s="1316"/>
      <c r="F999" s="348">
        <f>'COMP AUX'!G152</f>
        <v>4.5600000000000005</v>
      </c>
      <c r="G999" s="369">
        <f>TRUNC(E998*F999,2)</f>
        <v>2.14</v>
      </c>
    </row>
    <row r="1000" spans="1:8" ht="20.100000000000001" customHeight="1">
      <c r="A1000" s="1308">
        <v>87292</v>
      </c>
      <c r="B1000" s="1310" t="s">
        <v>1871</v>
      </c>
      <c r="C1000" s="343" t="s">
        <v>102</v>
      </c>
      <c r="D1000" s="1306" t="s">
        <v>682</v>
      </c>
      <c r="E1000" s="1353">
        <v>3.7600000000000001E-2</v>
      </c>
      <c r="F1000" s="348">
        <f>'COMP AUX'!G1554</f>
        <v>50.25</v>
      </c>
      <c r="G1000" s="369">
        <f>TRUNC(E1000*F1000,2)</f>
        <v>1.88</v>
      </c>
    </row>
    <row r="1001" spans="1:8" ht="20.100000000000001" customHeight="1">
      <c r="A1001" s="1309"/>
      <c r="B1001" s="1311"/>
      <c r="C1001" s="343" t="s">
        <v>89</v>
      </c>
      <c r="D1001" s="1307"/>
      <c r="E1001" s="1354"/>
      <c r="F1001" s="348">
        <f>'COMP AUX'!G1555</f>
        <v>292.83999999999997</v>
      </c>
      <c r="G1001" s="369">
        <f>TRUNC(E1000*F1001,2)</f>
        <v>11.01</v>
      </c>
    </row>
    <row r="1002" spans="1:8" ht="15" customHeight="1">
      <c r="E1002" s="146"/>
      <c r="F1002" s="427" t="s">
        <v>92</v>
      </c>
      <c r="G1002" s="379">
        <f>G996+G998+G1000</f>
        <v>10.780000000000001</v>
      </c>
    </row>
    <row r="1003" spans="1:8" ht="15" customHeight="1">
      <c r="E1003" s="146"/>
      <c r="F1003" s="351" t="s">
        <v>94</v>
      </c>
      <c r="G1003" s="369">
        <f>G997+G999+G1001</f>
        <v>13.92</v>
      </c>
    </row>
    <row r="1004" spans="1:8" ht="15" customHeight="1">
      <c r="A1004" s="130" t="s">
        <v>96</v>
      </c>
      <c r="E1004" s="146"/>
      <c r="F1004" s="351" t="s">
        <v>95</v>
      </c>
      <c r="G1004" s="370">
        <f>SUM(G1002:G1003)</f>
        <v>24.700000000000003</v>
      </c>
    </row>
    <row r="1005" spans="1:8" ht="15" customHeight="1">
      <c r="A1005" s="350" t="s">
        <v>97</v>
      </c>
      <c r="B1005" s="461">
        <f>G1004</f>
        <v>24.700000000000003</v>
      </c>
    </row>
    <row r="1006" spans="1:8" ht="15" customHeight="1">
      <c r="A1006" s="455" t="s">
        <v>1936</v>
      </c>
      <c r="B1006" s="454"/>
    </row>
    <row r="1007" spans="1:8" ht="15" customHeight="1">
      <c r="A1007" s="535" t="s">
        <v>1995</v>
      </c>
      <c r="B1007" s="454">
        <f>(B1005+B1006)*0.245</f>
        <v>6.0515000000000008</v>
      </c>
    </row>
    <row r="1008" spans="1:8" ht="15" customHeight="1">
      <c r="A1008" s="350" t="s">
        <v>98</v>
      </c>
      <c r="B1008" s="462">
        <f>SUM(B1005:B1007)</f>
        <v>30.751500000000004</v>
      </c>
      <c r="H1008" s="473"/>
    </row>
    <row r="1009" spans="1:8" ht="11.25" customHeight="1">
      <c r="A1009" s="429"/>
      <c r="B1009" s="430"/>
      <c r="C1009" s="431"/>
      <c r="D1009" s="429"/>
      <c r="E1009" s="430"/>
      <c r="F1009" s="430"/>
      <c r="G1009" s="430"/>
      <c r="H1009" s="429"/>
    </row>
    <row r="1010" spans="1:8" ht="11.25" customHeight="1">
      <c r="A1010" s="337"/>
      <c r="B1010" s="334"/>
      <c r="C1010" s="336"/>
      <c r="D1010" s="337"/>
      <c r="E1010" s="334"/>
      <c r="F1010" s="334"/>
      <c r="G1010" s="334"/>
      <c r="H1010" s="337"/>
    </row>
    <row r="1011" spans="1:8" ht="11.25" customHeight="1">
      <c r="A1011" s="130" t="s">
        <v>542</v>
      </c>
    </row>
    <row r="1012" spans="1:8" ht="11.25" customHeight="1">
      <c r="A1012" s="148" t="s">
        <v>1885</v>
      </c>
    </row>
    <row r="1013" spans="1:8" ht="24" customHeight="1">
      <c r="A1013" s="418" t="s">
        <v>820</v>
      </c>
      <c r="B1013" s="1356" t="s">
        <v>1886</v>
      </c>
      <c r="C1013" s="1356"/>
      <c r="D1013" s="1356"/>
      <c r="E1013" s="635" t="s">
        <v>858</v>
      </c>
      <c r="F1013" s="130"/>
      <c r="G1013" s="419"/>
    </row>
    <row r="1014" spans="1:8" ht="22.5" customHeight="1">
      <c r="A1014" s="913" t="s">
        <v>30</v>
      </c>
      <c r="B1014" s="420" t="s">
        <v>19</v>
      </c>
      <c r="C1014" s="343" t="s">
        <v>82</v>
      </c>
      <c r="D1014" s="915" t="s">
        <v>79</v>
      </c>
      <c r="E1014" s="915" t="s">
        <v>83</v>
      </c>
      <c r="F1014" s="345" t="s">
        <v>84</v>
      </c>
      <c r="G1014" s="421" t="s">
        <v>85</v>
      </c>
    </row>
    <row r="1015" spans="1:8" ht="14.1" customHeight="1">
      <c r="A1015" s="1317" t="s">
        <v>688</v>
      </c>
      <c r="B1015" s="1310" t="s">
        <v>106</v>
      </c>
      <c r="C1015" s="343" t="s">
        <v>102</v>
      </c>
      <c r="D1015" s="1314" t="s">
        <v>345</v>
      </c>
      <c r="E1015" s="1315">
        <v>1.4E-2</v>
      </c>
      <c r="F1015" s="348">
        <f>'COMP AUX'!G104</f>
        <v>11.1</v>
      </c>
      <c r="G1015" s="424">
        <f>TRUNC(E1015*F1015,2)</f>
        <v>0.15</v>
      </c>
    </row>
    <row r="1016" spans="1:8" ht="14.1" customHeight="1">
      <c r="A1016" s="1318"/>
      <c r="B1016" s="1311"/>
      <c r="C1016" s="343" t="s">
        <v>89</v>
      </c>
      <c r="D1016" s="1314"/>
      <c r="E1016" s="1316"/>
      <c r="F1016" s="348">
        <f>'COMP AUX'!G105</f>
        <v>4.5600000000000005</v>
      </c>
      <c r="G1016" s="346">
        <f>TRUNC(E1015*F1016,2)</f>
        <v>0.06</v>
      </c>
    </row>
    <row r="1017" spans="1:8" ht="14.1" customHeight="1">
      <c r="A1017" s="1308">
        <v>88310</v>
      </c>
      <c r="B1017" s="1310" t="s">
        <v>401</v>
      </c>
      <c r="C1017" s="343" t="s">
        <v>102</v>
      </c>
      <c r="D1017" s="1306" t="s">
        <v>345</v>
      </c>
      <c r="E1017" s="1315">
        <v>0.47</v>
      </c>
      <c r="F1017" s="365">
        <f>'COMP AUX'!G236</f>
        <v>14.85</v>
      </c>
      <c r="G1017" s="369">
        <f t="shared" ref="G1017" si="70">TRUNC(E1017*F1017,2)</f>
        <v>6.97</v>
      </c>
    </row>
    <row r="1018" spans="1:8" ht="14.1" customHeight="1">
      <c r="A1018" s="1309"/>
      <c r="B1018" s="1311"/>
      <c r="C1018" s="343" t="s">
        <v>89</v>
      </c>
      <c r="D1018" s="1307"/>
      <c r="E1018" s="1316"/>
      <c r="F1018" s="365">
        <f>'COMP AUX'!G237</f>
        <v>4.5600000000000005</v>
      </c>
      <c r="G1018" s="369">
        <f>TRUNC(E1017*F1018,2)</f>
        <v>2.14</v>
      </c>
    </row>
    <row r="1019" spans="1:8" ht="14.1" customHeight="1">
      <c r="A1019" s="917">
        <v>6085</v>
      </c>
      <c r="B1019" s="882" t="s">
        <v>1887</v>
      </c>
      <c r="C1019" s="343" t="s">
        <v>89</v>
      </c>
      <c r="D1019" s="918" t="s">
        <v>560</v>
      </c>
      <c r="E1019" s="912">
        <v>0.16</v>
      </c>
      <c r="F1019" s="348">
        <v>4.3499999999999996</v>
      </c>
      <c r="G1019" s="369">
        <f>TRUNC(E1019*F1019,2)</f>
        <v>0.69</v>
      </c>
    </row>
    <row r="1020" spans="1:8" ht="14.1" customHeight="1">
      <c r="E1020" s="146"/>
      <c r="F1020" s="427" t="s">
        <v>92</v>
      </c>
      <c r="G1020" s="379">
        <f>G1015+G1017</f>
        <v>7.12</v>
      </c>
    </row>
    <row r="1021" spans="1:8" ht="14.1" customHeight="1">
      <c r="E1021" s="146"/>
      <c r="F1021" s="351" t="s">
        <v>94</v>
      </c>
      <c r="G1021" s="369">
        <f>G1016+G1018+G1019</f>
        <v>2.89</v>
      </c>
    </row>
    <row r="1022" spans="1:8" ht="14.1" customHeight="1">
      <c r="A1022" s="130" t="s">
        <v>96</v>
      </c>
      <c r="E1022" s="146"/>
      <c r="F1022" s="351" t="s">
        <v>95</v>
      </c>
      <c r="G1022" s="370">
        <f>SUM(G1020:G1021)</f>
        <v>10.01</v>
      </c>
    </row>
    <row r="1023" spans="1:8" ht="14.1" customHeight="1">
      <c r="A1023" s="350" t="s">
        <v>97</v>
      </c>
      <c r="B1023" s="461">
        <f>G1022</f>
        <v>10.01</v>
      </c>
    </row>
    <row r="1024" spans="1:8" ht="14.1" customHeight="1">
      <c r="A1024" s="455" t="s">
        <v>1936</v>
      </c>
      <c r="B1024" s="454"/>
    </row>
    <row r="1025" spans="1:8" ht="14.1" customHeight="1">
      <c r="A1025" s="535" t="s">
        <v>1995</v>
      </c>
      <c r="B1025" s="454">
        <f>(B1023+B1024)*0.245</f>
        <v>2.4524499999999998</v>
      </c>
    </row>
    <row r="1026" spans="1:8" ht="14.1" customHeight="1">
      <c r="A1026" s="350" t="s">
        <v>98</v>
      </c>
      <c r="B1026" s="462">
        <f>SUM(B1023:B1025)</f>
        <v>12.46245</v>
      </c>
      <c r="H1026" s="473"/>
    </row>
    <row r="1027" spans="1:8" ht="11.25" customHeight="1">
      <c r="A1027" s="429"/>
      <c r="B1027" s="430"/>
      <c r="C1027" s="431"/>
      <c r="D1027" s="429"/>
      <c r="E1027" s="430"/>
      <c r="F1027" s="430"/>
      <c r="G1027" s="430"/>
      <c r="H1027" s="429"/>
    </row>
    <row r="1028" spans="1:8" ht="11.25" customHeight="1">
      <c r="A1028" s="337"/>
      <c r="B1028" s="334"/>
      <c r="C1028" s="336"/>
      <c r="D1028" s="337"/>
      <c r="E1028" s="334"/>
      <c r="F1028" s="334"/>
      <c r="G1028" s="334"/>
      <c r="H1028" s="337"/>
    </row>
    <row r="1029" spans="1:8" ht="11.25" customHeight="1">
      <c r="A1029" s="130" t="s">
        <v>542</v>
      </c>
    </row>
    <row r="1030" spans="1:8" ht="11.25" customHeight="1">
      <c r="A1030" s="148" t="s">
        <v>1888</v>
      </c>
    </row>
    <row r="1031" spans="1:8" ht="16.5" customHeight="1">
      <c r="A1031" s="418" t="s">
        <v>820</v>
      </c>
      <c r="B1031" s="1356" t="s">
        <v>1384</v>
      </c>
      <c r="C1031" s="1356"/>
      <c r="D1031" s="635" t="s">
        <v>858</v>
      </c>
      <c r="F1031" s="130"/>
      <c r="G1031" s="419"/>
    </row>
    <row r="1032" spans="1:8" ht="23.25" customHeight="1">
      <c r="A1032" s="913" t="s">
        <v>30</v>
      </c>
      <c r="B1032" s="420" t="s">
        <v>19</v>
      </c>
      <c r="C1032" s="343" t="s">
        <v>82</v>
      </c>
      <c r="D1032" s="915" t="s">
        <v>79</v>
      </c>
      <c r="E1032" s="915" t="s">
        <v>83</v>
      </c>
      <c r="F1032" s="345" t="s">
        <v>84</v>
      </c>
      <c r="G1032" s="421" t="s">
        <v>85</v>
      </c>
    </row>
    <row r="1033" spans="1:8" ht="14.1" customHeight="1">
      <c r="A1033" s="1317" t="s">
        <v>688</v>
      </c>
      <c r="B1033" s="1310" t="s">
        <v>106</v>
      </c>
      <c r="C1033" s="343" t="s">
        <v>102</v>
      </c>
      <c r="D1033" s="1314" t="s">
        <v>345</v>
      </c>
      <c r="E1033" s="1315">
        <v>6.9000000000000006E-2</v>
      </c>
      <c r="F1033" s="348">
        <f>'COMP AUX'!G104</f>
        <v>11.1</v>
      </c>
      <c r="G1033" s="424">
        <f>TRUNC(E1033*F1033,2)</f>
        <v>0.76</v>
      </c>
    </row>
    <row r="1034" spans="1:8" ht="14.1" customHeight="1">
      <c r="A1034" s="1318"/>
      <c r="B1034" s="1311"/>
      <c r="C1034" s="343" t="s">
        <v>89</v>
      </c>
      <c r="D1034" s="1314"/>
      <c r="E1034" s="1316"/>
      <c r="F1034" s="348">
        <f>'COMP AUX'!G105</f>
        <v>4.5600000000000005</v>
      </c>
      <c r="G1034" s="346">
        <f>TRUNC(E1033*F1034,2)</f>
        <v>0.31</v>
      </c>
    </row>
    <row r="1035" spans="1:8" ht="14.1" customHeight="1">
      <c r="A1035" s="1308">
        <v>88310</v>
      </c>
      <c r="B1035" s="1310" t="s">
        <v>401</v>
      </c>
      <c r="C1035" s="343" t="s">
        <v>102</v>
      </c>
      <c r="D1035" s="1306" t="s">
        <v>345</v>
      </c>
      <c r="E1035" s="1315">
        <v>0.18</v>
      </c>
      <c r="F1035" s="365">
        <f>'COMP AUX'!G236</f>
        <v>14.85</v>
      </c>
      <c r="G1035" s="369">
        <f t="shared" ref="G1035" si="71">TRUNC(E1035*F1035,2)</f>
        <v>2.67</v>
      </c>
    </row>
    <row r="1036" spans="1:8" ht="14.1" customHeight="1">
      <c r="A1036" s="1309"/>
      <c r="B1036" s="1311"/>
      <c r="C1036" s="343" t="s">
        <v>89</v>
      </c>
      <c r="D1036" s="1307"/>
      <c r="E1036" s="1316"/>
      <c r="F1036" s="365">
        <f>'COMP AUX'!G237</f>
        <v>4.5600000000000005</v>
      </c>
      <c r="G1036" s="369">
        <f>TRUNC(E1035*F1036,2)</f>
        <v>0.82</v>
      </c>
    </row>
    <row r="1037" spans="1:8" ht="24" customHeight="1">
      <c r="A1037" s="917" t="s">
        <v>399</v>
      </c>
      <c r="B1037" s="882" t="s">
        <v>400</v>
      </c>
      <c r="C1037" s="343" t="s">
        <v>89</v>
      </c>
      <c r="D1037" s="918" t="s">
        <v>560</v>
      </c>
      <c r="E1037" s="912">
        <v>1.1399999999999999</v>
      </c>
      <c r="F1037" s="348">
        <v>4.9400000000000004</v>
      </c>
      <c r="G1037" s="369">
        <f>TRUNC(E1037*F1037,2)</f>
        <v>5.63</v>
      </c>
    </row>
    <row r="1038" spans="1:8" ht="14.1" customHeight="1">
      <c r="E1038" s="146"/>
      <c r="F1038" s="427" t="s">
        <v>92</v>
      </c>
      <c r="G1038" s="379">
        <f>G1033+G1035</f>
        <v>3.4299999999999997</v>
      </c>
    </row>
    <row r="1039" spans="1:8" ht="14.1" customHeight="1">
      <c r="E1039" s="146"/>
      <c r="F1039" s="351" t="s">
        <v>94</v>
      </c>
      <c r="G1039" s="369">
        <f>G1034+G1036+G1037</f>
        <v>6.76</v>
      </c>
    </row>
    <row r="1040" spans="1:8" ht="14.1" customHeight="1">
      <c r="A1040" s="130" t="s">
        <v>96</v>
      </c>
      <c r="E1040" s="146"/>
      <c r="F1040" s="351" t="s">
        <v>95</v>
      </c>
      <c r="G1040" s="370">
        <f>SUM(G1038:G1039)</f>
        <v>10.19</v>
      </c>
    </row>
    <row r="1041" spans="1:8" ht="14.1" customHeight="1">
      <c r="A1041" s="350" t="s">
        <v>97</v>
      </c>
      <c r="B1041" s="461">
        <f>G1040</f>
        <v>10.19</v>
      </c>
    </row>
    <row r="1042" spans="1:8" ht="14.1" customHeight="1">
      <c r="A1042" s="455" t="s">
        <v>1936</v>
      </c>
      <c r="B1042" s="454"/>
    </row>
    <row r="1043" spans="1:8" ht="14.1" customHeight="1">
      <c r="A1043" s="535" t="s">
        <v>1995</v>
      </c>
      <c r="B1043" s="454">
        <f>(B1041+B1042)*0.245</f>
        <v>2.49655</v>
      </c>
    </row>
    <row r="1044" spans="1:8" ht="14.1" customHeight="1">
      <c r="A1044" s="350" t="s">
        <v>98</v>
      </c>
      <c r="B1044" s="462">
        <f>SUM(B1041:B1043)</f>
        <v>12.68655</v>
      </c>
      <c r="H1044" s="473"/>
    </row>
    <row r="1045" spans="1:8" ht="11.25" customHeight="1">
      <c r="A1045" s="429"/>
      <c r="B1045" s="430"/>
      <c r="C1045" s="431"/>
      <c r="D1045" s="429"/>
      <c r="E1045" s="430"/>
      <c r="F1045" s="430"/>
      <c r="G1045" s="430"/>
      <c r="H1045" s="429"/>
    </row>
    <row r="1046" spans="1:8" ht="11.25" customHeight="1">
      <c r="A1046" s="337"/>
      <c r="B1046" s="334"/>
      <c r="C1046" s="336"/>
      <c r="D1046" s="337"/>
      <c r="E1046" s="334"/>
      <c r="F1046" s="334"/>
      <c r="G1046" s="334"/>
      <c r="H1046" s="337"/>
    </row>
    <row r="1047" spans="1:8" ht="11.25" customHeight="1">
      <c r="A1047" s="130" t="s">
        <v>542</v>
      </c>
    </row>
    <row r="1048" spans="1:8" ht="11.25" customHeight="1">
      <c r="A1048" s="148" t="s">
        <v>1889</v>
      </c>
    </row>
    <row r="1049" spans="1:8" ht="26.25" customHeight="1">
      <c r="A1049" s="418" t="s">
        <v>820</v>
      </c>
      <c r="B1049" s="418" t="s">
        <v>1437</v>
      </c>
      <c r="C1049" s="950" t="s">
        <v>858</v>
      </c>
      <c r="F1049" s="130"/>
      <c r="G1049" s="419"/>
    </row>
    <row r="1050" spans="1:8" ht="23.25" customHeight="1">
      <c r="A1050" s="913" t="s">
        <v>30</v>
      </c>
      <c r="B1050" s="420" t="s">
        <v>19</v>
      </c>
      <c r="C1050" s="343" t="s">
        <v>82</v>
      </c>
      <c r="D1050" s="915" t="s">
        <v>79</v>
      </c>
      <c r="E1050" s="915" t="s">
        <v>83</v>
      </c>
      <c r="F1050" s="345" t="s">
        <v>84</v>
      </c>
      <c r="G1050" s="421" t="s">
        <v>85</v>
      </c>
    </row>
    <row r="1051" spans="1:8" ht="14.1" customHeight="1">
      <c r="A1051" s="1317" t="s">
        <v>688</v>
      </c>
      <c r="B1051" s="1310" t="s">
        <v>106</v>
      </c>
      <c r="C1051" s="343" t="s">
        <v>102</v>
      </c>
      <c r="D1051" s="1314" t="s">
        <v>345</v>
      </c>
      <c r="E1051" s="1315">
        <v>0.3</v>
      </c>
      <c r="F1051" s="348">
        <f>'COMP AUX'!G104</f>
        <v>11.1</v>
      </c>
      <c r="G1051" s="424">
        <f>TRUNC(E1051*F1051,2)</f>
        <v>3.33</v>
      </c>
    </row>
    <row r="1052" spans="1:8" ht="14.1" customHeight="1">
      <c r="A1052" s="1318"/>
      <c r="B1052" s="1311"/>
      <c r="C1052" s="343" t="s">
        <v>89</v>
      </c>
      <c r="D1052" s="1314"/>
      <c r="E1052" s="1316"/>
      <c r="F1052" s="348">
        <f>'COMP AUX'!G105</f>
        <v>4.5600000000000005</v>
      </c>
      <c r="G1052" s="346">
        <f>TRUNC(E1051*F1052,2)</f>
        <v>1.36</v>
      </c>
    </row>
    <row r="1053" spans="1:8" ht="14.1" customHeight="1">
      <c r="A1053" s="1308">
        <v>88310</v>
      </c>
      <c r="B1053" s="1310" t="s">
        <v>401</v>
      </c>
      <c r="C1053" s="343" t="s">
        <v>102</v>
      </c>
      <c r="D1053" s="1306" t="s">
        <v>345</v>
      </c>
      <c r="E1053" s="1315">
        <v>0.4</v>
      </c>
      <c r="F1053" s="365">
        <f>'COMP AUX'!G236</f>
        <v>14.85</v>
      </c>
      <c r="G1053" s="369">
        <f t="shared" ref="G1053" si="72">TRUNC(E1053*F1053,2)</f>
        <v>5.94</v>
      </c>
    </row>
    <row r="1054" spans="1:8" ht="14.1" customHeight="1">
      <c r="A1054" s="1309"/>
      <c r="B1054" s="1311"/>
      <c r="C1054" s="343" t="s">
        <v>89</v>
      </c>
      <c r="D1054" s="1307"/>
      <c r="E1054" s="1316"/>
      <c r="F1054" s="365">
        <f>'COMP AUX'!G237</f>
        <v>4.5600000000000005</v>
      </c>
      <c r="G1054" s="369">
        <f>TRUNC(E1053*F1054,2)</f>
        <v>1.82</v>
      </c>
    </row>
    <row r="1055" spans="1:8" ht="24" customHeight="1">
      <c r="A1055" s="917" t="s">
        <v>1890</v>
      </c>
      <c r="B1055" s="882" t="s">
        <v>1891</v>
      </c>
      <c r="C1055" s="343" t="s">
        <v>89</v>
      </c>
      <c r="D1055" s="918" t="s">
        <v>560</v>
      </c>
      <c r="E1055" s="912">
        <v>0.24</v>
      </c>
      <c r="F1055" s="348">
        <v>20.55</v>
      </c>
      <c r="G1055" s="369">
        <f>TRUNC(E1055*F1055,2)</f>
        <v>4.93</v>
      </c>
    </row>
    <row r="1056" spans="1:8" ht="14.1" customHeight="1">
      <c r="E1056" s="146"/>
      <c r="F1056" s="427" t="s">
        <v>92</v>
      </c>
      <c r="G1056" s="379">
        <f>G1051+G1053</f>
        <v>9.27</v>
      </c>
    </row>
    <row r="1057" spans="1:8" ht="14.1" customHeight="1">
      <c r="E1057" s="146"/>
      <c r="F1057" s="351" t="s">
        <v>94</v>
      </c>
      <c r="G1057" s="369">
        <f>G1052+G1054+G1055</f>
        <v>8.11</v>
      </c>
    </row>
    <row r="1058" spans="1:8" ht="14.1" customHeight="1">
      <c r="A1058" s="130" t="s">
        <v>96</v>
      </c>
      <c r="E1058" s="146"/>
      <c r="F1058" s="351" t="s">
        <v>95</v>
      </c>
      <c r="G1058" s="370">
        <f>SUM(G1056:G1057)</f>
        <v>17.38</v>
      </c>
    </row>
    <row r="1059" spans="1:8" ht="14.1" customHeight="1">
      <c r="A1059" s="350" t="s">
        <v>97</v>
      </c>
      <c r="B1059" s="461">
        <f>G1058</f>
        <v>17.38</v>
      </c>
    </row>
    <row r="1060" spans="1:8" ht="14.1" customHeight="1">
      <c r="A1060" s="455" t="s">
        <v>1936</v>
      </c>
      <c r="B1060" s="454"/>
    </row>
    <row r="1061" spans="1:8" ht="14.1" customHeight="1">
      <c r="A1061" s="535" t="s">
        <v>1995</v>
      </c>
      <c r="B1061" s="454">
        <f>(B1059+B1060)*0.245</f>
        <v>4.2580999999999998</v>
      </c>
    </row>
    <row r="1062" spans="1:8" ht="14.1" customHeight="1">
      <c r="A1062" s="350" t="s">
        <v>98</v>
      </c>
      <c r="B1062" s="462">
        <f>SUM(B1059:B1061)</f>
        <v>21.638099999999998</v>
      </c>
      <c r="H1062" s="473"/>
    </row>
    <row r="1063" spans="1:8" ht="11.25" customHeight="1">
      <c r="A1063" s="429"/>
      <c r="B1063" s="430"/>
      <c r="C1063" s="431"/>
      <c r="D1063" s="429"/>
      <c r="E1063" s="430"/>
      <c r="F1063" s="430"/>
      <c r="G1063" s="430"/>
      <c r="H1063" s="429"/>
    </row>
    <row r="1064" spans="1:8" ht="11.25" customHeight="1">
      <c r="A1064" s="337"/>
      <c r="B1064" s="334"/>
      <c r="C1064" s="336"/>
      <c r="D1064" s="337"/>
      <c r="E1064" s="334"/>
      <c r="F1064" s="334"/>
      <c r="G1064" s="334"/>
      <c r="H1064" s="337"/>
    </row>
    <row r="1065" spans="1:8" ht="11.25" customHeight="1">
      <c r="A1065" s="130" t="s">
        <v>542</v>
      </c>
    </row>
    <row r="1066" spans="1:8" ht="11.25" customHeight="1">
      <c r="A1066" s="148" t="s">
        <v>1892</v>
      </c>
    </row>
    <row r="1067" spans="1:8" ht="25.5" customHeight="1">
      <c r="A1067" s="418" t="s">
        <v>820</v>
      </c>
      <c r="B1067" s="418" t="s">
        <v>1386</v>
      </c>
      <c r="C1067" s="950" t="s">
        <v>858</v>
      </c>
      <c r="F1067" s="130"/>
      <c r="G1067" s="419"/>
    </row>
    <row r="1068" spans="1:8" ht="24" customHeight="1">
      <c r="A1068" s="913" t="s">
        <v>30</v>
      </c>
      <c r="B1068" s="420" t="s">
        <v>19</v>
      </c>
      <c r="C1068" s="343" t="s">
        <v>82</v>
      </c>
      <c r="D1068" s="915" t="s">
        <v>79</v>
      </c>
      <c r="E1068" s="915" t="s">
        <v>83</v>
      </c>
      <c r="F1068" s="345" t="s">
        <v>84</v>
      </c>
      <c r="G1068" s="421" t="s">
        <v>85</v>
      </c>
    </row>
    <row r="1069" spans="1:8" ht="14.1" customHeight="1">
      <c r="A1069" s="1317" t="s">
        <v>688</v>
      </c>
      <c r="B1069" s="1310" t="s">
        <v>106</v>
      </c>
      <c r="C1069" s="343" t="s">
        <v>102</v>
      </c>
      <c r="D1069" s="1314" t="s">
        <v>345</v>
      </c>
      <c r="E1069" s="1315">
        <v>0.5</v>
      </c>
      <c r="F1069" s="348">
        <f>'COMP AUX'!G104</f>
        <v>11.1</v>
      </c>
      <c r="G1069" s="424">
        <f>TRUNC(E1069*F1069,2)</f>
        <v>5.55</v>
      </c>
    </row>
    <row r="1070" spans="1:8" ht="14.1" customHeight="1">
      <c r="A1070" s="1318"/>
      <c r="B1070" s="1311"/>
      <c r="C1070" s="343" t="s">
        <v>89</v>
      </c>
      <c r="D1070" s="1314"/>
      <c r="E1070" s="1316"/>
      <c r="F1070" s="348">
        <f>'COMP AUX'!G105</f>
        <v>4.5600000000000005</v>
      </c>
      <c r="G1070" s="346">
        <f>TRUNC(E1069*F1070,2)</f>
        <v>2.2799999999999998</v>
      </c>
    </row>
    <row r="1071" spans="1:8" ht="14.1" customHeight="1">
      <c r="A1071" s="1308">
        <v>88310</v>
      </c>
      <c r="B1071" s="1310" t="s">
        <v>401</v>
      </c>
      <c r="C1071" s="343" t="s">
        <v>102</v>
      </c>
      <c r="D1071" s="1306" t="s">
        <v>345</v>
      </c>
      <c r="E1071" s="1315">
        <v>0.5</v>
      </c>
      <c r="F1071" s="365">
        <f>'COMP AUX'!G236</f>
        <v>14.85</v>
      </c>
      <c r="G1071" s="369">
        <f t="shared" ref="G1071" si="73">TRUNC(E1071*F1071,2)</f>
        <v>7.42</v>
      </c>
    </row>
    <row r="1072" spans="1:8" ht="14.1" customHeight="1">
      <c r="A1072" s="1309"/>
      <c r="B1072" s="1311"/>
      <c r="C1072" s="343" t="s">
        <v>89</v>
      </c>
      <c r="D1072" s="1307"/>
      <c r="E1072" s="1316"/>
      <c r="F1072" s="365">
        <f>'COMP AUX'!G237</f>
        <v>4.5600000000000005</v>
      </c>
      <c r="G1072" s="369">
        <f>TRUNC(E1071*F1072,2)</f>
        <v>2.2799999999999998</v>
      </c>
    </row>
    <row r="1073" spans="1:8" ht="14.1" customHeight="1">
      <c r="A1073" s="917" t="s">
        <v>1893</v>
      </c>
      <c r="B1073" s="911" t="s">
        <v>1894</v>
      </c>
      <c r="C1073" s="343" t="s">
        <v>89</v>
      </c>
      <c r="D1073" s="918" t="s">
        <v>344</v>
      </c>
      <c r="E1073" s="910">
        <v>0.6</v>
      </c>
      <c r="F1073" s="365">
        <v>2.16</v>
      </c>
      <c r="G1073" s="369">
        <f>TRUNC(E1073*F1073,2)</f>
        <v>1.29</v>
      </c>
    </row>
    <row r="1074" spans="1:8" ht="14.1" customHeight="1">
      <c r="A1074" s="917" t="s">
        <v>1860</v>
      </c>
      <c r="B1074" s="911" t="s">
        <v>1861</v>
      </c>
      <c r="C1074" s="343" t="s">
        <v>89</v>
      </c>
      <c r="D1074" s="918" t="s">
        <v>560</v>
      </c>
      <c r="E1074" s="910">
        <v>7.0000000000000007E-2</v>
      </c>
      <c r="F1074" s="365">
        <v>11</v>
      </c>
      <c r="G1074" s="369">
        <f t="shared" ref="G1074:G1075" si="74">TRUNC(E1074*F1074,2)</f>
        <v>0.77</v>
      </c>
    </row>
    <row r="1075" spans="1:8" ht="14.1" customHeight="1">
      <c r="A1075" s="917" t="s">
        <v>1895</v>
      </c>
      <c r="B1075" s="882" t="s">
        <v>1896</v>
      </c>
      <c r="C1075" s="343" t="s">
        <v>89</v>
      </c>
      <c r="D1075" s="918" t="s">
        <v>560</v>
      </c>
      <c r="E1075" s="912">
        <v>0.16</v>
      </c>
      <c r="F1075" s="348">
        <v>22.43</v>
      </c>
      <c r="G1075" s="369">
        <f t="shared" si="74"/>
        <v>3.58</v>
      </c>
    </row>
    <row r="1076" spans="1:8" ht="14.1" customHeight="1">
      <c r="E1076" s="146"/>
      <c r="F1076" s="427" t="s">
        <v>92</v>
      </c>
      <c r="G1076" s="379">
        <f>G1069+G1071</f>
        <v>12.969999999999999</v>
      </c>
    </row>
    <row r="1077" spans="1:8" ht="14.1" customHeight="1">
      <c r="E1077" s="146"/>
      <c r="F1077" s="351" t="s">
        <v>94</v>
      </c>
      <c r="G1077" s="369">
        <f>G1070+G1072+G1073+G1074+G1075</f>
        <v>10.199999999999999</v>
      </c>
    </row>
    <row r="1078" spans="1:8" ht="14.1" customHeight="1">
      <c r="A1078" s="130" t="s">
        <v>96</v>
      </c>
      <c r="E1078" s="146"/>
      <c r="F1078" s="351" t="s">
        <v>95</v>
      </c>
      <c r="G1078" s="370">
        <f>SUM(G1076:G1077)</f>
        <v>23.169999999999998</v>
      </c>
    </row>
    <row r="1079" spans="1:8" ht="14.1" customHeight="1">
      <c r="A1079" s="350" t="s">
        <v>97</v>
      </c>
      <c r="B1079" s="461">
        <f>G1078</f>
        <v>23.169999999999998</v>
      </c>
    </row>
    <row r="1080" spans="1:8" ht="14.1" customHeight="1">
      <c r="A1080" s="455" t="s">
        <v>1936</v>
      </c>
      <c r="B1080" s="454"/>
    </row>
    <row r="1081" spans="1:8" ht="14.1" customHeight="1">
      <c r="A1081" s="535" t="s">
        <v>1995</v>
      </c>
      <c r="B1081" s="454">
        <f>(B1079+B1080)*0.245</f>
        <v>5.6766499999999995</v>
      </c>
    </row>
    <row r="1082" spans="1:8" ht="14.1" customHeight="1">
      <c r="A1082" s="350" t="s">
        <v>98</v>
      </c>
      <c r="B1082" s="462">
        <f>SUM(B1079:B1081)</f>
        <v>28.846649999999997</v>
      </c>
      <c r="H1082" s="473"/>
    </row>
    <row r="1083" spans="1:8" ht="11.25" customHeight="1">
      <c r="A1083" s="429"/>
      <c r="B1083" s="430"/>
      <c r="C1083" s="431"/>
      <c r="D1083" s="429"/>
      <c r="E1083" s="430"/>
      <c r="F1083" s="430"/>
      <c r="G1083" s="430"/>
      <c r="H1083" s="429"/>
    </row>
    <row r="1084" spans="1:8" ht="11.25" customHeight="1">
      <c r="A1084" s="337"/>
      <c r="B1084" s="334"/>
      <c r="C1084" s="336"/>
      <c r="D1084" s="337"/>
      <c r="E1084" s="334"/>
      <c r="F1084" s="334"/>
      <c r="G1084" s="334"/>
      <c r="H1084" s="337"/>
    </row>
    <row r="1085" spans="1:8" ht="11.25" customHeight="1">
      <c r="A1085" s="130" t="s">
        <v>542</v>
      </c>
    </row>
    <row r="1086" spans="1:8" ht="11.25" customHeight="1">
      <c r="A1086" s="148" t="s">
        <v>1931</v>
      </c>
    </row>
    <row r="1087" spans="1:8" ht="23.25" customHeight="1">
      <c r="A1087" s="418" t="s">
        <v>820</v>
      </c>
      <c r="B1087" s="418" t="s">
        <v>1797</v>
      </c>
      <c r="C1087" s="950" t="s">
        <v>858</v>
      </c>
      <c r="F1087" s="130"/>
      <c r="G1087" s="419"/>
    </row>
    <row r="1088" spans="1:8" ht="26.25" customHeight="1">
      <c r="A1088" s="913" t="s">
        <v>30</v>
      </c>
      <c r="B1088" s="420" t="s">
        <v>19</v>
      </c>
      <c r="C1088" s="343" t="s">
        <v>82</v>
      </c>
      <c r="D1088" s="915" t="s">
        <v>79</v>
      </c>
      <c r="E1088" s="915" t="s">
        <v>83</v>
      </c>
      <c r="F1088" s="345" t="s">
        <v>84</v>
      </c>
      <c r="G1088" s="421" t="s">
        <v>85</v>
      </c>
    </row>
    <row r="1089" spans="1:8" ht="14.1" customHeight="1">
      <c r="A1089" s="1317" t="s">
        <v>688</v>
      </c>
      <c r="B1089" s="1310" t="s">
        <v>106</v>
      </c>
      <c r="C1089" s="343" t="s">
        <v>102</v>
      </c>
      <c r="D1089" s="1314" t="s">
        <v>345</v>
      </c>
      <c r="E1089" s="1315">
        <v>0.33</v>
      </c>
      <c r="F1089" s="348">
        <f>'COMP AUX'!G104</f>
        <v>11.1</v>
      </c>
      <c r="G1089" s="424">
        <f>TRUNC(E1089*F1089,2)</f>
        <v>3.66</v>
      </c>
    </row>
    <row r="1090" spans="1:8" ht="14.1" customHeight="1">
      <c r="A1090" s="1318"/>
      <c r="B1090" s="1311"/>
      <c r="C1090" s="343" t="s">
        <v>89</v>
      </c>
      <c r="D1090" s="1314"/>
      <c r="E1090" s="1316"/>
      <c r="F1090" s="348">
        <f>'COMP AUX'!G105</f>
        <v>4.5600000000000005</v>
      </c>
      <c r="G1090" s="346">
        <f>TRUNC(E1089*F1090,2)</f>
        <v>1.5</v>
      </c>
    </row>
    <row r="1091" spans="1:8" ht="14.1" customHeight="1">
      <c r="A1091" s="1308">
        <v>88310</v>
      </c>
      <c r="B1091" s="1310" t="s">
        <v>401</v>
      </c>
      <c r="C1091" s="343" t="s">
        <v>102</v>
      </c>
      <c r="D1091" s="1306" t="s">
        <v>345</v>
      </c>
      <c r="E1091" s="1315">
        <v>0.5</v>
      </c>
      <c r="F1091" s="365">
        <f>'COMP AUX'!G236</f>
        <v>14.85</v>
      </c>
      <c r="G1091" s="369">
        <f t="shared" ref="G1091" si="75">TRUNC(E1091*F1091,2)</f>
        <v>7.42</v>
      </c>
    </row>
    <row r="1092" spans="1:8" ht="14.1" customHeight="1">
      <c r="A1092" s="1309"/>
      <c r="B1092" s="1311"/>
      <c r="C1092" s="343" t="s">
        <v>89</v>
      </c>
      <c r="D1092" s="1307"/>
      <c r="E1092" s="1316"/>
      <c r="F1092" s="365">
        <f>'COMP AUX'!G237</f>
        <v>4.5600000000000005</v>
      </c>
      <c r="G1092" s="369">
        <f>TRUNC(E1091*F1092,2)</f>
        <v>2.2799999999999998</v>
      </c>
    </row>
    <row r="1093" spans="1:8" ht="26.25" customHeight="1">
      <c r="A1093" s="917" t="s">
        <v>1932</v>
      </c>
      <c r="B1093" s="882" t="s">
        <v>1933</v>
      </c>
      <c r="C1093" s="343" t="s">
        <v>89</v>
      </c>
      <c r="D1093" s="918" t="s">
        <v>560</v>
      </c>
      <c r="E1093" s="912">
        <v>0.35</v>
      </c>
      <c r="F1093" s="348">
        <v>7.95</v>
      </c>
      <c r="G1093" s="369">
        <f t="shared" ref="G1093" si="76">TRUNC(E1093*F1093,2)</f>
        <v>2.78</v>
      </c>
    </row>
    <row r="1094" spans="1:8" ht="14.1" customHeight="1">
      <c r="E1094" s="146"/>
      <c r="F1094" s="427" t="s">
        <v>92</v>
      </c>
      <c r="G1094" s="379">
        <f>G1089+G1091</f>
        <v>11.08</v>
      </c>
    </row>
    <row r="1095" spans="1:8" ht="14.1" customHeight="1">
      <c r="E1095" s="146"/>
      <c r="F1095" s="351" t="s">
        <v>94</v>
      </c>
      <c r="G1095" s="369">
        <f>G1090+G1092+G1093</f>
        <v>6.56</v>
      </c>
    </row>
    <row r="1096" spans="1:8" ht="14.1" customHeight="1">
      <c r="A1096" s="130" t="s">
        <v>96</v>
      </c>
      <c r="E1096" s="146"/>
      <c r="F1096" s="351" t="s">
        <v>95</v>
      </c>
      <c r="G1096" s="370">
        <f>SUM(G1094:G1095)</f>
        <v>17.64</v>
      </c>
    </row>
    <row r="1097" spans="1:8" ht="14.1" customHeight="1">
      <c r="A1097" s="350" t="s">
        <v>97</v>
      </c>
      <c r="B1097" s="461">
        <f>G1096</f>
        <v>17.64</v>
      </c>
    </row>
    <row r="1098" spans="1:8" ht="14.1" customHeight="1">
      <c r="A1098" s="455" t="s">
        <v>1936</v>
      </c>
      <c r="B1098" s="454"/>
    </row>
    <row r="1099" spans="1:8" ht="14.1" customHeight="1">
      <c r="A1099" s="535" t="s">
        <v>1995</v>
      </c>
      <c r="B1099" s="454">
        <f>(B1097+B1098)*0.245</f>
        <v>4.3217999999999996</v>
      </c>
    </row>
    <row r="1100" spans="1:8" ht="14.1" customHeight="1">
      <c r="A1100" s="350" t="s">
        <v>98</v>
      </c>
      <c r="B1100" s="462">
        <f>SUM(B1097:B1099)</f>
        <v>21.9618</v>
      </c>
      <c r="H1100" s="473"/>
    </row>
    <row r="1101" spans="1:8" ht="11.25" customHeight="1">
      <c r="A1101" s="429"/>
      <c r="B1101" s="430"/>
      <c r="C1101" s="431"/>
      <c r="D1101" s="429"/>
      <c r="E1101" s="430"/>
      <c r="F1101" s="430"/>
      <c r="G1101" s="430"/>
      <c r="H1101" s="429"/>
    </row>
    <row r="1102" spans="1:8" ht="11.25" customHeight="1">
      <c r="A1102" s="337"/>
      <c r="B1102" s="334"/>
      <c r="C1102" s="336"/>
      <c r="D1102" s="337"/>
      <c r="E1102" s="334"/>
      <c r="F1102" s="334"/>
      <c r="G1102" s="334"/>
      <c r="H1102" s="337"/>
    </row>
    <row r="1103" spans="1:8" ht="11.25" customHeight="1">
      <c r="A1103" s="130" t="s">
        <v>542</v>
      </c>
    </row>
    <row r="1104" spans="1:8" ht="11.25" customHeight="1">
      <c r="A1104" s="148" t="s">
        <v>2380</v>
      </c>
    </row>
    <row r="1105" spans="1:7" ht="26.25" customHeight="1">
      <c r="A1105" s="418" t="s">
        <v>820</v>
      </c>
      <c r="B1105" s="418" t="s">
        <v>2379</v>
      </c>
      <c r="C1105" s="1195" t="s">
        <v>858</v>
      </c>
      <c r="F1105" s="130"/>
      <c r="G1105" s="419"/>
    </row>
    <row r="1106" spans="1:7" ht="26.25" customHeight="1">
      <c r="A1106" s="1194" t="s">
        <v>30</v>
      </c>
      <c r="B1106" s="420" t="s">
        <v>19</v>
      </c>
      <c r="C1106" s="343" t="s">
        <v>82</v>
      </c>
      <c r="D1106" s="1189" t="s">
        <v>79</v>
      </c>
      <c r="E1106" s="1189" t="s">
        <v>83</v>
      </c>
      <c r="F1106" s="345" t="s">
        <v>84</v>
      </c>
      <c r="G1106" s="421" t="s">
        <v>85</v>
      </c>
    </row>
    <row r="1107" spans="1:7" ht="14.1" customHeight="1">
      <c r="A1107" s="1317">
        <v>88241</v>
      </c>
      <c r="B1107" s="1310" t="s">
        <v>836</v>
      </c>
      <c r="C1107" s="343" t="s">
        <v>102</v>
      </c>
      <c r="D1107" s="1314" t="s">
        <v>345</v>
      </c>
      <c r="E1107" s="1315">
        <v>0.3</v>
      </c>
      <c r="F1107" s="348">
        <f>'COMP AUX'!G53</f>
        <v>10.74</v>
      </c>
      <c r="G1107" s="424">
        <f>TRUNC(E1107*F1107,2)</f>
        <v>3.22</v>
      </c>
    </row>
    <row r="1108" spans="1:7" ht="14.1" customHeight="1">
      <c r="A1108" s="1318"/>
      <c r="B1108" s="1311"/>
      <c r="C1108" s="343" t="s">
        <v>89</v>
      </c>
      <c r="D1108" s="1314"/>
      <c r="E1108" s="1316"/>
      <c r="F1108" s="348">
        <f>'COMP AUX'!G54</f>
        <v>4.5600000000000005</v>
      </c>
      <c r="G1108" s="346">
        <f>TRUNC(E1107*F1108,2)</f>
        <v>1.36</v>
      </c>
    </row>
    <row r="1109" spans="1:7" ht="14.1" customHeight="1">
      <c r="A1109" s="1308">
        <v>88310</v>
      </c>
      <c r="B1109" s="1310" t="s">
        <v>401</v>
      </c>
      <c r="C1109" s="343" t="s">
        <v>102</v>
      </c>
      <c r="D1109" s="1306" t="s">
        <v>345</v>
      </c>
      <c r="E1109" s="1315">
        <v>0.5</v>
      </c>
      <c r="F1109" s="365">
        <f>'COMP AUX'!G236</f>
        <v>14.85</v>
      </c>
      <c r="G1109" s="369">
        <f t="shared" ref="G1109" si="77">TRUNC(E1109*F1109,2)</f>
        <v>7.42</v>
      </c>
    </row>
    <row r="1110" spans="1:7" ht="14.1" customHeight="1">
      <c r="A1110" s="1309"/>
      <c r="B1110" s="1311"/>
      <c r="C1110" s="343" t="s">
        <v>89</v>
      </c>
      <c r="D1110" s="1307"/>
      <c r="E1110" s="1316"/>
      <c r="F1110" s="365">
        <f>'COMP AUX'!G237</f>
        <v>4.5600000000000005</v>
      </c>
      <c r="G1110" s="369">
        <f>TRUNC(E1109*F1110,2)</f>
        <v>2.2799999999999998</v>
      </c>
    </row>
    <row r="1111" spans="1:7" ht="14.1" customHeight="1">
      <c r="A1111" s="1192">
        <v>5318</v>
      </c>
      <c r="B1111" s="1188" t="s">
        <v>1861</v>
      </c>
      <c r="C1111" s="343" t="s">
        <v>89</v>
      </c>
      <c r="D1111" s="1191" t="s">
        <v>560</v>
      </c>
      <c r="E1111" s="1190">
        <v>0.03</v>
      </c>
      <c r="F1111" s="365">
        <v>11</v>
      </c>
      <c r="G1111" s="369">
        <f t="shared" ref="G1111:G1113" si="78">TRUNC(E1111*F1111,2)</f>
        <v>0.33</v>
      </c>
    </row>
    <row r="1112" spans="1:7" ht="14.1" customHeight="1">
      <c r="A1112" s="1192">
        <v>3768</v>
      </c>
      <c r="B1112" s="1188" t="s">
        <v>1894</v>
      </c>
      <c r="C1112" s="343" t="s">
        <v>89</v>
      </c>
      <c r="D1112" s="1191" t="s">
        <v>79</v>
      </c>
      <c r="E1112" s="1190">
        <v>0.25</v>
      </c>
      <c r="F1112" s="365">
        <v>2.16</v>
      </c>
      <c r="G1112" s="369">
        <f t="shared" si="78"/>
        <v>0.54</v>
      </c>
    </row>
    <row r="1113" spans="1:7" ht="14.1" customHeight="1">
      <c r="A1113" s="1192">
        <v>7288</v>
      </c>
      <c r="B1113" s="1188" t="s">
        <v>1896</v>
      </c>
      <c r="C1113" s="343" t="s">
        <v>89</v>
      </c>
      <c r="D1113" s="1191" t="s">
        <v>560</v>
      </c>
      <c r="E1113" s="1190">
        <v>0.15</v>
      </c>
      <c r="F1113" s="365">
        <v>22.43</v>
      </c>
      <c r="G1113" s="369">
        <f t="shared" si="78"/>
        <v>3.36</v>
      </c>
    </row>
    <row r="1114" spans="1:7" ht="14.1" customHeight="1">
      <c r="A1114" s="1192">
        <v>11174</v>
      </c>
      <c r="B1114" s="882" t="s">
        <v>2381</v>
      </c>
      <c r="C1114" s="343" t="s">
        <v>89</v>
      </c>
      <c r="D1114" s="1191" t="s">
        <v>560</v>
      </c>
      <c r="E1114" s="1190">
        <v>0.1</v>
      </c>
      <c r="F1114" s="348">
        <f>441.83/18</f>
        <v>24.546111111111109</v>
      </c>
      <c r="G1114" s="369">
        <f t="shared" ref="G1114" si="79">TRUNC(E1114*F1114,2)</f>
        <v>2.4500000000000002</v>
      </c>
    </row>
    <row r="1115" spans="1:7" ht="14.1" customHeight="1">
      <c r="E1115" s="146"/>
      <c r="F1115" s="427" t="s">
        <v>92</v>
      </c>
      <c r="G1115" s="379">
        <f>G1107+G1109</f>
        <v>10.64</v>
      </c>
    </row>
    <row r="1116" spans="1:7" ht="14.1" customHeight="1">
      <c r="E1116" s="146"/>
      <c r="F1116" s="351" t="s">
        <v>94</v>
      </c>
      <c r="G1116" s="369">
        <f>G1108+G1110+G1111+G1112+G1113+G1114</f>
        <v>10.32</v>
      </c>
    </row>
    <row r="1117" spans="1:7" ht="14.1" customHeight="1">
      <c r="A1117" s="130" t="s">
        <v>96</v>
      </c>
      <c r="E1117" s="146"/>
      <c r="F1117" s="351" t="s">
        <v>95</v>
      </c>
      <c r="G1117" s="370">
        <f>SUM(G1115:G1116)</f>
        <v>20.96</v>
      </c>
    </row>
    <row r="1118" spans="1:7" ht="14.1" customHeight="1">
      <c r="A1118" s="350" t="s">
        <v>97</v>
      </c>
      <c r="B1118" s="461">
        <f>G1117</f>
        <v>20.96</v>
      </c>
    </row>
    <row r="1119" spans="1:7" ht="14.1" customHeight="1">
      <c r="A1119" s="455" t="s">
        <v>1936</v>
      </c>
      <c r="B1119" s="454"/>
    </row>
    <row r="1120" spans="1:7" ht="14.1" customHeight="1">
      <c r="A1120" s="535" t="s">
        <v>1995</v>
      </c>
      <c r="B1120" s="454">
        <f>(B1118+B1119)*0.245</f>
        <v>5.1352000000000002</v>
      </c>
    </row>
    <row r="1121" spans="1:9" ht="14.1" customHeight="1">
      <c r="A1121" s="350" t="s">
        <v>98</v>
      </c>
      <c r="B1121" s="462">
        <f>SUM(B1118:B1120)</f>
        <v>26.095200000000002</v>
      </c>
      <c r="H1121" s="473"/>
      <c r="I1121" s="130" t="s">
        <v>1940</v>
      </c>
    </row>
    <row r="1122" spans="1:9" ht="11.25" customHeight="1">
      <c r="A1122" s="429"/>
      <c r="B1122" s="430"/>
      <c r="C1122" s="431"/>
      <c r="D1122" s="429"/>
      <c r="E1122" s="430"/>
      <c r="F1122" s="430"/>
      <c r="G1122" s="430"/>
      <c r="H1122" s="429"/>
    </row>
    <row r="1123" spans="1:9" ht="11.25" customHeight="1">
      <c r="A1123" s="337"/>
      <c r="B1123" s="334"/>
      <c r="C1123" s="336"/>
      <c r="D1123" s="337"/>
      <c r="E1123" s="334"/>
      <c r="F1123" s="334"/>
      <c r="G1123" s="334"/>
      <c r="H1123" s="337"/>
    </row>
    <row r="1124" spans="1:9" ht="11.25" customHeight="1">
      <c r="A1124" s="130" t="s">
        <v>542</v>
      </c>
    </row>
    <row r="1125" spans="1:9" ht="11.25" customHeight="1">
      <c r="A1125" s="148" t="s">
        <v>2370</v>
      </c>
    </row>
    <row r="1126" spans="1:9" ht="18.75" customHeight="1">
      <c r="A1126" s="418" t="s">
        <v>820</v>
      </c>
      <c r="B1126" s="1356" t="s">
        <v>2371</v>
      </c>
      <c r="C1126" s="1356"/>
      <c r="D1126" s="1195" t="s">
        <v>858</v>
      </c>
      <c r="F1126" s="130"/>
      <c r="G1126" s="419"/>
    </row>
    <row r="1127" spans="1:9" ht="24.75" customHeight="1">
      <c r="A1127" s="913" t="s">
        <v>30</v>
      </c>
      <c r="B1127" s="420" t="s">
        <v>19</v>
      </c>
      <c r="C1127" s="343" t="s">
        <v>82</v>
      </c>
      <c r="D1127" s="915" t="s">
        <v>79</v>
      </c>
      <c r="E1127" s="915" t="s">
        <v>83</v>
      </c>
      <c r="F1127" s="345" t="s">
        <v>84</v>
      </c>
      <c r="G1127" s="421" t="s">
        <v>85</v>
      </c>
    </row>
    <row r="1128" spans="1:9" ht="14.1" customHeight="1">
      <c r="A1128" s="1317" t="s">
        <v>688</v>
      </c>
      <c r="B1128" s="1310" t="s">
        <v>106</v>
      </c>
      <c r="C1128" s="343" t="s">
        <v>102</v>
      </c>
      <c r="D1128" s="1314" t="s">
        <v>345</v>
      </c>
      <c r="E1128" s="1315">
        <v>0.12</v>
      </c>
      <c r="F1128" s="348">
        <f>'COMP AUX'!G104</f>
        <v>11.1</v>
      </c>
      <c r="G1128" s="424">
        <f>TRUNC(E1128*F1128,2)</f>
        <v>1.33</v>
      </c>
    </row>
    <row r="1129" spans="1:9" ht="14.1" customHeight="1">
      <c r="A1129" s="1318"/>
      <c r="B1129" s="1311"/>
      <c r="C1129" s="343" t="s">
        <v>89</v>
      </c>
      <c r="D1129" s="1314"/>
      <c r="E1129" s="1316"/>
      <c r="F1129" s="348">
        <f>'COMP AUX'!G105</f>
        <v>4.5600000000000005</v>
      </c>
      <c r="G1129" s="346">
        <f>TRUNC(E1128*F1129,2)</f>
        <v>0.54</v>
      </c>
    </row>
    <row r="1130" spans="1:9" ht="14.1" customHeight="1">
      <c r="A1130" s="1308">
        <v>88310</v>
      </c>
      <c r="B1130" s="1310" t="s">
        <v>1897</v>
      </c>
      <c r="C1130" s="343" t="s">
        <v>102</v>
      </c>
      <c r="D1130" s="1306" t="s">
        <v>345</v>
      </c>
      <c r="E1130" s="1315">
        <v>0.35</v>
      </c>
      <c r="F1130" s="365">
        <f>'COMP AUX'!G355</f>
        <v>14.85</v>
      </c>
      <c r="G1130" s="369">
        <f t="shared" ref="G1130" si="80">TRUNC(E1130*F1130,2)</f>
        <v>5.19</v>
      </c>
    </row>
    <row r="1131" spans="1:9" ht="14.1" customHeight="1">
      <c r="A1131" s="1309"/>
      <c r="B1131" s="1311"/>
      <c r="C1131" s="343" t="s">
        <v>89</v>
      </c>
      <c r="D1131" s="1307"/>
      <c r="E1131" s="1316"/>
      <c r="F1131" s="365">
        <f>'COMP AUX'!G356</f>
        <v>4.5600000000000005</v>
      </c>
      <c r="G1131" s="369">
        <f>TRUNC(E1130*F1131,2)</f>
        <v>1.59</v>
      </c>
    </row>
    <row r="1132" spans="1:9" ht="27.75" customHeight="1">
      <c r="A1132" s="917">
        <v>10515</v>
      </c>
      <c r="B1132" s="911" t="s">
        <v>2374</v>
      </c>
      <c r="C1132" s="343" t="s">
        <v>89</v>
      </c>
      <c r="D1132" s="918" t="s">
        <v>858</v>
      </c>
      <c r="E1132" s="910">
        <v>1.1000000000000001</v>
      </c>
      <c r="F1132" s="365">
        <v>43.37</v>
      </c>
      <c r="G1132" s="369">
        <f>TRUNC(E1132*F1132,2)</f>
        <v>47.7</v>
      </c>
    </row>
    <row r="1133" spans="1:9" ht="14.1" customHeight="1">
      <c r="A1133" s="917">
        <v>11849</v>
      </c>
      <c r="B1133" s="911" t="s">
        <v>2372</v>
      </c>
      <c r="C1133" s="343" t="s">
        <v>89</v>
      </c>
      <c r="D1133" s="918" t="s">
        <v>560</v>
      </c>
      <c r="E1133" s="910">
        <v>0.9</v>
      </c>
      <c r="F1133" s="365">
        <v>9.6199999999999992</v>
      </c>
      <c r="G1133" s="369">
        <f t="shared" ref="G1133" si="81">TRUNC(E1133*F1133,2)</f>
        <v>8.65</v>
      </c>
    </row>
    <row r="1134" spans="1:9" ht="14.1" customHeight="1">
      <c r="E1134" s="146"/>
      <c r="F1134" s="427" t="s">
        <v>92</v>
      </c>
      <c r="G1134" s="379">
        <f>G1128+G1130</f>
        <v>6.5200000000000005</v>
      </c>
    </row>
    <row r="1135" spans="1:9" ht="14.1" customHeight="1">
      <c r="E1135" s="146"/>
      <c r="F1135" s="351" t="s">
        <v>94</v>
      </c>
      <c r="G1135" s="369">
        <f>G1129+G1131+G1132+G1133</f>
        <v>58.480000000000004</v>
      </c>
    </row>
    <row r="1136" spans="1:9" ht="14.1" customHeight="1">
      <c r="A1136" s="130" t="s">
        <v>96</v>
      </c>
      <c r="E1136" s="146"/>
      <c r="F1136" s="351" t="s">
        <v>95</v>
      </c>
      <c r="G1136" s="370">
        <f>SUM(G1134:G1135)</f>
        <v>65</v>
      </c>
    </row>
    <row r="1137" spans="1:9" ht="14.1" customHeight="1">
      <c r="A1137" s="350" t="s">
        <v>97</v>
      </c>
      <c r="B1137" s="461">
        <f>G1136</f>
        <v>65</v>
      </c>
    </row>
    <row r="1138" spans="1:9" ht="14.1" customHeight="1">
      <c r="A1138" s="455" t="s">
        <v>1936</v>
      </c>
      <c r="B1138" s="454"/>
    </row>
    <row r="1139" spans="1:9" ht="14.1" customHeight="1">
      <c r="A1139" s="535" t="s">
        <v>1995</v>
      </c>
      <c r="B1139" s="454">
        <f>(B1137+B1138)*0.245</f>
        <v>15.924999999999999</v>
      </c>
    </row>
    <row r="1140" spans="1:9" ht="14.1" customHeight="1">
      <c r="A1140" s="350" t="s">
        <v>98</v>
      </c>
      <c r="B1140" s="462">
        <f>SUM(B1137:B1139)</f>
        <v>80.924999999999997</v>
      </c>
      <c r="H1140" s="473"/>
      <c r="I1140" s="130" t="s">
        <v>1940</v>
      </c>
    </row>
    <row r="1141" spans="1:9" ht="11.25" customHeight="1">
      <c r="A1141" s="429"/>
      <c r="B1141" s="430"/>
      <c r="C1141" s="431"/>
      <c r="D1141" s="429"/>
      <c r="E1141" s="430"/>
      <c r="F1141" s="430"/>
      <c r="G1141" s="430"/>
      <c r="H1141" s="429"/>
    </row>
    <row r="1142" spans="1:9" ht="11.25" customHeight="1">
      <c r="A1142" s="337"/>
      <c r="B1142" s="334"/>
      <c r="C1142" s="336"/>
      <c r="D1142" s="337"/>
      <c r="E1142" s="334"/>
      <c r="F1142" s="334"/>
      <c r="G1142" s="334"/>
      <c r="H1142" s="337"/>
    </row>
    <row r="1143" spans="1:9" ht="11.25" customHeight="1">
      <c r="A1143" s="130" t="s">
        <v>542</v>
      </c>
    </row>
    <row r="1144" spans="1:9" ht="11.25" customHeight="1">
      <c r="A1144" s="148" t="s">
        <v>2385</v>
      </c>
    </row>
    <row r="1145" spans="1:9" ht="15" customHeight="1">
      <c r="A1145" s="418" t="s">
        <v>820</v>
      </c>
      <c r="B1145" s="418" t="s">
        <v>2384</v>
      </c>
      <c r="C1145" s="1195" t="s">
        <v>858</v>
      </c>
      <c r="F1145" s="130"/>
      <c r="G1145" s="419"/>
    </row>
    <row r="1146" spans="1:9" ht="24" customHeight="1">
      <c r="A1146" s="1194" t="s">
        <v>30</v>
      </c>
      <c r="B1146" s="420" t="s">
        <v>19</v>
      </c>
      <c r="C1146" s="343" t="s">
        <v>82</v>
      </c>
      <c r="D1146" s="1189" t="s">
        <v>79</v>
      </c>
      <c r="E1146" s="1189" t="s">
        <v>83</v>
      </c>
      <c r="F1146" s="345" t="s">
        <v>84</v>
      </c>
      <c r="G1146" s="421" t="s">
        <v>85</v>
      </c>
    </row>
    <row r="1147" spans="1:9" ht="14.1" customHeight="1">
      <c r="A1147" s="1317" t="s">
        <v>688</v>
      </c>
      <c r="B1147" s="1310" t="s">
        <v>106</v>
      </c>
      <c r="C1147" s="343" t="s">
        <v>102</v>
      </c>
      <c r="D1147" s="1314" t="s">
        <v>345</v>
      </c>
      <c r="E1147" s="1315">
        <v>0.23</v>
      </c>
      <c r="F1147" s="348">
        <f>'COMP AUX'!G104</f>
        <v>11.1</v>
      </c>
      <c r="G1147" s="424">
        <f>TRUNC(E1147*F1147,2)</f>
        <v>2.5499999999999998</v>
      </c>
    </row>
    <row r="1148" spans="1:9" ht="14.1" customHeight="1">
      <c r="A1148" s="1318"/>
      <c r="B1148" s="1311"/>
      <c r="C1148" s="343" t="s">
        <v>89</v>
      </c>
      <c r="D1148" s="1314"/>
      <c r="E1148" s="1316"/>
      <c r="F1148" s="348">
        <f>'COMP AUX'!G105</f>
        <v>4.5600000000000005</v>
      </c>
      <c r="G1148" s="346">
        <f>TRUNC(E1147*F1148,2)</f>
        <v>1.04</v>
      </c>
    </row>
    <row r="1149" spans="1:9" ht="14.1" customHeight="1">
      <c r="A1149" s="1308">
        <v>88310</v>
      </c>
      <c r="B1149" s="1310" t="s">
        <v>1897</v>
      </c>
      <c r="C1149" s="343" t="s">
        <v>102</v>
      </c>
      <c r="D1149" s="1306" t="s">
        <v>345</v>
      </c>
      <c r="E1149" s="1315">
        <v>0.23</v>
      </c>
      <c r="F1149" s="365">
        <f>'COMP AUX'!G355</f>
        <v>14.85</v>
      </c>
      <c r="G1149" s="369">
        <f t="shared" ref="G1149" si="82">TRUNC(E1149*F1149,2)</f>
        <v>3.41</v>
      </c>
    </row>
    <row r="1150" spans="1:9" ht="14.1" customHeight="1">
      <c r="A1150" s="1309"/>
      <c r="B1150" s="1311"/>
      <c r="C1150" s="343" t="s">
        <v>89</v>
      </c>
      <c r="D1150" s="1307"/>
      <c r="E1150" s="1316"/>
      <c r="F1150" s="365">
        <f>'COMP AUX'!G356</f>
        <v>4.5600000000000005</v>
      </c>
      <c r="G1150" s="369">
        <f>TRUNC(E1149*F1150,2)</f>
        <v>1.04</v>
      </c>
    </row>
    <row r="1151" spans="1:9" ht="14.1" customHeight="1">
      <c r="A1151" s="1192">
        <v>37329</v>
      </c>
      <c r="B1151" s="1188" t="s">
        <v>211</v>
      </c>
      <c r="C1151" s="343" t="s">
        <v>89</v>
      </c>
      <c r="D1151" s="1191" t="s">
        <v>685</v>
      </c>
      <c r="E1151" s="1190">
        <v>0.65</v>
      </c>
      <c r="F1151" s="365">
        <v>44.3</v>
      </c>
      <c r="G1151" s="369">
        <f>TRUNC(E1151*F1151,2)</f>
        <v>28.79</v>
      </c>
    </row>
    <row r="1152" spans="1:9" ht="14.1" customHeight="1">
      <c r="E1152" s="146"/>
      <c r="F1152" s="427" t="s">
        <v>92</v>
      </c>
      <c r="G1152" s="379">
        <f>G1147+G1149</f>
        <v>5.96</v>
      </c>
    </row>
    <row r="1153" spans="1:9" ht="14.1" customHeight="1">
      <c r="E1153" s="146"/>
      <c r="F1153" s="351" t="s">
        <v>94</v>
      </c>
      <c r="G1153" s="369">
        <f>G1148+G1150+G1151</f>
        <v>30.869999999999997</v>
      </c>
    </row>
    <row r="1154" spans="1:9" ht="14.1" customHeight="1">
      <c r="A1154" s="130" t="s">
        <v>96</v>
      </c>
      <c r="E1154" s="146"/>
      <c r="F1154" s="351" t="s">
        <v>95</v>
      </c>
      <c r="G1154" s="370">
        <f>SUM(G1152:G1153)</f>
        <v>36.83</v>
      </c>
    </row>
    <row r="1155" spans="1:9" ht="14.1" customHeight="1">
      <c r="A1155" s="350" t="s">
        <v>97</v>
      </c>
      <c r="B1155" s="461">
        <f>G1154</f>
        <v>36.83</v>
      </c>
    </row>
    <row r="1156" spans="1:9" ht="14.1" customHeight="1">
      <c r="A1156" s="455" t="s">
        <v>1936</v>
      </c>
      <c r="B1156" s="454"/>
    </row>
    <row r="1157" spans="1:9" ht="14.1" customHeight="1">
      <c r="A1157" s="535" t="s">
        <v>1995</v>
      </c>
      <c r="B1157" s="454">
        <f>(B1155+B1156)*0.245</f>
        <v>9.0233499999999989</v>
      </c>
    </row>
    <row r="1158" spans="1:9" ht="14.1" customHeight="1">
      <c r="A1158" s="350" t="s">
        <v>98</v>
      </c>
      <c r="B1158" s="462">
        <f>SUM(B1155:B1157)</f>
        <v>45.853349999999999</v>
      </c>
      <c r="H1158" s="473"/>
      <c r="I1158" s="130" t="s">
        <v>1940</v>
      </c>
    </row>
    <row r="1159" spans="1:9" ht="11.25" customHeight="1">
      <c r="A1159" s="429"/>
      <c r="B1159" s="430"/>
      <c r="C1159" s="431"/>
      <c r="D1159" s="429"/>
      <c r="E1159" s="430"/>
      <c r="F1159" s="430"/>
      <c r="G1159" s="430"/>
      <c r="H1159" s="429"/>
    </row>
    <row r="1160" spans="1:9" ht="11.25" customHeight="1">
      <c r="A1160" s="337"/>
      <c r="B1160" s="334"/>
      <c r="C1160" s="336"/>
      <c r="D1160" s="337"/>
      <c r="E1160" s="334"/>
      <c r="F1160" s="334"/>
      <c r="G1160" s="334"/>
      <c r="H1160" s="337"/>
    </row>
    <row r="1161" spans="1:9" ht="11.25" customHeight="1">
      <c r="A1161" s="130" t="s">
        <v>542</v>
      </c>
    </row>
    <row r="1162" spans="1:9" ht="11.25" customHeight="1">
      <c r="A1162" s="148" t="s">
        <v>1898</v>
      </c>
    </row>
    <row r="1163" spans="1:9" ht="28.5" customHeight="1">
      <c r="A1163" s="418" t="s">
        <v>820</v>
      </c>
      <c r="B1163" s="1356" t="s">
        <v>1899</v>
      </c>
      <c r="C1163" s="1356"/>
      <c r="D1163" s="950" t="s">
        <v>858</v>
      </c>
      <c r="F1163" s="130"/>
      <c r="G1163" s="419"/>
    </row>
    <row r="1164" spans="1:9" ht="21.75" customHeight="1">
      <c r="A1164" s="913" t="s">
        <v>30</v>
      </c>
      <c r="B1164" s="420" t="s">
        <v>19</v>
      </c>
      <c r="C1164" s="343" t="s">
        <v>82</v>
      </c>
      <c r="D1164" s="915" t="s">
        <v>79</v>
      </c>
      <c r="E1164" s="915" t="s">
        <v>83</v>
      </c>
      <c r="F1164" s="345" t="s">
        <v>84</v>
      </c>
      <c r="G1164" s="421" t="s">
        <v>85</v>
      </c>
    </row>
    <row r="1165" spans="1:9" ht="15" customHeight="1">
      <c r="A1165" s="1317" t="s">
        <v>688</v>
      </c>
      <c r="B1165" s="1310" t="s">
        <v>106</v>
      </c>
      <c r="C1165" s="343" t="s">
        <v>102</v>
      </c>
      <c r="D1165" s="1314" t="s">
        <v>345</v>
      </c>
      <c r="E1165" s="1315">
        <v>11.5</v>
      </c>
      <c r="F1165" s="348">
        <f>'COMP AUX'!G104</f>
        <v>11.1</v>
      </c>
      <c r="G1165" s="424">
        <f>TRUNC(E1165*F1165,2)</f>
        <v>127.65</v>
      </c>
    </row>
    <row r="1166" spans="1:9" ht="15" customHeight="1">
      <c r="A1166" s="1318"/>
      <c r="B1166" s="1311"/>
      <c r="C1166" s="343" t="s">
        <v>89</v>
      </c>
      <c r="D1166" s="1314"/>
      <c r="E1166" s="1316"/>
      <c r="F1166" s="348">
        <f>'COMP AUX'!G105</f>
        <v>4.5600000000000005</v>
      </c>
      <c r="G1166" s="346">
        <f>TRUNC(E1165*F1166,2)</f>
        <v>52.44</v>
      </c>
    </row>
    <row r="1167" spans="1:9" ht="15" customHeight="1">
      <c r="A1167" s="1317">
        <v>88315</v>
      </c>
      <c r="B1167" s="1310" t="s">
        <v>1114</v>
      </c>
      <c r="C1167" s="343" t="s">
        <v>102</v>
      </c>
      <c r="D1167" s="1364" t="s">
        <v>345</v>
      </c>
      <c r="E1167" s="1315">
        <v>7</v>
      </c>
      <c r="F1167" s="348">
        <f>'COMP AUX'!G440</f>
        <v>14.81</v>
      </c>
      <c r="G1167" s="346">
        <f>TRUNC(E1167*F1167,2)</f>
        <v>103.67</v>
      </c>
    </row>
    <row r="1168" spans="1:9" ht="15" customHeight="1">
      <c r="A1168" s="1318"/>
      <c r="B1168" s="1311"/>
      <c r="C1168" s="343" t="s">
        <v>89</v>
      </c>
      <c r="D1168" s="1365"/>
      <c r="E1168" s="1316"/>
      <c r="F1168" s="348">
        <f>'COMP AUX'!G441</f>
        <v>4.5600000000000005</v>
      </c>
      <c r="G1168" s="346">
        <f>TRUNC(E1167*F1168,2)</f>
        <v>31.92</v>
      </c>
    </row>
    <row r="1169" spans="1:7" ht="15" customHeight="1">
      <c r="A1169" s="1308">
        <v>88317</v>
      </c>
      <c r="B1169" s="1310" t="s">
        <v>1126</v>
      </c>
      <c r="C1169" s="343" t="s">
        <v>102</v>
      </c>
      <c r="D1169" s="1306" t="s">
        <v>345</v>
      </c>
      <c r="E1169" s="1315">
        <v>4.5</v>
      </c>
      <c r="F1169" s="365">
        <f>'COMP AUX'!G878</f>
        <v>14.81</v>
      </c>
      <c r="G1169" s="369">
        <f t="shared" ref="G1169" si="83">TRUNC(E1169*F1169,2)</f>
        <v>66.64</v>
      </c>
    </row>
    <row r="1170" spans="1:7" ht="15" customHeight="1">
      <c r="A1170" s="1309"/>
      <c r="B1170" s="1311"/>
      <c r="C1170" s="343" t="s">
        <v>89</v>
      </c>
      <c r="D1170" s="1307"/>
      <c r="E1170" s="1316"/>
      <c r="F1170" s="365">
        <f>'COMP AUX'!G879</f>
        <v>4.5600000000000005</v>
      </c>
      <c r="G1170" s="369">
        <f>TRUNC(E1169*F1170,2)</f>
        <v>20.52</v>
      </c>
    </row>
    <row r="1171" spans="1:7" ht="20.100000000000001" customHeight="1">
      <c r="A1171" s="1417" t="s">
        <v>1123</v>
      </c>
      <c r="B1171" s="1310" t="s">
        <v>1127</v>
      </c>
      <c r="C1171" s="343" t="s">
        <v>102</v>
      </c>
      <c r="D1171" s="1306" t="s">
        <v>643</v>
      </c>
      <c r="E1171" s="1315">
        <v>3.82</v>
      </c>
      <c r="F1171" s="365">
        <f>'COMP AUX'!G1254</f>
        <v>14.81</v>
      </c>
      <c r="G1171" s="369">
        <f>TRUNC(E1171*F1171,2)</f>
        <v>56.57</v>
      </c>
    </row>
    <row r="1172" spans="1:7" ht="20.100000000000001" customHeight="1">
      <c r="A1172" s="1418"/>
      <c r="B1172" s="1311"/>
      <c r="C1172" s="343" t="s">
        <v>89</v>
      </c>
      <c r="D1172" s="1307"/>
      <c r="E1172" s="1316"/>
      <c r="F1172" s="365">
        <f>'COMP AUX'!G1255</f>
        <v>51.930000000000007</v>
      </c>
      <c r="G1172" s="369">
        <f>TRUNC(E1171*F1172,2)</f>
        <v>198.37</v>
      </c>
    </row>
    <row r="1173" spans="1:7" ht="20.100000000000001" customHeight="1">
      <c r="A1173" s="1417" t="s">
        <v>1124</v>
      </c>
      <c r="B1173" s="1310" t="s">
        <v>1128</v>
      </c>
      <c r="C1173" s="343" t="s">
        <v>102</v>
      </c>
      <c r="D1173" s="1306" t="s">
        <v>622</v>
      </c>
      <c r="E1173" s="1315">
        <v>0.67</v>
      </c>
      <c r="F1173" s="365">
        <f>'COMP AUX'!G1267</f>
        <v>14.81</v>
      </c>
      <c r="G1173" s="369">
        <f>TRUNC(E1173*F1173,2)</f>
        <v>9.92</v>
      </c>
    </row>
    <row r="1174" spans="1:7" ht="20.100000000000001" customHeight="1">
      <c r="A1174" s="1418"/>
      <c r="B1174" s="1342"/>
      <c r="C1174" s="343" t="s">
        <v>89</v>
      </c>
      <c r="D1174" s="1307"/>
      <c r="E1174" s="1316"/>
      <c r="F1174" s="365">
        <f>'COMP AUX'!G1268</f>
        <v>12.700000000000001</v>
      </c>
      <c r="G1174" s="369">
        <f>TRUNC(E1173*F1174,2)</f>
        <v>8.5</v>
      </c>
    </row>
    <row r="1175" spans="1:7" ht="25.5" customHeight="1">
      <c r="A1175" s="917" t="s">
        <v>1900</v>
      </c>
      <c r="B1175" s="911" t="s">
        <v>1901</v>
      </c>
      <c r="C1175" s="343" t="s">
        <v>89</v>
      </c>
      <c r="D1175" s="918" t="s">
        <v>858</v>
      </c>
      <c r="E1175" s="910">
        <v>1.1000000000000001</v>
      </c>
      <c r="F1175" s="365">
        <v>17.09</v>
      </c>
      <c r="G1175" s="369">
        <f>TRUNC(E1175*F1175,2)</f>
        <v>18.79</v>
      </c>
    </row>
    <row r="1176" spans="1:7" ht="26.25" customHeight="1">
      <c r="A1176" s="917" t="s">
        <v>1902</v>
      </c>
      <c r="B1176" s="911" t="s">
        <v>1903</v>
      </c>
      <c r="C1176" s="343" t="s">
        <v>89</v>
      </c>
      <c r="D1176" s="918" t="s">
        <v>346</v>
      </c>
      <c r="E1176" s="910">
        <v>1.4318</v>
      </c>
      <c r="F1176" s="365">
        <v>26.78</v>
      </c>
      <c r="G1176" s="369">
        <f t="shared" ref="G1176:G1178" si="84">TRUNC(E1176*F1176,2)</f>
        <v>38.340000000000003</v>
      </c>
    </row>
    <row r="1177" spans="1:7" ht="15" customHeight="1">
      <c r="A1177" s="917" t="s">
        <v>1904</v>
      </c>
      <c r="B1177" s="911" t="s">
        <v>1905</v>
      </c>
      <c r="C1177" s="343" t="s">
        <v>89</v>
      </c>
      <c r="D1177" s="918" t="s">
        <v>685</v>
      </c>
      <c r="E1177" s="910">
        <v>3.37</v>
      </c>
      <c r="F1177" s="365">
        <v>12</v>
      </c>
      <c r="G1177" s="369">
        <f t="shared" si="84"/>
        <v>40.44</v>
      </c>
    </row>
    <row r="1178" spans="1:7" ht="27" customHeight="1">
      <c r="A1178" s="917" t="s">
        <v>1906</v>
      </c>
      <c r="B1178" s="882" t="s">
        <v>1907</v>
      </c>
      <c r="C1178" s="343" t="s">
        <v>89</v>
      </c>
      <c r="D1178" s="918" t="s">
        <v>346</v>
      </c>
      <c r="E1178" s="910">
        <v>6.7407000000000004</v>
      </c>
      <c r="F1178" s="348">
        <v>16.61</v>
      </c>
      <c r="G1178" s="369">
        <f t="shared" si="84"/>
        <v>111.96</v>
      </c>
    </row>
    <row r="1179" spans="1:7" ht="14.1" customHeight="1">
      <c r="E1179" s="146"/>
      <c r="F1179" s="427" t="s">
        <v>92</v>
      </c>
      <c r="G1179" s="379">
        <f>G1165+G1167+G1169+G1171+G1173</f>
        <v>364.45</v>
      </c>
    </row>
    <row r="1180" spans="1:7" ht="14.1" customHeight="1">
      <c r="E1180" s="146"/>
      <c r="F1180" s="351" t="s">
        <v>94</v>
      </c>
      <c r="G1180" s="369">
        <f>G1166+G1168+G1170+G1172+G1174+G1175+G1176+G1177+G1178</f>
        <v>521.28</v>
      </c>
    </row>
    <row r="1181" spans="1:7" ht="14.1" customHeight="1">
      <c r="A1181" s="130" t="s">
        <v>96</v>
      </c>
      <c r="E1181" s="146"/>
      <c r="F1181" s="351" t="s">
        <v>95</v>
      </c>
      <c r="G1181" s="370">
        <f>SUM(G1179:G1180)</f>
        <v>885.73</v>
      </c>
    </row>
    <row r="1182" spans="1:7" ht="14.1" customHeight="1">
      <c r="A1182" s="350" t="s">
        <v>97</v>
      </c>
      <c r="B1182" s="461">
        <f>G1181</f>
        <v>885.73</v>
      </c>
    </row>
    <row r="1183" spans="1:7" ht="14.1" customHeight="1">
      <c r="A1183" s="455" t="s">
        <v>1936</v>
      </c>
      <c r="B1183" s="454"/>
    </row>
    <row r="1184" spans="1:7" ht="14.1" customHeight="1">
      <c r="A1184" s="535" t="s">
        <v>1995</v>
      </c>
      <c r="B1184" s="454">
        <f>(B1182+B1183)*0.245</f>
        <v>217.00385</v>
      </c>
    </row>
    <row r="1185" spans="1:8" ht="14.1" customHeight="1">
      <c r="A1185" s="350" t="s">
        <v>98</v>
      </c>
      <c r="B1185" s="570">
        <f>SUM(B1182:B1184)</f>
        <v>1102.7338500000001</v>
      </c>
      <c r="H1185" s="473"/>
    </row>
    <row r="1186" spans="1:8" ht="11.25" customHeight="1">
      <c r="A1186" s="429"/>
      <c r="B1186" s="430"/>
      <c r="C1186" s="431"/>
      <c r="D1186" s="429"/>
      <c r="E1186" s="430"/>
      <c r="F1186" s="430"/>
      <c r="G1186" s="430"/>
      <c r="H1186" s="429"/>
    </row>
    <row r="1187" spans="1:8" ht="11.25" customHeight="1">
      <c r="A1187" s="337"/>
      <c r="B1187" s="334"/>
      <c r="C1187" s="336"/>
      <c r="D1187" s="337"/>
      <c r="E1187" s="334"/>
      <c r="F1187" s="334"/>
      <c r="G1187" s="334"/>
      <c r="H1187" s="337"/>
    </row>
    <row r="1188" spans="1:8" ht="11.25" customHeight="1">
      <c r="A1188" s="130" t="s">
        <v>542</v>
      </c>
      <c r="H1188" s="337"/>
    </row>
    <row r="1189" spans="1:8" ht="11.25" customHeight="1">
      <c r="A1189" s="148" t="s">
        <v>1921</v>
      </c>
      <c r="H1189" s="337"/>
    </row>
    <row r="1190" spans="1:8" ht="39" customHeight="1">
      <c r="A1190" s="418" t="s">
        <v>820</v>
      </c>
      <c r="B1190" s="1356" t="s">
        <v>1920</v>
      </c>
      <c r="C1190" s="1356"/>
      <c r="D1190" s="1356"/>
      <c r="E1190" s="635" t="s">
        <v>858</v>
      </c>
      <c r="F1190" s="130"/>
      <c r="G1190" s="419"/>
      <c r="H1190" s="337"/>
    </row>
    <row r="1191" spans="1:8" ht="22.5" customHeight="1">
      <c r="A1191" s="913" t="s">
        <v>30</v>
      </c>
      <c r="B1191" s="420" t="s">
        <v>19</v>
      </c>
      <c r="C1191" s="343" t="s">
        <v>82</v>
      </c>
      <c r="D1191" s="915" t="s">
        <v>79</v>
      </c>
      <c r="E1191" s="915" t="s">
        <v>83</v>
      </c>
      <c r="F1191" s="345" t="s">
        <v>84</v>
      </c>
      <c r="G1191" s="421" t="s">
        <v>85</v>
      </c>
      <c r="H1191" s="337"/>
    </row>
    <row r="1192" spans="1:8" ht="14.1" customHeight="1">
      <c r="A1192" s="1317" t="s">
        <v>688</v>
      </c>
      <c r="B1192" s="1310" t="s">
        <v>106</v>
      </c>
      <c r="C1192" s="343" t="s">
        <v>102</v>
      </c>
      <c r="D1192" s="1314" t="s">
        <v>345</v>
      </c>
      <c r="E1192" s="1315">
        <v>1</v>
      </c>
      <c r="F1192" s="348">
        <f>'COMP AUX'!G104</f>
        <v>11.1</v>
      </c>
      <c r="G1192" s="424">
        <f>TRUNC(E1192*F1192,2)</f>
        <v>11.1</v>
      </c>
      <c r="H1192" s="337"/>
    </row>
    <row r="1193" spans="1:8" ht="14.1" customHeight="1">
      <c r="A1193" s="1318"/>
      <c r="B1193" s="1311"/>
      <c r="C1193" s="343" t="s">
        <v>89</v>
      </c>
      <c r="D1193" s="1314"/>
      <c r="E1193" s="1316"/>
      <c r="F1193" s="348">
        <f>'COMP AUX'!G105</f>
        <v>4.5600000000000005</v>
      </c>
      <c r="G1193" s="346">
        <f>TRUNC(E1192*F1193,2)</f>
        <v>4.5599999999999996</v>
      </c>
      <c r="H1193" s="337"/>
    </row>
    <row r="1194" spans="1:8" ht="14.1" customHeight="1">
      <c r="A1194" s="1317">
        <v>88315</v>
      </c>
      <c r="B1194" s="1310" t="s">
        <v>1114</v>
      </c>
      <c r="C1194" s="343" t="s">
        <v>102</v>
      </c>
      <c r="D1194" s="1364" t="s">
        <v>345</v>
      </c>
      <c r="E1194" s="1315">
        <v>0.5</v>
      </c>
      <c r="F1194" s="348">
        <f>'COMP AUX'!G440</f>
        <v>14.81</v>
      </c>
      <c r="G1194" s="346">
        <f>TRUNC(E1194*F1194,2)</f>
        <v>7.4</v>
      </c>
      <c r="H1194" s="337"/>
    </row>
    <row r="1195" spans="1:8" ht="14.1" customHeight="1">
      <c r="A1195" s="1318"/>
      <c r="B1195" s="1311"/>
      <c r="C1195" s="343" t="s">
        <v>89</v>
      </c>
      <c r="D1195" s="1365"/>
      <c r="E1195" s="1316"/>
      <c r="F1195" s="348">
        <f>'COMP AUX'!G441</f>
        <v>4.5600000000000005</v>
      </c>
      <c r="G1195" s="346">
        <f>TRUNC(E1194*F1195,2)</f>
        <v>2.2799999999999998</v>
      </c>
      <c r="H1195" s="337"/>
    </row>
    <row r="1196" spans="1:8" ht="24.75" customHeight="1">
      <c r="A1196" s="917" t="s">
        <v>1900</v>
      </c>
      <c r="B1196" s="911" t="s">
        <v>1901</v>
      </c>
      <c r="C1196" s="343" t="s">
        <v>89</v>
      </c>
      <c r="D1196" s="918" t="s">
        <v>858</v>
      </c>
      <c r="E1196" s="910">
        <v>1.05</v>
      </c>
      <c r="F1196" s="365">
        <v>17.09</v>
      </c>
      <c r="G1196" s="369">
        <f>TRUNC(E1196*F1196,2)</f>
        <v>17.940000000000001</v>
      </c>
    </row>
    <row r="1197" spans="1:8" ht="27.75" customHeight="1">
      <c r="A1197" s="917" t="s">
        <v>1922</v>
      </c>
      <c r="B1197" s="911" t="s">
        <v>1923</v>
      </c>
      <c r="C1197" s="343" t="s">
        <v>89</v>
      </c>
      <c r="D1197" s="918" t="s">
        <v>346</v>
      </c>
      <c r="E1197" s="910">
        <v>1.68</v>
      </c>
      <c r="F1197" s="365">
        <v>38.61</v>
      </c>
      <c r="G1197" s="369">
        <f t="shared" ref="G1197:G1199" si="85">TRUNC(E1197*F1197,2)</f>
        <v>64.86</v>
      </c>
    </row>
    <row r="1198" spans="1:8" ht="14.1" customHeight="1">
      <c r="A1198" s="917" t="s">
        <v>1924</v>
      </c>
      <c r="B1198" s="911" t="s">
        <v>1925</v>
      </c>
      <c r="C1198" s="343" t="s">
        <v>89</v>
      </c>
      <c r="D1198" s="918" t="s">
        <v>685</v>
      </c>
      <c r="E1198" s="910">
        <v>7.0000000000000007E-2</v>
      </c>
      <c r="F1198" s="365">
        <v>14</v>
      </c>
      <c r="G1198" s="369">
        <f t="shared" si="85"/>
        <v>0.98</v>
      </c>
    </row>
    <row r="1199" spans="1:8" ht="14.1" customHeight="1">
      <c r="A1199" s="917" t="s">
        <v>1926</v>
      </c>
      <c r="B1199" s="882" t="s">
        <v>1927</v>
      </c>
      <c r="C1199" s="343" t="s">
        <v>89</v>
      </c>
      <c r="D1199" s="918" t="s">
        <v>346</v>
      </c>
      <c r="E1199" s="910">
        <v>0.15</v>
      </c>
      <c r="F1199" s="348">
        <v>12.1</v>
      </c>
      <c r="G1199" s="369">
        <f t="shared" si="85"/>
        <v>1.81</v>
      </c>
    </row>
    <row r="1200" spans="1:8" ht="14.1" customHeight="1">
      <c r="E1200" s="146"/>
      <c r="F1200" s="427" t="s">
        <v>92</v>
      </c>
      <c r="G1200" s="379">
        <f>G1192+G1194</f>
        <v>18.5</v>
      </c>
    </row>
    <row r="1201" spans="1:8" ht="14.1" customHeight="1">
      <c r="E1201" s="146"/>
      <c r="F1201" s="351" t="s">
        <v>94</v>
      </c>
      <c r="G1201" s="369">
        <f>G1193+G1195+G1196+G1197+G1198+G1199</f>
        <v>92.43</v>
      </c>
    </row>
    <row r="1202" spans="1:8" ht="14.1" customHeight="1">
      <c r="A1202" s="130" t="s">
        <v>96</v>
      </c>
      <c r="E1202" s="146"/>
      <c r="F1202" s="351" t="s">
        <v>95</v>
      </c>
      <c r="G1202" s="370">
        <f>SUM(G1200:G1201)</f>
        <v>110.93</v>
      </c>
    </row>
    <row r="1203" spans="1:8" ht="14.1" customHeight="1">
      <c r="A1203" s="350" t="s">
        <v>97</v>
      </c>
      <c r="B1203" s="461">
        <f>G1202</f>
        <v>110.93</v>
      </c>
    </row>
    <row r="1204" spans="1:8" ht="14.1" customHeight="1">
      <c r="A1204" s="455" t="s">
        <v>1936</v>
      </c>
      <c r="B1204" s="454"/>
    </row>
    <row r="1205" spans="1:8" ht="14.1" customHeight="1">
      <c r="A1205" s="535" t="s">
        <v>1995</v>
      </c>
      <c r="B1205" s="454">
        <f>(B1203+B1204)*0.245</f>
        <v>27.177850000000003</v>
      </c>
    </row>
    <row r="1206" spans="1:8" ht="14.1" customHeight="1">
      <c r="A1206" s="350" t="s">
        <v>98</v>
      </c>
      <c r="B1206" s="570">
        <f>SUM(B1203:B1205)</f>
        <v>138.10785000000001</v>
      </c>
      <c r="H1206" s="473"/>
    </row>
    <row r="1207" spans="1:8" ht="11.25" customHeight="1">
      <c r="A1207" s="429"/>
      <c r="B1207" s="430"/>
      <c r="C1207" s="431"/>
      <c r="D1207" s="429"/>
      <c r="E1207" s="430"/>
      <c r="F1207" s="430"/>
      <c r="G1207" s="430"/>
      <c r="H1207" s="429"/>
    </row>
    <row r="1208" spans="1:8" ht="11.25" customHeight="1">
      <c r="A1208" s="337"/>
      <c r="B1208" s="334"/>
      <c r="C1208" s="336"/>
      <c r="D1208" s="337"/>
      <c r="E1208" s="334"/>
      <c r="F1208" s="334"/>
      <c r="G1208" s="334"/>
      <c r="H1208" s="337"/>
    </row>
    <row r="1209" spans="1:8" ht="11.25" customHeight="1">
      <c r="A1209" s="130" t="s">
        <v>542</v>
      </c>
      <c r="H1209" s="337"/>
    </row>
    <row r="1210" spans="1:8" ht="11.25" customHeight="1">
      <c r="A1210" s="148" t="s">
        <v>1928</v>
      </c>
      <c r="H1210" s="337"/>
    </row>
    <row r="1211" spans="1:8" ht="15" customHeight="1">
      <c r="A1211" s="418" t="s">
        <v>820</v>
      </c>
      <c r="B1211" s="418" t="s">
        <v>538</v>
      </c>
      <c r="C1211" s="635" t="s">
        <v>858</v>
      </c>
      <c r="D1211" s="418"/>
      <c r="F1211" s="130"/>
      <c r="G1211" s="419"/>
      <c r="H1211" s="337"/>
    </row>
    <row r="1212" spans="1:8" ht="21.75" customHeight="1">
      <c r="A1212" s="913" t="s">
        <v>30</v>
      </c>
      <c r="B1212" s="420" t="s">
        <v>19</v>
      </c>
      <c r="C1212" s="343" t="s">
        <v>82</v>
      </c>
      <c r="D1212" s="915" t="s">
        <v>79</v>
      </c>
      <c r="E1212" s="915" t="s">
        <v>83</v>
      </c>
      <c r="F1212" s="345" t="s">
        <v>84</v>
      </c>
      <c r="G1212" s="421" t="s">
        <v>85</v>
      </c>
      <c r="H1212" s="337"/>
    </row>
    <row r="1213" spans="1:8" ht="14.1" customHeight="1">
      <c r="A1213" s="1317" t="s">
        <v>688</v>
      </c>
      <c r="B1213" s="1310" t="s">
        <v>106</v>
      </c>
      <c r="C1213" s="343" t="s">
        <v>102</v>
      </c>
      <c r="D1213" s="1314" t="s">
        <v>345</v>
      </c>
      <c r="E1213" s="1315">
        <v>0.14000000000000001</v>
      </c>
      <c r="F1213" s="348">
        <f>'COMP AUX'!G104</f>
        <v>11.1</v>
      </c>
      <c r="G1213" s="424">
        <f>TRUNC(E1213*F1213,2)</f>
        <v>1.55</v>
      </c>
      <c r="H1213" s="337"/>
    </row>
    <row r="1214" spans="1:8" ht="14.1" customHeight="1">
      <c r="A1214" s="1318"/>
      <c r="B1214" s="1311"/>
      <c r="C1214" s="343" t="s">
        <v>89</v>
      </c>
      <c r="D1214" s="1314"/>
      <c r="E1214" s="1316"/>
      <c r="F1214" s="348">
        <f>'COMP AUX'!G105</f>
        <v>4.5600000000000005</v>
      </c>
      <c r="G1214" s="346">
        <f>TRUNC(E1213*F1214,2)</f>
        <v>0.63</v>
      </c>
      <c r="H1214" s="337"/>
    </row>
    <row r="1215" spans="1:8" ht="14.1" customHeight="1">
      <c r="A1215" s="917" t="s">
        <v>254</v>
      </c>
      <c r="B1215" s="882" t="s">
        <v>1929</v>
      </c>
      <c r="C1215" s="343" t="s">
        <v>89</v>
      </c>
      <c r="D1215" s="918" t="s">
        <v>560</v>
      </c>
      <c r="E1215" s="910">
        <v>0.05</v>
      </c>
      <c r="F1215" s="348">
        <v>3.26</v>
      </c>
      <c r="G1215" s="369">
        <f t="shared" ref="G1215" si="86">TRUNC(E1215*F1215,2)</f>
        <v>0.16</v>
      </c>
    </row>
    <row r="1216" spans="1:8" ht="14.1" customHeight="1">
      <c r="E1216" s="146"/>
      <c r="F1216" s="427" t="s">
        <v>92</v>
      </c>
      <c r="G1216" s="379">
        <f>G1213</f>
        <v>1.55</v>
      </c>
    </row>
    <row r="1217" spans="1:8" ht="14.1" customHeight="1">
      <c r="E1217" s="146"/>
      <c r="F1217" s="351" t="s">
        <v>94</v>
      </c>
      <c r="G1217" s="369">
        <f>G1214+G1215</f>
        <v>0.79</v>
      </c>
    </row>
    <row r="1218" spans="1:8" ht="14.1" customHeight="1">
      <c r="A1218" s="130" t="s">
        <v>96</v>
      </c>
      <c r="E1218" s="146"/>
      <c r="F1218" s="351" t="s">
        <v>95</v>
      </c>
      <c r="G1218" s="370">
        <f>SUM(G1216:G1217)</f>
        <v>2.34</v>
      </c>
    </row>
    <row r="1219" spans="1:8" ht="14.1" customHeight="1">
      <c r="A1219" s="350" t="s">
        <v>97</v>
      </c>
      <c r="B1219" s="461">
        <f>G1218</f>
        <v>2.34</v>
      </c>
    </row>
    <row r="1220" spans="1:8" ht="14.1" customHeight="1">
      <c r="A1220" s="455" t="s">
        <v>1936</v>
      </c>
      <c r="B1220" s="454"/>
    </row>
    <row r="1221" spans="1:8" ht="14.1" customHeight="1">
      <c r="A1221" s="535" t="s">
        <v>1995</v>
      </c>
      <c r="B1221" s="454">
        <f>(B1219+B1220)*0.245</f>
        <v>0.57329999999999992</v>
      </c>
    </row>
    <row r="1222" spans="1:8" ht="14.1" customHeight="1">
      <c r="A1222" s="350" t="s">
        <v>98</v>
      </c>
      <c r="B1222" s="570">
        <f>SUM(B1219:B1221)</f>
        <v>2.9132999999999996</v>
      </c>
      <c r="H1222" s="473"/>
    </row>
    <row r="1223" spans="1:8" ht="11.25" customHeight="1">
      <c r="A1223" s="429"/>
      <c r="B1223" s="430"/>
      <c r="C1223" s="431"/>
      <c r="D1223" s="429"/>
      <c r="E1223" s="430"/>
      <c r="F1223" s="430"/>
      <c r="G1223" s="430"/>
      <c r="H1223" s="429"/>
    </row>
    <row r="1224" spans="1:8" ht="11.25" customHeight="1">
      <c r="A1224" s="337"/>
      <c r="B1224" s="334"/>
      <c r="C1224" s="336"/>
      <c r="D1224" s="337"/>
      <c r="E1224" s="334"/>
      <c r="F1224" s="334"/>
      <c r="G1224" s="334"/>
      <c r="H1224" s="337"/>
    </row>
    <row r="1225" spans="1:8" ht="11.25" customHeight="1">
      <c r="A1225" s="130" t="s">
        <v>542</v>
      </c>
      <c r="H1225" s="337"/>
    </row>
    <row r="1226" spans="1:8" ht="11.25" customHeight="1">
      <c r="A1226" s="148" t="s">
        <v>2356</v>
      </c>
      <c r="H1226" s="337"/>
    </row>
    <row r="1227" spans="1:8" ht="18.75" customHeight="1">
      <c r="A1227" s="418" t="s">
        <v>820</v>
      </c>
      <c r="B1227" s="1356" t="s">
        <v>2357</v>
      </c>
      <c r="C1227" s="1356"/>
      <c r="D1227" s="1356"/>
      <c r="E1227" s="1195" t="s">
        <v>346</v>
      </c>
      <c r="F1227" s="130"/>
      <c r="G1227" s="419"/>
      <c r="H1227" s="337"/>
    </row>
    <row r="1228" spans="1:8" ht="24.75" customHeight="1">
      <c r="A1228" s="1194" t="s">
        <v>30</v>
      </c>
      <c r="B1228" s="420" t="s">
        <v>19</v>
      </c>
      <c r="C1228" s="343" t="s">
        <v>82</v>
      </c>
      <c r="D1228" s="1189" t="s">
        <v>79</v>
      </c>
      <c r="E1228" s="1189" t="s">
        <v>83</v>
      </c>
      <c r="F1228" s="345" t="s">
        <v>84</v>
      </c>
      <c r="G1228" s="421" t="s">
        <v>85</v>
      </c>
      <c r="H1228" s="337"/>
    </row>
    <row r="1229" spans="1:8" ht="15" customHeight="1">
      <c r="A1229" s="1397">
        <v>88247</v>
      </c>
      <c r="B1229" s="1395" t="s">
        <v>422</v>
      </c>
      <c r="C1229" s="343" t="s">
        <v>102</v>
      </c>
      <c r="D1229" s="1314" t="s">
        <v>345</v>
      </c>
      <c r="E1229" s="1353">
        <v>0.10440000000000001</v>
      </c>
      <c r="F1229" s="348">
        <f>'COMP AUX'!G287</f>
        <v>10.98</v>
      </c>
      <c r="G1229" s="346">
        <f t="shared" ref="G1229:G1233" si="87">TRUNC(E1229*F1229,2)</f>
        <v>1.1399999999999999</v>
      </c>
      <c r="H1229" s="337"/>
    </row>
    <row r="1230" spans="1:8" ht="15" customHeight="1">
      <c r="A1230" s="1350"/>
      <c r="B1230" s="1342"/>
      <c r="C1230" s="343" t="s">
        <v>89</v>
      </c>
      <c r="D1230" s="1314"/>
      <c r="E1230" s="1354"/>
      <c r="F1230" s="348">
        <f>'COMP AUX'!G288</f>
        <v>4.5600000000000005</v>
      </c>
      <c r="G1230" s="346">
        <f>TRUNC(E1229*F1230,2)</f>
        <v>0.47</v>
      </c>
      <c r="H1230" s="337"/>
    </row>
    <row r="1231" spans="1:8" ht="15" customHeight="1">
      <c r="A1231" s="1397">
        <v>88264</v>
      </c>
      <c r="B1231" s="1395" t="s">
        <v>249</v>
      </c>
      <c r="C1231" s="343" t="s">
        <v>102</v>
      </c>
      <c r="D1231" s="1314" t="s">
        <v>345</v>
      </c>
      <c r="E1231" s="1353">
        <v>0.10440000000000001</v>
      </c>
      <c r="F1231" s="348">
        <f>'COMP AUX'!G253</f>
        <v>15.639999999999999</v>
      </c>
      <c r="G1231" s="346">
        <f t="shared" si="87"/>
        <v>1.63</v>
      </c>
      <c r="H1231" s="337"/>
    </row>
    <row r="1232" spans="1:8" ht="15" customHeight="1">
      <c r="A1232" s="1398"/>
      <c r="B1232" s="1396"/>
      <c r="C1232" s="343" t="s">
        <v>89</v>
      </c>
      <c r="D1232" s="1314"/>
      <c r="E1232" s="1354"/>
      <c r="F1232" s="348">
        <f>'COMP AUX'!G254</f>
        <v>4.5600000000000005</v>
      </c>
      <c r="G1232" s="346">
        <f>TRUNC(E1231*F1232,2)</f>
        <v>0.47</v>
      </c>
      <c r="H1232" s="337"/>
    </row>
    <row r="1233" spans="1:8" ht="15" customHeight="1">
      <c r="A1233" s="1451" t="s">
        <v>2362</v>
      </c>
      <c r="B1233" s="1452" t="s">
        <v>2363</v>
      </c>
      <c r="C1233" s="343" t="s">
        <v>102</v>
      </c>
      <c r="D1233" s="1364" t="s">
        <v>822</v>
      </c>
      <c r="E1233" s="1353">
        <v>0.33329999999999999</v>
      </c>
      <c r="F1233" s="348">
        <f>G1254</f>
        <v>3.59</v>
      </c>
      <c r="G1233" s="346">
        <f t="shared" si="87"/>
        <v>1.19</v>
      </c>
      <c r="H1233" s="337"/>
    </row>
    <row r="1234" spans="1:8" ht="15" customHeight="1">
      <c r="A1234" s="1451"/>
      <c r="B1234" s="1452"/>
      <c r="C1234" s="343" t="s">
        <v>89</v>
      </c>
      <c r="D1234" s="1365"/>
      <c r="E1234" s="1354"/>
      <c r="F1234" s="348">
        <f>G1255</f>
        <v>3.59</v>
      </c>
      <c r="G1234" s="346">
        <f>TRUNC(E1233*F1234,2)</f>
        <v>1.19</v>
      </c>
      <c r="H1234" s="337"/>
    </row>
    <row r="1235" spans="1:8" ht="27" customHeight="1">
      <c r="A1235" s="1252">
        <v>21136</v>
      </c>
      <c r="B1235" s="409" t="s">
        <v>2368</v>
      </c>
      <c r="C1235" s="343" t="s">
        <v>89</v>
      </c>
      <c r="D1235" s="345" t="s">
        <v>346</v>
      </c>
      <c r="E1235" s="1193">
        <v>1.1000000000000001</v>
      </c>
      <c r="F1235" s="348">
        <v>14.29</v>
      </c>
      <c r="G1235" s="369">
        <f t="shared" ref="G1235" si="88">TRUNC(E1235*F1235,2)</f>
        <v>15.71</v>
      </c>
    </row>
    <row r="1236" spans="1:8" ht="14.1" customHeight="1">
      <c r="E1236" s="146"/>
      <c r="F1236" s="427" t="s">
        <v>92</v>
      </c>
      <c r="G1236" s="379">
        <f>G1229+G1231+G1233</f>
        <v>3.9599999999999995</v>
      </c>
    </row>
    <row r="1237" spans="1:8" ht="14.1" customHeight="1">
      <c r="E1237" s="146"/>
      <c r="F1237" s="351" t="s">
        <v>94</v>
      </c>
      <c r="G1237" s="369">
        <f>G1230+G1232+G1234+G1235</f>
        <v>17.84</v>
      </c>
    </row>
    <row r="1238" spans="1:8" ht="14.1" customHeight="1">
      <c r="A1238" s="130" t="s">
        <v>96</v>
      </c>
      <c r="E1238" s="146"/>
      <c r="F1238" s="351" t="s">
        <v>95</v>
      </c>
      <c r="G1238" s="370">
        <f>SUM(G1236:G1237)</f>
        <v>21.8</v>
      </c>
    </row>
    <row r="1239" spans="1:8" ht="14.1" customHeight="1">
      <c r="A1239" s="350" t="s">
        <v>97</v>
      </c>
      <c r="B1239" s="461">
        <f>G1238</f>
        <v>21.8</v>
      </c>
    </row>
    <row r="1240" spans="1:8" ht="14.1" customHeight="1">
      <c r="A1240" s="455" t="s">
        <v>1936</v>
      </c>
      <c r="B1240" s="454"/>
    </row>
    <row r="1241" spans="1:8" ht="14.1" customHeight="1">
      <c r="A1241" s="535" t="s">
        <v>1995</v>
      </c>
      <c r="B1241" s="454">
        <f>(B1239+B1240)*0.245</f>
        <v>5.3410000000000002</v>
      </c>
    </row>
    <row r="1242" spans="1:8" ht="14.1" customHeight="1">
      <c r="A1242" s="350" t="s">
        <v>98</v>
      </c>
      <c r="B1242" s="570">
        <f>SUM(B1239:B1241)</f>
        <v>27.141000000000002</v>
      </c>
      <c r="H1242" s="473"/>
    </row>
    <row r="1243" spans="1:8" ht="11.25" customHeight="1">
      <c r="A1243" s="429"/>
      <c r="B1243" s="430"/>
      <c r="C1243" s="431"/>
      <c r="D1243" s="429"/>
      <c r="E1243" s="430"/>
      <c r="F1243" s="430"/>
      <c r="G1243" s="430"/>
      <c r="H1243" s="429"/>
    </row>
    <row r="1244" spans="1:8" ht="11.25" customHeight="1">
      <c r="A1244" s="337"/>
      <c r="B1244" s="334"/>
      <c r="C1244" s="336"/>
      <c r="D1244" s="337"/>
      <c r="E1244" s="334"/>
      <c r="F1244" s="334"/>
      <c r="G1244" s="334"/>
      <c r="H1244" s="337"/>
    </row>
    <row r="1245" spans="1:8" ht="11.25" customHeight="1">
      <c r="A1245" s="130" t="s">
        <v>542</v>
      </c>
      <c r="H1245" s="337"/>
    </row>
    <row r="1246" spans="1:8" ht="11.25" customHeight="1">
      <c r="A1246" s="148" t="s">
        <v>2364</v>
      </c>
      <c r="H1246" s="337"/>
    </row>
    <row r="1247" spans="1:8" ht="24" customHeight="1">
      <c r="A1247" s="418" t="s">
        <v>820</v>
      </c>
      <c r="B1247" s="1356" t="s">
        <v>2363</v>
      </c>
      <c r="C1247" s="1356"/>
      <c r="D1247" s="1356"/>
      <c r="E1247" s="1195" t="s">
        <v>822</v>
      </c>
      <c r="F1247" s="130"/>
      <c r="G1247" s="419"/>
      <c r="H1247" s="337"/>
    </row>
    <row r="1248" spans="1:8" ht="23.25" customHeight="1">
      <c r="A1248" s="1194" t="s">
        <v>30</v>
      </c>
      <c r="B1248" s="420" t="s">
        <v>19</v>
      </c>
      <c r="C1248" s="343" t="s">
        <v>82</v>
      </c>
      <c r="D1248" s="1189" t="s">
        <v>79</v>
      </c>
      <c r="E1248" s="1189" t="s">
        <v>83</v>
      </c>
      <c r="F1248" s="345" t="s">
        <v>84</v>
      </c>
      <c r="G1248" s="421" t="s">
        <v>85</v>
      </c>
      <c r="H1248" s="337"/>
    </row>
    <row r="1249" spans="1:8" ht="14.1" customHeight="1">
      <c r="A1249" s="1397">
        <v>88247</v>
      </c>
      <c r="B1249" s="1395" t="s">
        <v>422</v>
      </c>
      <c r="C1249" s="343" t="s">
        <v>102</v>
      </c>
      <c r="D1249" s="1314" t="s">
        <v>345</v>
      </c>
      <c r="E1249" s="1353">
        <v>0.13539999999999999</v>
      </c>
      <c r="F1249" s="348">
        <f>'COMP AUX'!G287</f>
        <v>10.98</v>
      </c>
      <c r="G1249" s="346">
        <f t="shared" ref="G1249" si="89">TRUNC(E1249*F1249,2)</f>
        <v>1.48</v>
      </c>
      <c r="H1249" s="337"/>
    </row>
    <row r="1250" spans="1:8" ht="14.1" customHeight="1">
      <c r="A1250" s="1350"/>
      <c r="B1250" s="1342"/>
      <c r="C1250" s="343" t="s">
        <v>89</v>
      </c>
      <c r="D1250" s="1314"/>
      <c r="E1250" s="1354"/>
      <c r="F1250" s="348">
        <f>'COMP AUX'!G288</f>
        <v>4.5600000000000005</v>
      </c>
      <c r="G1250" s="346">
        <f>TRUNC(E1249*F1250,2)</f>
        <v>0.61</v>
      </c>
      <c r="H1250" s="337"/>
    </row>
    <row r="1251" spans="1:8" ht="14.1" customHeight="1">
      <c r="A1251" s="1397">
        <v>88264</v>
      </c>
      <c r="B1251" s="1395" t="s">
        <v>249</v>
      </c>
      <c r="C1251" s="343" t="s">
        <v>102</v>
      </c>
      <c r="D1251" s="1314" t="s">
        <v>345</v>
      </c>
      <c r="E1251" s="1353">
        <v>0.13539999999999999</v>
      </c>
      <c r="F1251" s="348">
        <f>'COMP AUX'!G253</f>
        <v>15.639999999999999</v>
      </c>
      <c r="G1251" s="346">
        <f t="shared" ref="G1251" si="90">TRUNC(E1251*F1251,2)</f>
        <v>2.11</v>
      </c>
      <c r="H1251" s="337"/>
    </row>
    <row r="1252" spans="1:8" ht="14.1" customHeight="1">
      <c r="A1252" s="1398"/>
      <c r="B1252" s="1396"/>
      <c r="C1252" s="343" t="s">
        <v>89</v>
      </c>
      <c r="D1252" s="1314"/>
      <c r="E1252" s="1354"/>
      <c r="F1252" s="348">
        <f>'COMP AUX'!G254</f>
        <v>4.5600000000000005</v>
      </c>
      <c r="G1252" s="346">
        <f>TRUNC(E1251*F1252,2)</f>
        <v>0.61</v>
      </c>
      <c r="H1252" s="337"/>
    </row>
    <row r="1253" spans="1:8" ht="26.25" customHeight="1">
      <c r="A1253" s="1252" t="s">
        <v>2365</v>
      </c>
      <c r="B1253" s="409" t="s">
        <v>2366</v>
      </c>
      <c r="C1253" s="343" t="s">
        <v>89</v>
      </c>
      <c r="D1253" s="345" t="s">
        <v>822</v>
      </c>
      <c r="E1253" s="1193">
        <v>1</v>
      </c>
      <c r="F1253" s="348">
        <v>2.37</v>
      </c>
      <c r="G1253" s="369">
        <f t="shared" ref="G1253" si="91">TRUNC(E1253*F1253,2)</f>
        <v>2.37</v>
      </c>
    </row>
    <row r="1254" spans="1:8" ht="14.1" customHeight="1">
      <c r="E1254" s="146"/>
      <c r="F1254" s="427" t="s">
        <v>92</v>
      </c>
      <c r="G1254" s="379">
        <f>G1249+G1251</f>
        <v>3.59</v>
      </c>
    </row>
    <row r="1255" spans="1:8" ht="14.1" customHeight="1">
      <c r="E1255" s="146"/>
      <c r="F1255" s="351" t="s">
        <v>94</v>
      </c>
      <c r="G1255" s="369">
        <f>G1250+G1252+G1253</f>
        <v>3.59</v>
      </c>
    </row>
    <row r="1256" spans="1:8" ht="14.1" customHeight="1">
      <c r="A1256" s="130" t="s">
        <v>96</v>
      </c>
      <c r="E1256" s="146"/>
      <c r="F1256" s="351" t="s">
        <v>95</v>
      </c>
      <c r="G1256" s="370">
        <f>SUM(G1254:G1255)</f>
        <v>7.18</v>
      </c>
    </row>
    <row r="1257" spans="1:8" ht="14.1" customHeight="1">
      <c r="A1257" s="350" t="s">
        <v>97</v>
      </c>
      <c r="B1257" s="461">
        <f>G1256</f>
        <v>7.18</v>
      </c>
    </row>
    <row r="1258" spans="1:8" ht="14.1" customHeight="1">
      <c r="A1258" s="455" t="s">
        <v>1936</v>
      </c>
      <c r="B1258" s="454"/>
    </row>
    <row r="1259" spans="1:8" ht="14.1" customHeight="1">
      <c r="A1259" s="535" t="s">
        <v>1995</v>
      </c>
      <c r="B1259" s="454">
        <f>(B1257+B1258)*0.245</f>
        <v>1.7590999999999999</v>
      </c>
    </row>
    <row r="1260" spans="1:8" ht="14.1" customHeight="1">
      <c r="A1260" s="350" t="s">
        <v>98</v>
      </c>
      <c r="B1260" s="570">
        <f>SUM(B1257:B1259)</f>
        <v>8.9390999999999998</v>
      </c>
      <c r="H1260" s="473"/>
    </row>
    <row r="1261" spans="1:8" ht="11.25" customHeight="1">
      <c r="A1261" s="429"/>
      <c r="B1261" s="430"/>
      <c r="C1261" s="431"/>
      <c r="D1261" s="429"/>
      <c r="E1261" s="430"/>
      <c r="F1261" s="430"/>
      <c r="G1261" s="430"/>
      <c r="H1261" s="429"/>
    </row>
    <row r="1262" spans="1:8" ht="11.25" customHeight="1">
      <c r="A1262" s="337"/>
      <c r="B1262" s="334"/>
      <c r="C1262" s="336"/>
      <c r="D1262" s="337"/>
      <c r="E1262" s="334"/>
      <c r="F1262" s="334"/>
      <c r="G1262" s="334"/>
      <c r="H1262" s="337"/>
    </row>
    <row r="1263" spans="1:8" ht="12" customHeight="1">
      <c r="A1263" s="130" t="s">
        <v>542</v>
      </c>
      <c r="B1263" s="565"/>
      <c r="C1263" s="565"/>
      <c r="D1263" s="565"/>
      <c r="E1263" s="334"/>
      <c r="F1263" s="334"/>
      <c r="G1263" s="334"/>
      <c r="H1263" s="337"/>
    </row>
    <row r="1264" spans="1:8" ht="14.25" customHeight="1">
      <c r="A1264" s="333" t="s">
        <v>1526</v>
      </c>
      <c r="B1264" s="577"/>
      <c r="C1264" s="577"/>
      <c r="D1264" s="577"/>
      <c r="E1264" s="334"/>
      <c r="F1264" s="334"/>
      <c r="G1264" s="334"/>
      <c r="H1264" s="337"/>
    </row>
    <row r="1265" spans="1:8" ht="26.25" customHeight="1">
      <c r="A1265" s="594" t="s">
        <v>959</v>
      </c>
      <c r="B1265" s="1355" t="s">
        <v>1525</v>
      </c>
      <c r="C1265" s="1355"/>
      <c r="D1265" s="1355"/>
      <c r="E1265" s="359" t="s">
        <v>822</v>
      </c>
      <c r="F1265" s="334"/>
      <c r="G1265" s="334"/>
      <c r="H1265" s="337"/>
    </row>
    <row r="1266" spans="1:8" ht="22.5">
      <c r="A1266" s="415" t="s">
        <v>30</v>
      </c>
      <c r="B1266" s="420" t="s">
        <v>19</v>
      </c>
      <c r="C1266" s="343" t="s">
        <v>82</v>
      </c>
      <c r="D1266" s="525" t="s">
        <v>79</v>
      </c>
      <c r="E1266" s="525" t="s">
        <v>83</v>
      </c>
      <c r="F1266" s="345" t="s">
        <v>84</v>
      </c>
      <c r="G1266" s="421" t="s">
        <v>85</v>
      </c>
      <c r="H1266" s="138"/>
    </row>
    <row r="1267" spans="1:8" ht="15" customHeight="1">
      <c r="A1267" s="1340">
        <v>90447</v>
      </c>
      <c r="B1267" s="1338" t="s">
        <v>897</v>
      </c>
      <c r="C1267" s="611" t="s">
        <v>102</v>
      </c>
      <c r="D1267" s="1343" t="s">
        <v>4</v>
      </c>
      <c r="E1267" s="1345">
        <v>2.2000000000000002</v>
      </c>
      <c r="F1267" s="414">
        <f>'COMP AUX'!G1497</f>
        <v>3.74</v>
      </c>
      <c r="G1267" s="421">
        <f>TRUNC(E1267*F1267,2)</f>
        <v>8.2200000000000006</v>
      </c>
      <c r="H1267" s="609"/>
    </row>
    <row r="1268" spans="1:8" ht="15" customHeight="1">
      <c r="A1268" s="1341"/>
      <c r="B1268" s="1339"/>
      <c r="C1268" s="611" t="s">
        <v>89</v>
      </c>
      <c r="D1268" s="1344"/>
      <c r="E1268" s="1346"/>
      <c r="F1268" s="486">
        <f>'COMP AUX'!G1498</f>
        <v>1.1299999999999999</v>
      </c>
      <c r="G1268" s="519">
        <f>TRUNC(E1267*F1268,2)</f>
        <v>2.48</v>
      </c>
      <c r="H1268" s="138"/>
    </row>
    <row r="1269" spans="1:8" ht="15" customHeight="1">
      <c r="A1269" s="1340">
        <v>90456</v>
      </c>
      <c r="B1269" s="1338" t="s">
        <v>898</v>
      </c>
      <c r="C1269" s="611" t="s">
        <v>102</v>
      </c>
      <c r="D1269" s="1343" t="s">
        <v>5</v>
      </c>
      <c r="E1269" s="1345">
        <v>1</v>
      </c>
      <c r="F1269" s="486">
        <f>'COMP AUX'!G1510</f>
        <v>2.5</v>
      </c>
      <c r="G1269" s="519">
        <f>TRUNC(E1269*F1269,2)</f>
        <v>2.5</v>
      </c>
      <c r="H1269" s="609"/>
    </row>
    <row r="1270" spans="1:8" ht="15" customHeight="1">
      <c r="A1270" s="1341"/>
      <c r="B1270" s="1339"/>
      <c r="C1270" s="524" t="s">
        <v>89</v>
      </c>
      <c r="D1270" s="1344"/>
      <c r="E1270" s="1346"/>
      <c r="F1270" s="486">
        <f>'COMP AUX'!G1511</f>
        <v>0.75</v>
      </c>
      <c r="G1270" s="519">
        <f>TRUNC(E1269*F1270,2)</f>
        <v>0.75</v>
      </c>
      <c r="H1270" s="138"/>
    </row>
    <row r="1271" spans="1:8" ht="17.100000000000001" customHeight="1">
      <c r="A1271" s="1340">
        <v>90466</v>
      </c>
      <c r="B1271" s="1338" t="s">
        <v>899</v>
      </c>
      <c r="C1271" s="611" t="s">
        <v>102</v>
      </c>
      <c r="D1271" s="1343" t="s">
        <v>4</v>
      </c>
      <c r="E1271" s="1345">
        <v>2.2000000000000002</v>
      </c>
      <c r="F1271" s="486">
        <f>'COMP AUX'!G1525</f>
        <v>6.89</v>
      </c>
      <c r="G1271" s="519">
        <f>TRUNC(E1271*F1271,2)</f>
        <v>15.15</v>
      </c>
      <c r="H1271" s="609"/>
    </row>
    <row r="1272" spans="1:8" ht="17.100000000000001" customHeight="1">
      <c r="A1272" s="1341"/>
      <c r="B1272" s="1339"/>
      <c r="C1272" s="524" t="s">
        <v>89</v>
      </c>
      <c r="D1272" s="1344"/>
      <c r="E1272" s="1346"/>
      <c r="F1272" s="486">
        <f>'COMP AUX'!G1526</f>
        <v>2.9800000000000004</v>
      </c>
      <c r="G1272" s="519">
        <f>TRUNC(E1271*F1272,2)</f>
        <v>6.55</v>
      </c>
      <c r="H1272" s="138"/>
    </row>
    <row r="1273" spans="1:8" ht="20.100000000000001" customHeight="1">
      <c r="A1273" s="1340">
        <v>91842</v>
      </c>
      <c r="B1273" s="1338" t="s">
        <v>900</v>
      </c>
      <c r="C1273" s="611" t="s">
        <v>102</v>
      </c>
      <c r="D1273" s="1343" t="s">
        <v>4</v>
      </c>
      <c r="E1273" s="1345">
        <v>2</v>
      </c>
      <c r="F1273" s="486">
        <f>'COMP AUX'!G1582</f>
        <v>1.9100000000000001</v>
      </c>
      <c r="G1273" s="519">
        <f>TRUNC(E1273*F1273,2)</f>
        <v>3.82</v>
      </c>
      <c r="H1273" s="609"/>
    </row>
    <row r="1274" spans="1:8" ht="20.100000000000001" customHeight="1">
      <c r="A1274" s="1341"/>
      <c r="B1274" s="1339"/>
      <c r="C1274" s="611" t="s">
        <v>89</v>
      </c>
      <c r="D1274" s="1344"/>
      <c r="E1274" s="1346"/>
      <c r="F1274" s="486">
        <f>'COMP AUX'!G1583</f>
        <v>1.7500000000000002</v>
      </c>
      <c r="G1274" s="519">
        <f>TRUNC(E1273*F1274,2)</f>
        <v>3.5</v>
      </c>
      <c r="H1274" s="138"/>
    </row>
    <row r="1275" spans="1:8" ht="18" customHeight="1">
      <c r="A1275" s="1340">
        <v>91852</v>
      </c>
      <c r="B1275" s="1338" t="s">
        <v>901</v>
      </c>
      <c r="C1275" s="611" t="s">
        <v>102</v>
      </c>
      <c r="D1275" s="1343" t="s">
        <v>4</v>
      </c>
      <c r="E1275" s="1345">
        <v>2.2000000000000002</v>
      </c>
      <c r="F1275" s="486">
        <f>'COMP AUX'!G1596</f>
        <v>3.42</v>
      </c>
      <c r="G1275" s="519">
        <f>TRUNC(E1275*F1275,2)</f>
        <v>7.52</v>
      </c>
      <c r="H1275" s="609"/>
    </row>
    <row r="1276" spans="1:8" ht="18" customHeight="1">
      <c r="A1276" s="1341"/>
      <c r="B1276" s="1339"/>
      <c r="C1276" s="611" t="s">
        <v>89</v>
      </c>
      <c r="D1276" s="1344"/>
      <c r="E1276" s="1346"/>
      <c r="F1276" s="486">
        <f>'COMP AUX'!G1597</f>
        <v>2.17</v>
      </c>
      <c r="G1276" s="519">
        <f>TRUNC(E1275*F1276,2)</f>
        <v>4.7699999999999996</v>
      </c>
      <c r="H1276" s="138"/>
    </row>
    <row r="1277" spans="1:8" ht="18" customHeight="1">
      <c r="A1277" s="1408">
        <v>91926</v>
      </c>
      <c r="B1277" s="1338" t="s">
        <v>903</v>
      </c>
      <c r="C1277" s="611" t="s">
        <v>102</v>
      </c>
      <c r="D1277" s="1343" t="s">
        <v>4</v>
      </c>
      <c r="E1277" s="1345">
        <v>12.6</v>
      </c>
      <c r="F1277" s="486">
        <f>'COMP AUX'!G1626</f>
        <v>0.78</v>
      </c>
      <c r="G1277" s="519">
        <f>TRUNC(E1277*F1277,2)</f>
        <v>9.82</v>
      </c>
      <c r="H1277" s="609"/>
    </row>
    <row r="1278" spans="1:8" ht="18" customHeight="1">
      <c r="A1278" s="1309"/>
      <c r="B1278" s="1342"/>
      <c r="C1278" s="611" t="s">
        <v>89</v>
      </c>
      <c r="D1278" s="1344"/>
      <c r="E1278" s="1346"/>
      <c r="F1278" s="486">
        <f>'COMP AUX'!G1627</f>
        <v>1.63</v>
      </c>
      <c r="G1278" s="519">
        <f>TRUNC(E1277*F1278,2)</f>
        <v>20.53</v>
      </c>
      <c r="H1278" s="138"/>
    </row>
    <row r="1279" spans="1:8" ht="18" customHeight="1">
      <c r="A1279" s="1408">
        <v>91937</v>
      </c>
      <c r="B1279" s="1338" t="s">
        <v>904</v>
      </c>
      <c r="C1279" s="611" t="s">
        <v>102</v>
      </c>
      <c r="D1279" s="1343" t="s">
        <v>5</v>
      </c>
      <c r="E1279" s="1345">
        <v>0.375</v>
      </c>
      <c r="F1279" s="486">
        <f>'COMP AUX'!G1640</f>
        <v>3.42</v>
      </c>
      <c r="G1279" s="519">
        <f>TRUNC(E1279*F1279,2)</f>
        <v>1.28</v>
      </c>
      <c r="H1279" s="609"/>
    </row>
    <row r="1280" spans="1:8" ht="18" customHeight="1">
      <c r="A1280" s="1309"/>
      <c r="B1280" s="1342"/>
      <c r="C1280" s="611" t="s">
        <v>89</v>
      </c>
      <c r="D1280" s="1344"/>
      <c r="E1280" s="1346"/>
      <c r="F1280" s="486">
        <f>'COMP AUX'!G1641</f>
        <v>4.13</v>
      </c>
      <c r="G1280" s="519">
        <f>TRUNC(E1279*F1280,2)</f>
        <v>1.54</v>
      </c>
      <c r="H1280" s="138"/>
    </row>
    <row r="1281" spans="1:8" ht="18" customHeight="1">
      <c r="A1281" s="1408">
        <v>91940</v>
      </c>
      <c r="B1281" s="1338" t="s">
        <v>905</v>
      </c>
      <c r="C1281" s="611" t="s">
        <v>102</v>
      </c>
      <c r="D1281" s="1343" t="s">
        <v>5</v>
      </c>
      <c r="E1281" s="1345">
        <v>1</v>
      </c>
      <c r="F1281" s="486">
        <f>'COMP AUX'!G1656</f>
        <v>6.65</v>
      </c>
      <c r="G1281" s="519">
        <f>TRUNC(E1281*F1281,2)</f>
        <v>6.65</v>
      </c>
      <c r="H1281" s="609"/>
    </row>
    <row r="1282" spans="1:8" ht="18" customHeight="1">
      <c r="A1282" s="1309"/>
      <c r="B1282" s="1342"/>
      <c r="C1282" s="611" t="s">
        <v>89</v>
      </c>
      <c r="D1282" s="1344"/>
      <c r="E1282" s="1346"/>
      <c r="F1282" s="486">
        <f>'COMP AUX'!G1657</f>
        <v>4.1800000000000006</v>
      </c>
      <c r="G1282" s="519">
        <f>TRUNC(E1281*F1282,2)</f>
        <v>4.18</v>
      </c>
      <c r="H1282" s="138"/>
    </row>
    <row r="1283" spans="1:8" ht="15" customHeight="1">
      <c r="A1283" s="1408">
        <v>92004</v>
      </c>
      <c r="B1283" s="1338" t="s">
        <v>1527</v>
      </c>
      <c r="C1283" s="611" t="s">
        <v>102</v>
      </c>
      <c r="D1283" s="1343" t="s">
        <v>5</v>
      </c>
      <c r="E1283" s="1345">
        <v>1</v>
      </c>
      <c r="F1283" s="486">
        <f>'COMP AUX'!G1669</f>
        <v>17.68</v>
      </c>
      <c r="G1283" s="519">
        <f>TRUNC(E1283*F1283,2)</f>
        <v>17.68</v>
      </c>
      <c r="H1283" s="609"/>
    </row>
    <row r="1284" spans="1:8" ht="15" customHeight="1">
      <c r="A1284" s="1309"/>
      <c r="B1284" s="1339"/>
      <c r="C1284" s="611" t="s">
        <v>89</v>
      </c>
      <c r="D1284" s="1344"/>
      <c r="E1284" s="1346"/>
      <c r="F1284" s="486">
        <f>'COMP AUX'!G1670</f>
        <v>17.47</v>
      </c>
      <c r="G1284" s="519">
        <f>TRUNC(E1283*F1284,2)</f>
        <v>17.47</v>
      </c>
      <c r="H1284" s="138"/>
    </row>
    <row r="1285" spans="1:8" ht="14.1" customHeight="1">
      <c r="A1285" s="138"/>
      <c r="B1285" s="138"/>
      <c r="C1285" s="138"/>
      <c r="D1285" s="138"/>
      <c r="E1285" s="138"/>
      <c r="F1285" s="494" t="s">
        <v>92</v>
      </c>
      <c r="G1285" s="519">
        <f>G1267+G1269+G1271+G1273+G1275+G1277+G1279+G1281+G1283</f>
        <v>72.64</v>
      </c>
      <c r="H1285" s="138"/>
    </row>
    <row r="1286" spans="1:8" ht="14.1" customHeight="1">
      <c r="A1286" s="138"/>
      <c r="B1286" s="138"/>
      <c r="C1286" s="138"/>
      <c r="D1286" s="138"/>
      <c r="E1286" s="138"/>
      <c r="F1286" s="494" t="s">
        <v>94</v>
      </c>
      <c r="G1286" s="519">
        <f>G1268+G1270+G1272+G1274+G1276+G1278+G1280+G1282+G1284</f>
        <v>61.769999999999996</v>
      </c>
      <c r="H1286" s="138"/>
    </row>
    <row r="1287" spans="1:8" ht="14.1" customHeight="1">
      <c r="A1287" s="495" t="s">
        <v>96</v>
      </c>
      <c r="B1287" s="522"/>
      <c r="C1287" s="138"/>
      <c r="D1287" s="138"/>
      <c r="E1287" s="138"/>
      <c r="F1287" s="494" t="s">
        <v>95</v>
      </c>
      <c r="G1287" s="521">
        <f>SUM(G1285:G1286)</f>
        <v>134.41</v>
      </c>
      <c r="H1287" s="138"/>
    </row>
    <row r="1288" spans="1:8" ht="14.1" customHeight="1">
      <c r="A1288" s="428" t="s">
        <v>97</v>
      </c>
      <c r="B1288" s="461">
        <f>G1287</f>
        <v>134.41</v>
      </c>
      <c r="C1288" s="138"/>
      <c r="D1288" s="138"/>
      <c r="E1288" s="138"/>
      <c r="F1288" s="139"/>
      <c r="G1288" s="139"/>
      <c r="H1288" s="138"/>
    </row>
    <row r="1289" spans="1:8" ht="14.1" customHeight="1">
      <c r="A1289" s="455" t="s">
        <v>1936</v>
      </c>
      <c r="B1289" s="454"/>
      <c r="C1289" s="138"/>
      <c r="D1289" s="138"/>
      <c r="E1289" s="138"/>
      <c r="F1289" s="139"/>
      <c r="G1289" s="139"/>
      <c r="H1289" s="138"/>
    </row>
    <row r="1290" spans="1:8" ht="14.1" customHeight="1">
      <c r="A1290" s="535" t="s">
        <v>1995</v>
      </c>
      <c r="B1290" s="454">
        <f>(B1288+B1289)*0.245</f>
        <v>32.93045</v>
      </c>
      <c r="C1290" s="138"/>
      <c r="D1290" s="138"/>
      <c r="E1290" s="138"/>
      <c r="F1290" s="139"/>
      <c r="G1290" s="139"/>
      <c r="H1290" s="138"/>
    </row>
    <row r="1291" spans="1:8" ht="14.1" customHeight="1">
      <c r="A1291" s="428" t="s">
        <v>98</v>
      </c>
      <c r="B1291" s="462">
        <f>SUM(B1288:B1290)</f>
        <v>167.34045</v>
      </c>
      <c r="C1291" s="138"/>
      <c r="D1291" s="138"/>
      <c r="E1291" s="138"/>
      <c r="F1291" s="139"/>
      <c r="G1291" s="139"/>
      <c r="H1291" s="490"/>
    </row>
    <row r="1292" spans="1:8">
      <c r="A1292" s="429"/>
      <c r="B1292" s="430"/>
      <c r="C1292" s="431"/>
      <c r="D1292" s="429"/>
      <c r="E1292" s="430"/>
      <c r="F1292" s="430"/>
      <c r="G1292" s="430"/>
      <c r="H1292" s="429"/>
    </row>
    <row r="1293" spans="1:8" s="337" customFormat="1">
      <c r="B1293" s="334"/>
      <c r="C1293" s="336"/>
      <c r="E1293" s="334"/>
      <c r="F1293" s="334"/>
      <c r="G1293" s="334"/>
    </row>
    <row r="1294" spans="1:8" s="337" customFormat="1">
      <c r="A1294" s="130" t="s">
        <v>542</v>
      </c>
      <c r="B1294" s="565"/>
      <c r="C1294" s="565"/>
      <c r="D1294" s="565"/>
      <c r="E1294" s="334"/>
      <c r="F1294" s="334"/>
      <c r="G1294" s="334"/>
    </row>
    <row r="1295" spans="1:8" s="337" customFormat="1">
      <c r="A1295" s="148" t="s">
        <v>1052</v>
      </c>
      <c r="B1295" s="577"/>
      <c r="C1295" s="577"/>
      <c r="D1295" s="577"/>
      <c r="E1295" s="334"/>
      <c r="F1295" s="334"/>
      <c r="G1295" s="334"/>
    </row>
    <row r="1296" spans="1:8" s="337" customFormat="1" ht="39.75" customHeight="1">
      <c r="A1296" s="594" t="s">
        <v>959</v>
      </c>
      <c r="B1296" s="1355" t="s">
        <v>1053</v>
      </c>
      <c r="C1296" s="1355"/>
      <c r="D1296" s="1355"/>
      <c r="E1296" s="360" t="s">
        <v>822</v>
      </c>
      <c r="F1296" s="334"/>
      <c r="G1296" s="334"/>
    </row>
    <row r="1297" spans="1:8" s="337" customFormat="1" ht="29.25" customHeight="1">
      <c r="A1297" s="624" t="s">
        <v>30</v>
      </c>
      <c r="B1297" s="420" t="s">
        <v>19</v>
      </c>
      <c r="C1297" s="343" t="s">
        <v>82</v>
      </c>
      <c r="D1297" s="603" t="s">
        <v>79</v>
      </c>
      <c r="E1297" s="603" t="s">
        <v>83</v>
      </c>
      <c r="F1297" s="345" t="s">
        <v>84</v>
      </c>
      <c r="G1297" s="421" t="s">
        <v>85</v>
      </c>
      <c r="H1297" s="609"/>
    </row>
    <row r="1298" spans="1:8" s="337" customFormat="1" ht="11.25" customHeight="1">
      <c r="A1298" s="1340">
        <v>90447</v>
      </c>
      <c r="B1298" s="1338" t="s">
        <v>897</v>
      </c>
      <c r="C1298" s="611" t="s">
        <v>102</v>
      </c>
      <c r="D1298" s="1343" t="s">
        <v>4</v>
      </c>
      <c r="E1298" s="1345">
        <v>2.2000000000000002</v>
      </c>
      <c r="F1298" s="414">
        <f>'COMP AUX'!G1497</f>
        <v>3.74</v>
      </c>
      <c r="G1298" s="424">
        <f>TRUNC(E1298*F1298,2)</f>
        <v>8.2200000000000006</v>
      </c>
      <c r="H1298" s="609"/>
    </row>
    <row r="1299" spans="1:8" s="337" customFormat="1">
      <c r="A1299" s="1341"/>
      <c r="B1299" s="1339"/>
      <c r="C1299" s="611" t="s">
        <v>89</v>
      </c>
      <c r="D1299" s="1344"/>
      <c r="E1299" s="1346"/>
      <c r="F1299" s="414">
        <f>'COMP AUX'!G1498</f>
        <v>1.1299999999999999</v>
      </c>
      <c r="G1299" s="519">
        <f>TRUNC(E1298*F1299,2)</f>
        <v>2.48</v>
      </c>
      <c r="H1299" s="609"/>
    </row>
    <row r="1300" spans="1:8" s="337" customFormat="1" ht="11.25" customHeight="1">
      <c r="A1300" s="1340">
        <v>90456</v>
      </c>
      <c r="B1300" s="1338" t="s">
        <v>898</v>
      </c>
      <c r="C1300" s="611" t="s">
        <v>102</v>
      </c>
      <c r="D1300" s="1343" t="s">
        <v>5</v>
      </c>
      <c r="E1300" s="1345">
        <v>1</v>
      </c>
      <c r="F1300" s="486">
        <f>'COMP AUX'!G1510</f>
        <v>2.5</v>
      </c>
      <c r="G1300" s="519">
        <f>TRUNC(E1300*F1300,2)</f>
        <v>2.5</v>
      </c>
      <c r="H1300" s="609"/>
    </row>
    <row r="1301" spans="1:8" s="337" customFormat="1">
      <c r="A1301" s="1341"/>
      <c r="B1301" s="1339"/>
      <c r="C1301" s="611" t="s">
        <v>89</v>
      </c>
      <c r="D1301" s="1344"/>
      <c r="E1301" s="1346"/>
      <c r="F1301" s="486">
        <f>'COMP AUX'!G1511</f>
        <v>0.75</v>
      </c>
      <c r="G1301" s="519">
        <f>TRUNC(E1300*F1301,2)</f>
        <v>0.75</v>
      </c>
      <c r="H1301" s="609"/>
    </row>
    <row r="1302" spans="1:8" s="337" customFormat="1" ht="18" customHeight="1">
      <c r="A1302" s="1340">
        <v>90466</v>
      </c>
      <c r="B1302" s="1338" t="s">
        <v>899</v>
      </c>
      <c r="C1302" s="611" t="s">
        <v>102</v>
      </c>
      <c r="D1302" s="1343" t="s">
        <v>4</v>
      </c>
      <c r="E1302" s="1345">
        <v>2.2000000000000002</v>
      </c>
      <c r="F1302" s="486">
        <f>'COMP AUX'!G1525</f>
        <v>6.89</v>
      </c>
      <c r="G1302" s="519">
        <f>TRUNC(E1302*F1302,2)</f>
        <v>15.15</v>
      </c>
      <c r="H1302" s="609"/>
    </row>
    <row r="1303" spans="1:8" s="337" customFormat="1" ht="18" customHeight="1">
      <c r="A1303" s="1341"/>
      <c r="B1303" s="1339"/>
      <c r="C1303" s="611" t="s">
        <v>89</v>
      </c>
      <c r="D1303" s="1344"/>
      <c r="E1303" s="1346"/>
      <c r="F1303" s="486">
        <f>'COMP AUX'!G1526</f>
        <v>2.9800000000000004</v>
      </c>
      <c r="G1303" s="519">
        <f>TRUNC(E1302*F1303,2)</f>
        <v>6.55</v>
      </c>
      <c r="H1303" s="609"/>
    </row>
    <row r="1304" spans="1:8" s="337" customFormat="1" ht="18" customHeight="1">
      <c r="A1304" s="1340">
        <v>91842</v>
      </c>
      <c r="B1304" s="1338" t="s">
        <v>900</v>
      </c>
      <c r="C1304" s="611" t="s">
        <v>102</v>
      </c>
      <c r="D1304" s="1343" t="s">
        <v>4</v>
      </c>
      <c r="E1304" s="1345">
        <v>2</v>
      </c>
      <c r="F1304" s="486">
        <f>'COMP AUX'!G1582</f>
        <v>1.9100000000000001</v>
      </c>
      <c r="G1304" s="519">
        <f>TRUNC(E1304*F1304,2)</f>
        <v>3.82</v>
      </c>
      <c r="H1304" s="609"/>
    </row>
    <row r="1305" spans="1:8" s="337" customFormat="1" ht="18" customHeight="1">
      <c r="A1305" s="1341"/>
      <c r="B1305" s="1339"/>
      <c r="C1305" s="611" t="s">
        <v>89</v>
      </c>
      <c r="D1305" s="1344"/>
      <c r="E1305" s="1346"/>
      <c r="F1305" s="486">
        <f>'COMP AUX'!G1583</f>
        <v>1.7500000000000002</v>
      </c>
      <c r="G1305" s="519">
        <f>TRUNC(E1304*F1305,2)</f>
        <v>3.5</v>
      </c>
      <c r="H1305" s="609"/>
    </row>
    <row r="1306" spans="1:8" s="337" customFormat="1" ht="18" customHeight="1">
      <c r="A1306" s="1340">
        <v>91852</v>
      </c>
      <c r="B1306" s="1338" t="s">
        <v>901</v>
      </c>
      <c r="C1306" s="611" t="s">
        <v>102</v>
      </c>
      <c r="D1306" s="1343" t="s">
        <v>4</v>
      </c>
      <c r="E1306" s="1345">
        <v>2.2000000000000002</v>
      </c>
      <c r="F1306" s="486">
        <f>'COMP AUX'!G1596</f>
        <v>3.42</v>
      </c>
      <c r="G1306" s="519">
        <f>TRUNC(E1306*F1306,2)</f>
        <v>7.52</v>
      </c>
      <c r="H1306" s="609"/>
    </row>
    <row r="1307" spans="1:8" s="337" customFormat="1" ht="18" customHeight="1">
      <c r="A1307" s="1341"/>
      <c r="B1307" s="1339"/>
      <c r="C1307" s="611" t="s">
        <v>89</v>
      </c>
      <c r="D1307" s="1344"/>
      <c r="E1307" s="1346"/>
      <c r="F1307" s="486">
        <f>'COMP AUX'!G1597</f>
        <v>2.17</v>
      </c>
      <c r="G1307" s="519">
        <f>TRUNC(E1306*F1307,2)</f>
        <v>4.7699999999999996</v>
      </c>
      <c r="H1307" s="609"/>
    </row>
    <row r="1308" spans="1:8" s="337" customFormat="1" ht="18" customHeight="1">
      <c r="A1308" s="1408">
        <v>91924</v>
      </c>
      <c r="B1308" s="1338" t="s">
        <v>902</v>
      </c>
      <c r="C1308" s="611" t="s">
        <v>102</v>
      </c>
      <c r="D1308" s="1343" t="s">
        <v>4</v>
      </c>
      <c r="E1308" s="1345">
        <v>8.4</v>
      </c>
      <c r="F1308" s="486">
        <f>'COMP AUX'!G1611</f>
        <v>0.63</v>
      </c>
      <c r="G1308" s="519">
        <f>TRUNC(E1308*F1308,2)</f>
        <v>5.29</v>
      </c>
      <c r="H1308" s="609"/>
    </row>
    <row r="1309" spans="1:8" s="337" customFormat="1" ht="18" customHeight="1">
      <c r="A1309" s="1309"/>
      <c r="B1309" s="1339"/>
      <c r="C1309" s="611" t="s">
        <v>89</v>
      </c>
      <c r="D1309" s="1344"/>
      <c r="E1309" s="1346"/>
      <c r="F1309" s="486">
        <f>'COMP AUX'!G1612</f>
        <v>1.03</v>
      </c>
      <c r="G1309" s="519">
        <f>TRUNC(E1308*F1309,2)</f>
        <v>8.65</v>
      </c>
      <c r="H1309" s="609"/>
    </row>
    <row r="1310" spans="1:8" s="337" customFormat="1" ht="11.25" customHeight="1">
      <c r="A1310" s="1408">
        <v>91937</v>
      </c>
      <c r="B1310" s="1338" t="s">
        <v>904</v>
      </c>
      <c r="C1310" s="611" t="s">
        <v>102</v>
      </c>
      <c r="D1310" s="1343" t="s">
        <v>5</v>
      </c>
      <c r="E1310" s="1345">
        <v>0.375</v>
      </c>
      <c r="F1310" s="486">
        <f>'COMP AUX'!G1640</f>
        <v>3.42</v>
      </c>
      <c r="G1310" s="519">
        <f>TRUNC(E1310*F1310,2)</f>
        <v>1.28</v>
      </c>
      <c r="H1310" s="609"/>
    </row>
    <row r="1311" spans="1:8" s="337" customFormat="1" ht="11.25" customHeight="1">
      <c r="A1311" s="1309"/>
      <c r="B1311" s="1342"/>
      <c r="C1311" s="611" t="s">
        <v>89</v>
      </c>
      <c r="D1311" s="1344"/>
      <c r="E1311" s="1346"/>
      <c r="F1311" s="486">
        <f>'COMP AUX'!G1641</f>
        <v>4.13</v>
      </c>
      <c r="G1311" s="519">
        <f>TRUNC(E1310*F1311,2)</f>
        <v>1.54</v>
      </c>
      <c r="H1311" s="609"/>
    </row>
    <row r="1312" spans="1:8" s="337" customFormat="1" ht="15.95" customHeight="1">
      <c r="A1312" s="1408">
        <v>91940</v>
      </c>
      <c r="B1312" s="1338" t="s">
        <v>905</v>
      </c>
      <c r="C1312" s="611" t="s">
        <v>102</v>
      </c>
      <c r="D1312" s="1343" t="s">
        <v>5</v>
      </c>
      <c r="E1312" s="1345">
        <v>1</v>
      </c>
      <c r="F1312" s="486">
        <f>'COMP AUX'!G1656</f>
        <v>6.65</v>
      </c>
      <c r="G1312" s="519">
        <f>TRUNC(E1312*F1312,2)</f>
        <v>6.65</v>
      </c>
      <c r="H1312" s="609"/>
    </row>
    <row r="1313" spans="1:8" s="337" customFormat="1" ht="15.95" customHeight="1">
      <c r="A1313" s="1309"/>
      <c r="B1313" s="1342"/>
      <c r="C1313" s="611" t="s">
        <v>89</v>
      </c>
      <c r="D1313" s="1344"/>
      <c r="E1313" s="1346"/>
      <c r="F1313" s="486">
        <f>'COMP AUX'!G1657</f>
        <v>4.1800000000000006</v>
      </c>
      <c r="G1313" s="519">
        <f>TRUNC(E1312*F1313,2)</f>
        <v>4.18</v>
      </c>
      <c r="H1313" s="609"/>
    </row>
    <row r="1314" spans="1:8" s="337" customFormat="1" ht="15.95" customHeight="1">
      <c r="A1314" s="1408">
        <v>91953</v>
      </c>
      <c r="B1314" s="1338" t="s">
        <v>1055</v>
      </c>
      <c r="C1314" s="611" t="s">
        <v>102</v>
      </c>
      <c r="D1314" s="1343" t="s">
        <v>5</v>
      </c>
      <c r="E1314" s="1345">
        <v>1</v>
      </c>
      <c r="F1314" s="486">
        <f>'COMP AUX'!G1709</f>
        <v>9.48</v>
      </c>
      <c r="G1314" s="519">
        <f>TRUNC(E1314*F1314,2)</f>
        <v>9.48</v>
      </c>
      <c r="H1314" s="609"/>
    </row>
    <row r="1315" spans="1:8" s="337" customFormat="1" ht="15.95" customHeight="1">
      <c r="A1315" s="1309"/>
      <c r="B1315" s="1339"/>
      <c r="C1315" s="611" t="s">
        <v>89</v>
      </c>
      <c r="D1315" s="1344"/>
      <c r="E1315" s="1346"/>
      <c r="F1315" s="486">
        <f>'COMP AUX'!G1710</f>
        <v>13.55</v>
      </c>
      <c r="G1315" s="519">
        <f>TRUNC(E1314*F1315,2)</f>
        <v>13.55</v>
      </c>
      <c r="H1315" s="609"/>
    </row>
    <row r="1316" spans="1:8" s="337" customFormat="1" ht="15" customHeight="1">
      <c r="A1316" s="609"/>
      <c r="B1316" s="609"/>
      <c r="C1316" s="609"/>
      <c r="D1316" s="609"/>
      <c r="E1316" s="609"/>
      <c r="F1316" s="494" t="s">
        <v>92</v>
      </c>
      <c r="G1316" s="519">
        <f>G1298+G1300+G1302+G1304+G1306+G1308+G1310+G1312+G1314</f>
        <v>59.91</v>
      </c>
      <c r="H1316" s="609"/>
    </row>
    <row r="1317" spans="1:8" s="337" customFormat="1" ht="15" customHeight="1">
      <c r="A1317" s="609"/>
      <c r="B1317" s="609"/>
      <c r="C1317" s="609"/>
      <c r="D1317" s="609"/>
      <c r="E1317" s="609"/>
      <c r="F1317" s="494" t="s">
        <v>94</v>
      </c>
      <c r="G1317" s="519">
        <f>G1299+G1301+G1303+G1305+G1307+G1309+G1311+G1313+G1315</f>
        <v>45.97</v>
      </c>
      <c r="H1317" s="609"/>
    </row>
    <row r="1318" spans="1:8" s="337" customFormat="1" ht="15" customHeight="1">
      <c r="A1318" s="495" t="s">
        <v>96</v>
      </c>
      <c r="B1318" s="609"/>
      <c r="C1318" s="609"/>
      <c r="D1318" s="609"/>
      <c r="E1318" s="609"/>
      <c r="F1318" s="494" t="s">
        <v>95</v>
      </c>
      <c r="G1318" s="521">
        <f>SUM(G1316:G1317)</f>
        <v>105.88</v>
      </c>
      <c r="H1318" s="609"/>
    </row>
    <row r="1319" spans="1:8" s="337" customFormat="1" ht="15" customHeight="1">
      <c r="A1319" s="428" t="s">
        <v>97</v>
      </c>
      <c r="B1319" s="461">
        <f>G1318</f>
        <v>105.88</v>
      </c>
      <c r="C1319" s="609"/>
      <c r="D1319" s="609"/>
      <c r="E1319" s="609"/>
      <c r="F1319" s="139"/>
      <c r="G1319" s="139"/>
      <c r="H1319" s="609"/>
    </row>
    <row r="1320" spans="1:8" s="337" customFormat="1" ht="15" customHeight="1">
      <c r="A1320" s="455" t="s">
        <v>1936</v>
      </c>
      <c r="B1320" s="454"/>
      <c r="C1320" s="609"/>
      <c r="D1320" s="609"/>
      <c r="E1320" s="609"/>
      <c r="F1320" s="139"/>
      <c r="G1320" s="139"/>
      <c r="H1320" s="609"/>
    </row>
    <row r="1321" spans="1:8" s="337" customFormat="1" ht="15" customHeight="1">
      <c r="A1321" s="535" t="s">
        <v>1995</v>
      </c>
      <c r="B1321" s="454">
        <f>(B1319+B1320)*0.245</f>
        <v>25.9406</v>
      </c>
      <c r="C1321" s="609"/>
      <c r="D1321" s="609"/>
      <c r="E1321" s="609"/>
      <c r="F1321" s="139"/>
      <c r="G1321" s="139"/>
      <c r="H1321" s="609"/>
    </row>
    <row r="1322" spans="1:8" s="337" customFormat="1" ht="15" customHeight="1">
      <c r="A1322" s="428" t="s">
        <v>98</v>
      </c>
      <c r="B1322" s="462">
        <f>SUM(B1319:B1321)</f>
        <v>131.82059999999998</v>
      </c>
      <c r="C1322" s="609"/>
      <c r="D1322" s="609"/>
      <c r="E1322" s="609"/>
      <c r="F1322" s="139"/>
      <c r="G1322" s="139"/>
      <c r="H1322" s="490"/>
    </row>
    <row r="1323" spans="1:8" s="337" customFormat="1">
      <c r="A1323" s="429"/>
      <c r="B1323" s="430"/>
      <c r="C1323" s="431"/>
      <c r="D1323" s="429"/>
      <c r="E1323" s="430"/>
      <c r="F1323" s="430"/>
      <c r="G1323" s="430"/>
      <c r="H1323" s="429"/>
    </row>
    <row r="1324" spans="1:8" s="337" customFormat="1">
      <c r="B1324" s="334"/>
      <c r="C1324" s="336"/>
      <c r="E1324" s="334"/>
      <c r="F1324" s="334"/>
      <c r="G1324" s="334"/>
    </row>
    <row r="1325" spans="1:8" s="337" customFormat="1">
      <c r="A1325" s="130" t="s">
        <v>542</v>
      </c>
      <c r="B1325" s="565"/>
      <c r="C1325" s="565"/>
      <c r="D1325" s="565"/>
      <c r="E1325" s="334"/>
      <c r="F1325" s="334"/>
      <c r="G1325" s="334"/>
    </row>
    <row r="1326" spans="1:8" s="337" customFormat="1">
      <c r="A1326" s="148" t="s">
        <v>1028</v>
      </c>
      <c r="B1326" s="577"/>
      <c r="C1326" s="577"/>
      <c r="D1326" s="577"/>
      <c r="E1326" s="334"/>
      <c r="F1326" s="334"/>
      <c r="G1326" s="334"/>
    </row>
    <row r="1327" spans="1:8" s="337" customFormat="1" ht="31.5" customHeight="1">
      <c r="A1327" s="594" t="s">
        <v>959</v>
      </c>
      <c r="B1327" s="1355" t="s">
        <v>1029</v>
      </c>
      <c r="C1327" s="1355"/>
      <c r="D1327" s="1355"/>
      <c r="E1327" s="360" t="s">
        <v>822</v>
      </c>
      <c r="F1327" s="334"/>
      <c r="G1327" s="334"/>
    </row>
    <row r="1328" spans="1:8" s="337" customFormat="1" ht="26.25" customHeight="1">
      <c r="A1328" s="624" t="s">
        <v>30</v>
      </c>
      <c r="B1328" s="420" t="s">
        <v>19</v>
      </c>
      <c r="C1328" s="343" t="s">
        <v>82</v>
      </c>
      <c r="D1328" s="603" t="s">
        <v>79</v>
      </c>
      <c r="E1328" s="603" t="s">
        <v>83</v>
      </c>
      <c r="F1328" s="345" t="s">
        <v>84</v>
      </c>
      <c r="G1328" s="421" t="s">
        <v>85</v>
      </c>
      <c r="H1328" s="609"/>
    </row>
    <row r="1329" spans="1:8" s="337" customFormat="1" ht="18" customHeight="1">
      <c r="A1329" s="1340">
        <v>90447</v>
      </c>
      <c r="B1329" s="1338" t="s">
        <v>897</v>
      </c>
      <c r="C1329" s="611" t="s">
        <v>102</v>
      </c>
      <c r="D1329" s="1343" t="s">
        <v>4</v>
      </c>
      <c r="E1329" s="1345">
        <v>2.2000000000000002</v>
      </c>
      <c r="F1329" s="414">
        <f>'COMP AUX'!G1497</f>
        <v>3.74</v>
      </c>
      <c r="G1329" s="421">
        <f>TRUNC(E1329*F1329,2)</f>
        <v>8.2200000000000006</v>
      </c>
      <c r="H1329" s="609"/>
    </row>
    <row r="1330" spans="1:8" s="337" customFormat="1" ht="18" customHeight="1">
      <c r="A1330" s="1341"/>
      <c r="B1330" s="1339"/>
      <c r="C1330" s="611" t="s">
        <v>89</v>
      </c>
      <c r="D1330" s="1344"/>
      <c r="E1330" s="1346"/>
      <c r="F1330" s="414">
        <f>'COMP AUX'!G1498</f>
        <v>1.1299999999999999</v>
      </c>
      <c r="G1330" s="519">
        <f>TRUNC(E1329*F1330,2)</f>
        <v>2.48</v>
      </c>
      <c r="H1330" s="609"/>
    </row>
    <row r="1331" spans="1:8" s="337" customFormat="1" ht="18" customHeight="1">
      <c r="A1331" s="1340">
        <v>90456</v>
      </c>
      <c r="B1331" s="1338" t="s">
        <v>898</v>
      </c>
      <c r="C1331" s="611" t="s">
        <v>102</v>
      </c>
      <c r="D1331" s="1343" t="s">
        <v>5</v>
      </c>
      <c r="E1331" s="1345">
        <v>1</v>
      </c>
      <c r="F1331" s="486">
        <f>'COMP AUX'!G1510</f>
        <v>2.5</v>
      </c>
      <c r="G1331" s="519">
        <f>TRUNC(E1331*F1331,2)</f>
        <v>2.5</v>
      </c>
      <c r="H1331" s="609"/>
    </row>
    <row r="1332" spans="1:8" s="337" customFormat="1" ht="18" customHeight="1">
      <c r="A1332" s="1341"/>
      <c r="B1332" s="1339"/>
      <c r="C1332" s="611" t="s">
        <v>89</v>
      </c>
      <c r="D1332" s="1344"/>
      <c r="E1332" s="1346"/>
      <c r="F1332" s="486">
        <f>'COMP AUX'!G1511</f>
        <v>0.75</v>
      </c>
      <c r="G1332" s="519">
        <f>TRUNC(E1331*F1332,2)</f>
        <v>0.75</v>
      </c>
      <c r="H1332" s="609"/>
    </row>
    <row r="1333" spans="1:8" s="337" customFormat="1" ht="18" customHeight="1">
      <c r="A1333" s="1340">
        <v>90466</v>
      </c>
      <c r="B1333" s="1338" t="s">
        <v>899</v>
      </c>
      <c r="C1333" s="611" t="s">
        <v>102</v>
      </c>
      <c r="D1333" s="1343" t="s">
        <v>4</v>
      </c>
      <c r="E1333" s="1345">
        <v>2.2000000000000002</v>
      </c>
      <c r="F1333" s="486">
        <f>'COMP AUX'!G1525</f>
        <v>6.89</v>
      </c>
      <c r="G1333" s="519">
        <f>TRUNC(E1333*F1333,2)</f>
        <v>15.15</v>
      </c>
      <c r="H1333" s="609"/>
    </row>
    <row r="1334" spans="1:8" s="337" customFormat="1" ht="18" customHeight="1">
      <c r="A1334" s="1341"/>
      <c r="B1334" s="1339"/>
      <c r="C1334" s="611" t="s">
        <v>89</v>
      </c>
      <c r="D1334" s="1344"/>
      <c r="E1334" s="1346"/>
      <c r="F1334" s="486">
        <f>'COMP AUX'!G1526</f>
        <v>2.9800000000000004</v>
      </c>
      <c r="G1334" s="519">
        <f>TRUNC(E1333*F1334,2)</f>
        <v>6.55</v>
      </c>
      <c r="H1334" s="609"/>
    </row>
    <row r="1335" spans="1:8" s="337" customFormat="1" ht="18" customHeight="1">
      <c r="A1335" s="1340">
        <v>91842</v>
      </c>
      <c r="B1335" s="1338" t="s">
        <v>900</v>
      </c>
      <c r="C1335" s="611" t="s">
        <v>102</v>
      </c>
      <c r="D1335" s="1343" t="s">
        <v>4</v>
      </c>
      <c r="E1335" s="1345">
        <v>2</v>
      </c>
      <c r="F1335" s="486">
        <f>'COMP AUX'!G1582</f>
        <v>1.9100000000000001</v>
      </c>
      <c r="G1335" s="519">
        <f>TRUNC(E1335*F1335,2)</f>
        <v>3.82</v>
      </c>
      <c r="H1335" s="609"/>
    </row>
    <row r="1336" spans="1:8" s="337" customFormat="1" ht="18" customHeight="1">
      <c r="A1336" s="1341"/>
      <c r="B1336" s="1339"/>
      <c r="C1336" s="611" t="s">
        <v>89</v>
      </c>
      <c r="D1336" s="1344"/>
      <c r="E1336" s="1346"/>
      <c r="F1336" s="486">
        <f>'COMP AUX'!G1583</f>
        <v>1.7500000000000002</v>
      </c>
      <c r="G1336" s="519">
        <f>TRUNC(E1335*F1336,2)</f>
        <v>3.5</v>
      </c>
      <c r="H1336" s="609"/>
    </row>
    <row r="1337" spans="1:8" s="337" customFormat="1" ht="18" customHeight="1">
      <c r="A1337" s="1340">
        <v>91852</v>
      </c>
      <c r="B1337" s="1338" t="s">
        <v>901</v>
      </c>
      <c r="C1337" s="611" t="s">
        <v>102</v>
      </c>
      <c r="D1337" s="1343" t="s">
        <v>4</v>
      </c>
      <c r="E1337" s="1345">
        <v>2.2000000000000002</v>
      </c>
      <c r="F1337" s="486">
        <f>'COMP AUX'!G1596</f>
        <v>3.42</v>
      </c>
      <c r="G1337" s="519">
        <f>TRUNC(E1337*F1337,2)</f>
        <v>7.52</v>
      </c>
      <c r="H1337" s="609"/>
    </row>
    <row r="1338" spans="1:8" s="337" customFormat="1" ht="18" customHeight="1">
      <c r="A1338" s="1341"/>
      <c r="B1338" s="1339"/>
      <c r="C1338" s="611" t="s">
        <v>89</v>
      </c>
      <c r="D1338" s="1344"/>
      <c r="E1338" s="1346"/>
      <c r="F1338" s="486">
        <f>'COMP AUX'!G1597</f>
        <v>2.17</v>
      </c>
      <c r="G1338" s="519">
        <f>TRUNC(E1337*F1338,2)</f>
        <v>4.7699999999999996</v>
      </c>
      <c r="H1338" s="609"/>
    </row>
    <row r="1339" spans="1:8" s="337" customFormat="1" ht="18" customHeight="1">
      <c r="A1339" s="1408">
        <v>91926</v>
      </c>
      <c r="B1339" s="1338" t="s">
        <v>903</v>
      </c>
      <c r="C1339" s="611" t="s">
        <v>102</v>
      </c>
      <c r="D1339" s="1343" t="s">
        <v>4</v>
      </c>
      <c r="E1339" s="1345">
        <v>12.6</v>
      </c>
      <c r="F1339" s="486">
        <f>'COMP AUX'!G1626</f>
        <v>0.78</v>
      </c>
      <c r="G1339" s="519">
        <f>TRUNC(E1339*F1339,2)</f>
        <v>9.82</v>
      </c>
      <c r="H1339" s="609"/>
    </row>
    <row r="1340" spans="1:8" s="337" customFormat="1" ht="18" customHeight="1">
      <c r="A1340" s="1309"/>
      <c r="B1340" s="1342"/>
      <c r="C1340" s="611" t="s">
        <v>89</v>
      </c>
      <c r="D1340" s="1344"/>
      <c r="E1340" s="1346"/>
      <c r="F1340" s="486">
        <f>'COMP AUX'!G1627</f>
        <v>1.63</v>
      </c>
      <c r="G1340" s="519">
        <f>TRUNC(E1339*F1340,2)</f>
        <v>20.53</v>
      </c>
      <c r="H1340" s="609"/>
    </row>
    <row r="1341" spans="1:8" s="337" customFormat="1" ht="18" customHeight="1">
      <c r="A1341" s="1408">
        <v>91937</v>
      </c>
      <c r="B1341" s="1338" t="s">
        <v>904</v>
      </c>
      <c r="C1341" s="611" t="s">
        <v>102</v>
      </c>
      <c r="D1341" s="1343" t="s">
        <v>5</v>
      </c>
      <c r="E1341" s="1345">
        <v>0.375</v>
      </c>
      <c r="F1341" s="486">
        <f>'COMP AUX'!G1640</f>
        <v>3.42</v>
      </c>
      <c r="G1341" s="519">
        <f>TRUNC(E1341*F1341,2)</f>
        <v>1.28</v>
      </c>
      <c r="H1341" s="609"/>
    </row>
    <row r="1342" spans="1:8" s="337" customFormat="1" ht="18" customHeight="1">
      <c r="A1342" s="1309"/>
      <c r="B1342" s="1342"/>
      <c r="C1342" s="611" t="s">
        <v>89</v>
      </c>
      <c r="D1342" s="1344"/>
      <c r="E1342" s="1346"/>
      <c r="F1342" s="486">
        <f>'COMP AUX'!G1641</f>
        <v>4.13</v>
      </c>
      <c r="G1342" s="519">
        <f>TRUNC(E1341*F1342,2)</f>
        <v>1.54</v>
      </c>
      <c r="H1342" s="609"/>
    </row>
    <row r="1343" spans="1:8" s="337" customFormat="1" ht="20.100000000000001" customHeight="1">
      <c r="A1343" s="1408">
        <v>91940</v>
      </c>
      <c r="B1343" s="1338" t="s">
        <v>905</v>
      </c>
      <c r="C1343" s="611" t="s">
        <v>102</v>
      </c>
      <c r="D1343" s="1343" t="s">
        <v>5</v>
      </c>
      <c r="E1343" s="1345">
        <v>1</v>
      </c>
      <c r="F1343" s="486">
        <f>'COMP AUX'!G1656</f>
        <v>6.65</v>
      </c>
      <c r="G1343" s="519">
        <f>TRUNC(E1343*F1343,2)</f>
        <v>6.65</v>
      </c>
      <c r="H1343" s="609"/>
    </row>
    <row r="1344" spans="1:8" s="337" customFormat="1" ht="20.100000000000001" customHeight="1">
      <c r="A1344" s="1309"/>
      <c r="B1344" s="1342"/>
      <c r="C1344" s="611" t="s">
        <v>89</v>
      </c>
      <c r="D1344" s="1344"/>
      <c r="E1344" s="1346"/>
      <c r="F1344" s="486">
        <f>'COMP AUX'!G1657</f>
        <v>4.1800000000000006</v>
      </c>
      <c r="G1344" s="519">
        <f>TRUNC(E1343*F1344,2)</f>
        <v>4.18</v>
      </c>
      <c r="H1344" s="609"/>
    </row>
    <row r="1345" spans="1:8" s="337" customFormat="1" ht="20.100000000000001" customHeight="1">
      <c r="A1345" s="1408">
        <v>91996</v>
      </c>
      <c r="B1345" s="1338" t="s">
        <v>1030</v>
      </c>
      <c r="C1345" s="611" t="s">
        <v>102</v>
      </c>
      <c r="D1345" s="1343" t="s">
        <v>5</v>
      </c>
      <c r="E1345" s="1345">
        <v>1</v>
      </c>
      <c r="F1345" s="486">
        <f>'COMP AUX'!G1778</f>
        <v>11.1</v>
      </c>
      <c r="G1345" s="519">
        <f>TRUNC(E1345*F1345,2)</f>
        <v>11.1</v>
      </c>
      <c r="H1345" s="609"/>
    </row>
    <row r="1346" spans="1:8" s="337" customFormat="1" ht="20.100000000000001" customHeight="1">
      <c r="A1346" s="1309"/>
      <c r="B1346" s="1339"/>
      <c r="C1346" s="611" t="s">
        <v>89</v>
      </c>
      <c r="D1346" s="1344"/>
      <c r="E1346" s="1346"/>
      <c r="F1346" s="486">
        <f>'COMP AUX'!G1779</f>
        <v>10.7</v>
      </c>
      <c r="G1346" s="519">
        <f>TRUNC(E1345*F1346,2)</f>
        <v>10.7</v>
      </c>
      <c r="H1346" s="609"/>
    </row>
    <row r="1347" spans="1:8" s="337" customFormat="1" ht="14.1" customHeight="1">
      <c r="A1347" s="609"/>
      <c r="B1347" s="609"/>
      <c r="C1347" s="609"/>
      <c r="D1347" s="609"/>
      <c r="E1347" s="609"/>
      <c r="F1347" s="494" t="s">
        <v>92</v>
      </c>
      <c r="G1347" s="519">
        <f>G1329+G1331+G1333+G1335+G1337+G1339+G1341+G1343+G1345</f>
        <v>66.06</v>
      </c>
      <c r="H1347" s="609"/>
    </row>
    <row r="1348" spans="1:8" s="337" customFormat="1" ht="14.1" customHeight="1">
      <c r="A1348" s="609"/>
      <c r="B1348" s="609"/>
      <c r="C1348" s="609"/>
      <c r="D1348" s="609"/>
      <c r="E1348" s="609"/>
      <c r="F1348" s="494" t="s">
        <v>94</v>
      </c>
      <c r="G1348" s="519">
        <f>G1330+G1332+G1334+G1336+G1338+G1340+G1342+G1344+G1346</f>
        <v>55</v>
      </c>
      <c r="H1348" s="609"/>
    </row>
    <row r="1349" spans="1:8" s="337" customFormat="1" ht="14.1" customHeight="1">
      <c r="A1349" s="495" t="s">
        <v>96</v>
      </c>
      <c r="B1349" s="609"/>
      <c r="C1349" s="609"/>
      <c r="D1349" s="609"/>
      <c r="E1349" s="609"/>
      <c r="F1349" s="494" t="s">
        <v>95</v>
      </c>
      <c r="G1349" s="521">
        <f>SUM(G1347:G1348)</f>
        <v>121.06</v>
      </c>
      <c r="H1349" s="609"/>
    </row>
    <row r="1350" spans="1:8" s="337" customFormat="1" ht="14.1" customHeight="1">
      <c r="A1350" s="428" t="s">
        <v>97</v>
      </c>
      <c r="B1350" s="461">
        <f>G1349</f>
        <v>121.06</v>
      </c>
      <c r="C1350" s="609"/>
      <c r="D1350" s="609"/>
      <c r="E1350" s="609"/>
      <c r="F1350" s="139"/>
      <c r="G1350" s="139"/>
      <c r="H1350" s="609"/>
    </row>
    <row r="1351" spans="1:8" s="337" customFormat="1" ht="14.1" customHeight="1">
      <c r="A1351" s="455" t="s">
        <v>1936</v>
      </c>
      <c r="B1351" s="454"/>
      <c r="C1351" s="609"/>
      <c r="D1351" s="609"/>
      <c r="E1351" s="609"/>
      <c r="F1351" s="139"/>
      <c r="G1351" s="139"/>
      <c r="H1351" s="609"/>
    </row>
    <row r="1352" spans="1:8" s="337" customFormat="1" ht="14.1" customHeight="1">
      <c r="A1352" s="535" t="s">
        <v>1995</v>
      </c>
      <c r="B1352" s="454">
        <f>(B1350+B1351)*0.245</f>
        <v>29.659700000000001</v>
      </c>
      <c r="C1352" s="609"/>
      <c r="D1352" s="609"/>
      <c r="E1352" s="609"/>
      <c r="F1352" s="139"/>
      <c r="G1352" s="139"/>
      <c r="H1352" s="609"/>
    </row>
    <row r="1353" spans="1:8" s="337" customFormat="1" ht="14.1" customHeight="1">
      <c r="A1353" s="428" t="s">
        <v>98</v>
      </c>
      <c r="B1353" s="462">
        <f>SUM(B1350:B1352)</f>
        <v>150.71969999999999</v>
      </c>
      <c r="C1353" s="609"/>
      <c r="D1353" s="609"/>
      <c r="E1353" s="609"/>
      <c r="F1353" s="139"/>
      <c r="G1353" s="139"/>
      <c r="H1353" s="490"/>
    </row>
    <row r="1354" spans="1:8" s="337" customFormat="1">
      <c r="A1354" s="429"/>
      <c r="B1354" s="430"/>
      <c r="C1354" s="431"/>
      <c r="D1354" s="429"/>
      <c r="E1354" s="430"/>
      <c r="F1354" s="430"/>
      <c r="G1354" s="430"/>
      <c r="H1354" s="429"/>
    </row>
    <row r="1355" spans="1:8" s="337" customFormat="1">
      <c r="B1355" s="334"/>
      <c r="C1355" s="336"/>
      <c r="E1355" s="334"/>
      <c r="F1355" s="334"/>
      <c r="G1355" s="334"/>
    </row>
    <row r="1356" spans="1:8" s="337" customFormat="1">
      <c r="A1356" s="130" t="s">
        <v>542</v>
      </c>
      <c r="B1356" s="565"/>
      <c r="C1356" s="565"/>
      <c r="D1356" s="565"/>
      <c r="E1356" s="334"/>
      <c r="F1356" s="334"/>
      <c r="G1356" s="334"/>
    </row>
    <row r="1357" spans="1:8" s="337" customFormat="1" ht="13.5" customHeight="1">
      <c r="A1357" s="148" t="s">
        <v>1041</v>
      </c>
      <c r="B1357" s="577"/>
      <c r="C1357" s="577"/>
      <c r="D1357" s="577"/>
      <c r="E1357" s="334"/>
      <c r="F1357" s="334"/>
      <c r="G1357" s="334"/>
    </row>
    <row r="1358" spans="1:8" s="337" customFormat="1" ht="27" customHeight="1">
      <c r="A1358" s="594" t="s">
        <v>959</v>
      </c>
      <c r="B1358" s="1355" t="s">
        <v>1042</v>
      </c>
      <c r="C1358" s="1355"/>
      <c r="D1358" s="1355"/>
      <c r="E1358" s="360" t="s">
        <v>822</v>
      </c>
      <c r="F1358" s="334"/>
      <c r="G1358" s="334"/>
    </row>
    <row r="1359" spans="1:8" s="337" customFormat="1" ht="28.5" customHeight="1">
      <c r="A1359" s="624" t="s">
        <v>30</v>
      </c>
      <c r="B1359" s="420" t="s">
        <v>19</v>
      </c>
      <c r="C1359" s="343" t="s">
        <v>82</v>
      </c>
      <c r="D1359" s="603" t="s">
        <v>79</v>
      </c>
      <c r="E1359" s="603" t="s">
        <v>83</v>
      </c>
      <c r="F1359" s="345" t="s">
        <v>84</v>
      </c>
      <c r="G1359" s="421" t="s">
        <v>85</v>
      </c>
      <c r="H1359" s="609"/>
    </row>
    <row r="1360" spans="1:8" s="337" customFormat="1" ht="18" customHeight="1">
      <c r="A1360" s="1340">
        <v>90447</v>
      </c>
      <c r="B1360" s="1338" t="s">
        <v>897</v>
      </c>
      <c r="C1360" s="611" t="s">
        <v>102</v>
      </c>
      <c r="D1360" s="1343" t="s">
        <v>4</v>
      </c>
      <c r="E1360" s="1345">
        <v>2.2000000000000002</v>
      </c>
      <c r="F1360" s="414">
        <f>'COMP AUX'!G1497</f>
        <v>3.74</v>
      </c>
      <c r="G1360" s="421">
        <f>TRUNC(E1360*F1360,2)</f>
        <v>8.2200000000000006</v>
      </c>
      <c r="H1360" s="609"/>
    </row>
    <row r="1361" spans="1:8" s="337" customFormat="1" ht="18" customHeight="1">
      <c r="A1361" s="1341"/>
      <c r="B1361" s="1339"/>
      <c r="C1361" s="611" t="s">
        <v>89</v>
      </c>
      <c r="D1361" s="1344"/>
      <c r="E1361" s="1346"/>
      <c r="F1361" s="414">
        <f>'COMP AUX'!G1498</f>
        <v>1.1299999999999999</v>
      </c>
      <c r="G1361" s="519">
        <f>TRUNC(E1360*F1361,2)</f>
        <v>2.48</v>
      </c>
      <c r="H1361" s="609"/>
    </row>
    <row r="1362" spans="1:8" s="337" customFormat="1" ht="18" customHeight="1">
      <c r="A1362" s="1340">
        <v>90456</v>
      </c>
      <c r="B1362" s="1338" t="s">
        <v>898</v>
      </c>
      <c r="C1362" s="611" t="s">
        <v>102</v>
      </c>
      <c r="D1362" s="1343" t="s">
        <v>5</v>
      </c>
      <c r="E1362" s="1345">
        <v>1</v>
      </c>
      <c r="F1362" s="486">
        <f>'COMP AUX'!G1510</f>
        <v>2.5</v>
      </c>
      <c r="G1362" s="519">
        <f>TRUNC(E1362*F1362,2)</f>
        <v>2.5</v>
      </c>
      <c r="H1362" s="609"/>
    </row>
    <row r="1363" spans="1:8" s="337" customFormat="1" ht="18" customHeight="1">
      <c r="A1363" s="1341"/>
      <c r="B1363" s="1339"/>
      <c r="C1363" s="611" t="s">
        <v>89</v>
      </c>
      <c r="D1363" s="1344"/>
      <c r="E1363" s="1346"/>
      <c r="F1363" s="486">
        <f>'COMP AUX'!G1511</f>
        <v>0.75</v>
      </c>
      <c r="G1363" s="519">
        <f>TRUNC(E1362*F1363,2)</f>
        <v>0.75</v>
      </c>
      <c r="H1363" s="609"/>
    </row>
    <row r="1364" spans="1:8" s="337" customFormat="1" ht="18" customHeight="1">
      <c r="A1364" s="1340">
        <v>90466</v>
      </c>
      <c r="B1364" s="1338" t="s">
        <v>899</v>
      </c>
      <c r="C1364" s="611" t="s">
        <v>102</v>
      </c>
      <c r="D1364" s="1343" t="s">
        <v>4</v>
      </c>
      <c r="E1364" s="1345">
        <v>2.2000000000000002</v>
      </c>
      <c r="F1364" s="486">
        <f>'COMP AUX'!G1525</f>
        <v>6.89</v>
      </c>
      <c r="G1364" s="519">
        <f>TRUNC(E1364*F1364,2)</f>
        <v>15.15</v>
      </c>
      <c r="H1364" s="609"/>
    </row>
    <row r="1365" spans="1:8" s="337" customFormat="1" ht="18" customHeight="1">
      <c r="A1365" s="1341"/>
      <c r="B1365" s="1339"/>
      <c r="C1365" s="611" t="s">
        <v>89</v>
      </c>
      <c r="D1365" s="1344"/>
      <c r="E1365" s="1346"/>
      <c r="F1365" s="486">
        <f>'COMP AUX'!G1526</f>
        <v>2.9800000000000004</v>
      </c>
      <c r="G1365" s="519">
        <f>TRUNC(E1364*F1365,2)</f>
        <v>6.55</v>
      </c>
      <c r="H1365" s="609"/>
    </row>
    <row r="1366" spans="1:8" s="337" customFormat="1" ht="18" customHeight="1">
      <c r="A1366" s="1340">
        <v>91842</v>
      </c>
      <c r="B1366" s="1338" t="s">
        <v>900</v>
      </c>
      <c r="C1366" s="611" t="s">
        <v>102</v>
      </c>
      <c r="D1366" s="1343" t="s">
        <v>4</v>
      </c>
      <c r="E1366" s="1345">
        <v>2</v>
      </c>
      <c r="F1366" s="486">
        <f>'COMP AUX'!G1582</f>
        <v>1.9100000000000001</v>
      </c>
      <c r="G1366" s="519">
        <f>TRUNC(E1366*F1366,2)</f>
        <v>3.82</v>
      </c>
      <c r="H1366" s="609"/>
    </row>
    <row r="1367" spans="1:8" s="337" customFormat="1" ht="18" customHeight="1">
      <c r="A1367" s="1341"/>
      <c r="B1367" s="1339"/>
      <c r="C1367" s="611" t="s">
        <v>89</v>
      </c>
      <c r="D1367" s="1344"/>
      <c r="E1367" s="1346"/>
      <c r="F1367" s="486">
        <f>'COMP AUX'!G1583</f>
        <v>1.7500000000000002</v>
      </c>
      <c r="G1367" s="519">
        <f>TRUNC(E1366*F1367,2)</f>
        <v>3.5</v>
      </c>
      <c r="H1367" s="609"/>
    </row>
    <row r="1368" spans="1:8" s="337" customFormat="1" ht="18" customHeight="1">
      <c r="A1368" s="1340">
        <v>91852</v>
      </c>
      <c r="B1368" s="1338" t="s">
        <v>901</v>
      </c>
      <c r="C1368" s="611" t="s">
        <v>102</v>
      </c>
      <c r="D1368" s="1343" t="s">
        <v>4</v>
      </c>
      <c r="E1368" s="1345">
        <v>2.2000000000000002</v>
      </c>
      <c r="F1368" s="486">
        <f>'COMP AUX'!G1596</f>
        <v>3.42</v>
      </c>
      <c r="G1368" s="519">
        <f>TRUNC(E1368*F1368,2)</f>
        <v>7.52</v>
      </c>
      <c r="H1368" s="609"/>
    </row>
    <row r="1369" spans="1:8" s="337" customFormat="1" ht="18" customHeight="1">
      <c r="A1369" s="1341"/>
      <c r="B1369" s="1339"/>
      <c r="C1369" s="611" t="s">
        <v>89</v>
      </c>
      <c r="D1369" s="1344"/>
      <c r="E1369" s="1346"/>
      <c r="F1369" s="486">
        <f>'COMP AUX'!G1597</f>
        <v>2.17</v>
      </c>
      <c r="G1369" s="519">
        <f>TRUNC(E1368*F1369,2)</f>
        <v>4.7699999999999996</v>
      </c>
      <c r="H1369" s="609"/>
    </row>
    <row r="1370" spans="1:8" s="337" customFormat="1" ht="18" customHeight="1">
      <c r="A1370" s="1408">
        <v>91926</v>
      </c>
      <c r="B1370" s="1338" t="s">
        <v>903</v>
      </c>
      <c r="C1370" s="611" t="s">
        <v>102</v>
      </c>
      <c r="D1370" s="1343" t="s">
        <v>4</v>
      </c>
      <c r="E1370" s="1345">
        <v>12.6</v>
      </c>
      <c r="F1370" s="486">
        <f>'COMP AUX'!G1626</f>
        <v>0.78</v>
      </c>
      <c r="G1370" s="519">
        <f>TRUNC(E1370*F1370,2)</f>
        <v>9.82</v>
      </c>
      <c r="H1370" s="609"/>
    </row>
    <row r="1371" spans="1:8" s="337" customFormat="1" ht="18" customHeight="1">
      <c r="A1371" s="1309"/>
      <c r="B1371" s="1342"/>
      <c r="C1371" s="611" t="s">
        <v>89</v>
      </c>
      <c r="D1371" s="1344"/>
      <c r="E1371" s="1346"/>
      <c r="F1371" s="486">
        <f>'COMP AUX'!G1627</f>
        <v>1.63</v>
      </c>
      <c r="G1371" s="519">
        <f>TRUNC(E1370*F1371,2)</f>
        <v>20.53</v>
      </c>
      <c r="H1371" s="609"/>
    </row>
    <row r="1372" spans="1:8" s="337" customFormat="1" ht="18" customHeight="1">
      <c r="A1372" s="1408">
        <v>91937</v>
      </c>
      <c r="B1372" s="1338" t="s">
        <v>904</v>
      </c>
      <c r="C1372" s="611" t="s">
        <v>102</v>
      </c>
      <c r="D1372" s="1343" t="s">
        <v>5</v>
      </c>
      <c r="E1372" s="1345">
        <v>0.375</v>
      </c>
      <c r="F1372" s="486">
        <f>'COMP AUX'!G1640</f>
        <v>3.42</v>
      </c>
      <c r="G1372" s="519">
        <f>TRUNC(E1372*F1372,2)</f>
        <v>1.28</v>
      </c>
      <c r="H1372" s="609"/>
    </row>
    <row r="1373" spans="1:8" s="337" customFormat="1" ht="18" customHeight="1">
      <c r="A1373" s="1309"/>
      <c r="B1373" s="1342"/>
      <c r="C1373" s="611" t="s">
        <v>89</v>
      </c>
      <c r="D1373" s="1344"/>
      <c r="E1373" s="1346"/>
      <c r="F1373" s="486">
        <f>'COMP AUX'!G1641</f>
        <v>4.13</v>
      </c>
      <c r="G1373" s="519">
        <f>TRUNC(E1372*F1373,2)</f>
        <v>1.54</v>
      </c>
      <c r="H1373" s="609"/>
    </row>
    <row r="1374" spans="1:8" s="337" customFormat="1" ht="18" customHeight="1">
      <c r="A1374" s="1408">
        <v>91940</v>
      </c>
      <c r="B1374" s="1338" t="s">
        <v>905</v>
      </c>
      <c r="C1374" s="611" t="s">
        <v>102</v>
      </c>
      <c r="D1374" s="1343" t="s">
        <v>5</v>
      </c>
      <c r="E1374" s="1345">
        <v>1</v>
      </c>
      <c r="F1374" s="486">
        <f>'COMP AUX'!G1656</f>
        <v>6.65</v>
      </c>
      <c r="G1374" s="519">
        <f>TRUNC(E1374*F1374,2)</f>
        <v>6.65</v>
      </c>
      <c r="H1374" s="609"/>
    </row>
    <row r="1375" spans="1:8" s="337" customFormat="1" ht="18" customHeight="1">
      <c r="A1375" s="1309"/>
      <c r="B1375" s="1342"/>
      <c r="C1375" s="611" t="s">
        <v>89</v>
      </c>
      <c r="D1375" s="1344"/>
      <c r="E1375" s="1346"/>
      <c r="F1375" s="486">
        <f>'COMP AUX'!G1657</f>
        <v>4.1800000000000006</v>
      </c>
      <c r="G1375" s="519">
        <f>TRUNC(E1374*F1375,2)</f>
        <v>4.18</v>
      </c>
      <c r="H1375" s="609"/>
    </row>
    <row r="1376" spans="1:8" s="337" customFormat="1" ht="18" customHeight="1">
      <c r="A1376" s="1408">
        <v>91997</v>
      </c>
      <c r="B1376" s="1338" t="s">
        <v>1043</v>
      </c>
      <c r="C1376" s="611" t="s">
        <v>102</v>
      </c>
      <c r="D1376" s="1343" t="s">
        <v>5</v>
      </c>
      <c r="E1376" s="1345">
        <v>1</v>
      </c>
      <c r="F1376" s="486">
        <f>'COMP AUX'!G1791</f>
        <v>11.1</v>
      </c>
      <c r="G1376" s="519">
        <f>TRUNC(E1376*F1376,2)</f>
        <v>11.1</v>
      </c>
      <c r="H1376" s="609"/>
    </row>
    <row r="1377" spans="1:8" s="337" customFormat="1" ht="18" customHeight="1">
      <c r="A1377" s="1309"/>
      <c r="B1377" s="1339"/>
      <c r="C1377" s="611" t="s">
        <v>89</v>
      </c>
      <c r="D1377" s="1344"/>
      <c r="E1377" s="1346"/>
      <c r="F1377" s="486">
        <f>'COMP AUX'!G1792</f>
        <v>11.96</v>
      </c>
      <c r="G1377" s="519">
        <f>TRUNC(E1376*F1377,2)</f>
        <v>11.96</v>
      </c>
      <c r="H1377" s="609"/>
    </row>
    <row r="1378" spans="1:8" s="337" customFormat="1" ht="15.95" customHeight="1">
      <c r="A1378" s="609"/>
      <c r="B1378" s="609"/>
      <c r="C1378" s="609"/>
      <c r="D1378" s="609"/>
      <c r="E1378" s="609"/>
      <c r="F1378" s="494" t="s">
        <v>92</v>
      </c>
      <c r="G1378" s="519">
        <f>G1360+G1362+G1364+G1366+G1368+G1370+G1372+G1374+G1376</f>
        <v>66.06</v>
      </c>
      <c r="H1378" s="609"/>
    </row>
    <row r="1379" spans="1:8" s="337" customFormat="1" ht="15.95" customHeight="1">
      <c r="A1379" s="609"/>
      <c r="B1379" s="609"/>
      <c r="C1379" s="609"/>
      <c r="D1379" s="609"/>
      <c r="E1379" s="609"/>
      <c r="F1379" s="494" t="s">
        <v>94</v>
      </c>
      <c r="G1379" s="519">
        <f>G1361+G1363+G1365+G1367+G1369+G1371+G1373+G1375+G1377</f>
        <v>56.26</v>
      </c>
      <c r="H1379" s="609"/>
    </row>
    <row r="1380" spans="1:8" s="337" customFormat="1" ht="15.95" customHeight="1">
      <c r="A1380" s="495" t="s">
        <v>96</v>
      </c>
      <c r="B1380" s="609"/>
      <c r="C1380" s="609"/>
      <c r="D1380" s="609"/>
      <c r="E1380" s="609"/>
      <c r="F1380" s="494" t="s">
        <v>95</v>
      </c>
      <c r="G1380" s="521">
        <f>SUM(G1378:G1379)</f>
        <v>122.32</v>
      </c>
      <c r="H1380" s="609"/>
    </row>
    <row r="1381" spans="1:8" s="337" customFormat="1" ht="15.95" customHeight="1">
      <c r="A1381" s="428" t="s">
        <v>97</v>
      </c>
      <c r="B1381" s="461">
        <f>G1380</f>
        <v>122.32</v>
      </c>
      <c r="C1381" s="609"/>
      <c r="D1381" s="609"/>
      <c r="E1381" s="609"/>
      <c r="F1381" s="139"/>
      <c r="G1381" s="139"/>
      <c r="H1381" s="609"/>
    </row>
    <row r="1382" spans="1:8" s="337" customFormat="1" ht="15.95" customHeight="1">
      <c r="A1382" s="455" t="s">
        <v>1936</v>
      </c>
      <c r="B1382" s="454"/>
      <c r="C1382" s="609"/>
      <c r="D1382" s="609"/>
      <c r="E1382" s="609"/>
      <c r="F1382" s="139"/>
      <c r="G1382" s="139"/>
      <c r="H1382" s="609"/>
    </row>
    <row r="1383" spans="1:8" s="337" customFormat="1" ht="15.95" customHeight="1">
      <c r="A1383" s="535" t="s">
        <v>1995</v>
      </c>
      <c r="B1383" s="454">
        <f>(B1381+B1382)*0.245</f>
        <v>29.968399999999999</v>
      </c>
      <c r="C1383" s="609"/>
      <c r="D1383" s="609"/>
      <c r="E1383" s="609"/>
      <c r="F1383" s="139"/>
      <c r="G1383" s="139"/>
      <c r="H1383" s="609"/>
    </row>
    <row r="1384" spans="1:8" s="337" customFormat="1" ht="15.95" customHeight="1">
      <c r="A1384" s="428" t="s">
        <v>98</v>
      </c>
      <c r="B1384" s="462">
        <f>SUM(B1381:B1383)</f>
        <v>152.2884</v>
      </c>
      <c r="C1384" s="609"/>
      <c r="D1384" s="609"/>
      <c r="E1384" s="609"/>
      <c r="F1384" s="139"/>
      <c r="G1384" s="139"/>
      <c r="H1384" s="490"/>
    </row>
    <row r="1385" spans="1:8" s="337" customFormat="1">
      <c r="A1385" s="429"/>
      <c r="B1385" s="430"/>
      <c r="C1385" s="431"/>
      <c r="D1385" s="429"/>
      <c r="E1385" s="430"/>
      <c r="F1385" s="430"/>
      <c r="G1385" s="430"/>
      <c r="H1385" s="429"/>
    </row>
    <row r="1386" spans="1:8" s="337" customFormat="1">
      <c r="B1386" s="334"/>
      <c r="C1386" s="336"/>
      <c r="E1386" s="334"/>
      <c r="F1386" s="334"/>
      <c r="G1386" s="334"/>
    </row>
    <row r="1387" spans="1:8" s="337" customFormat="1">
      <c r="A1387" s="130" t="s">
        <v>542</v>
      </c>
      <c r="B1387" s="334"/>
      <c r="C1387" s="336"/>
      <c r="E1387" s="334"/>
      <c r="F1387" s="334"/>
      <c r="G1387" s="334"/>
    </row>
    <row r="1388" spans="1:8" s="337" customFormat="1">
      <c r="A1388" s="448" t="s">
        <v>1067</v>
      </c>
      <c r="B1388" s="446"/>
      <c r="C1388" s="446"/>
      <c r="D1388" s="446"/>
      <c r="E1388" s="446"/>
      <c r="F1388" s="446"/>
      <c r="G1388" s="446"/>
      <c r="H1388" s="446"/>
    </row>
    <row r="1389" spans="1:8" s="337" customFormat="1" ht="24.75" customHeight="1">
      <c r="A1389" s="448" t="s">
        <v>924</v>
      </c>
      <c r="B1389" s="650" t="s">
        <v>1066</v>
      </c>
      <c r="C1389" s="648" t="s">
        <v>822</v>
      </c>
      <c r="D1389" s="650"/>
      <c r="F1389" s="446"/>
      <c r="G1389" s="446"/>
      <c r="H1389" s="446"/>
    </row>
    <row r="1390" spans="1:8" s="337" customFormat="1" ht="22.5">
      <c r="A1390" s="624" t="s">
        <v>30</v>
      </c>
      <c r="B1390" s="420" t="s">
        <v>19</v>
      </c>
      <c r="C1390" s="343" t="s">
        <v>82</v>
      </c>
      <c r="D1390" s="603" t="s">
        <v>79</v>
      </c>
      <c r="E1390" s="603" t="s">
        <v>83</v>
      </c>
      <c r="F1390" s="345" t="s">
        <v>84</v>
      </c>
      <c r="G1390" s="421" t="s">
        <v>85</v>
      </c>
      <c r="H1390" s="130"/>
    </row>
    <row r="1391" spans="1:8" s="337" customFormat="1" ht="22.5">
      <c r="A1391" s="470">
        <v>39385</v>
      </c>
      <c r="B1391" s="644" t="s">
        <v>1068</v>
      </c>
      <c r="C1391" s="441" t="s">
        <v>89</v>
      </c>
      <c r="D1391" s="441" t="s">
        <v>344</v>
      </c>
      <c r="E1391" s="450">
        <v>1</v>
      </c>
      <c r="F1391" s="645">
        <v>75.14</v>
      </c>
      <c r="G1391" s="519">
        <f>TRUNC(E1391*F1391,2)</f>
        <v>75.14</v>
      </c>
      <c r="H1391" s="608"/>
    </row>
    <row r="1392" spans="1:8" s="337" customFormat="1" ht="14.1" customHeight="1">
      <c r="A1392" s="1397">
        <v>88247</v>
      </c>
      <c r="B1392" s="1395" t="s">
        <v>422</v>
      </c>
      <c r="C1392" s="441" t="s">
        <v>102</v>
      </c>
      <c r="D1392" s="1399" t="s">
        <v>345</v>
      </c>
      <c r="E1392" s="1425">
        <v>0.2833</v>
      </c>
      <c r="F1392" s="645">
        <f>'COMP AUX'!G287</f>
        <v>10.98</v>
      </c>
      <c r="G1392" s="646">
        <f>TRUNC(E1392*F1392,2)</f>
        <v>3.11</v>
      </c>
      <c r="H1392" s="608"/>
    </row>
    <row r="1393" spans="1:8" s="337" customFormat="1" ht="14.1" customHeight="1">
      <c r="A1393" s="1350"/>
      <c r="B1393" s="1342"/>
      <c r="C1393" s="441" t="s">
        <v>89</v>
      </c>
      <c r="D1393" s="1400"/>
      <c r="E1393" s="1426"/>
      <c r="F1393" s="645">
        <f>'COMP AUX'!G288</f>
        <v>4.5600000000000005</v>
      </c>
      <c r="G1393" s="646">
        <f>TRUNC(E1392*F1393,2)</f>
        <v>1.29</v>
      </c>
      <c r="H1393" s="608"/>
    </row>
    <row r="1394" spans="1:8" s="337" customFormat="1" ht="14.1" customHeight="1">
      <c r="A1394" s="1397">
        <v>88264</v>
      </c>
      <c r="B1394" s="1395" t="s">
        <v>249</v>
      </c>
      <c r="C1394" s="441" t="s">
        <v>102</v>
      </c>
      <c r="D1394" s="1399" t="s">
        <v>345</v>
      </c>
      <c r="E1394" s="1425">
        <v>0.69199999999999995</v>
      </c>
      <c r="F1394" s="645">
        <f>'COMP AUX'!G253</f>
        <v>15.639999999999999</v>
      </c>
      <c r="G1394" s="646">
        <f>TRUNC(E1394*F1394,2)</f>
        <v>10.82</v>
      </c>
      <c r="H1394" s="608"/>
    </row>
    <row r="1395" spans="1:8" s="337" customFormat="1" ht="14.1" customHeight="1">
      <c r="A1395" s="1398"/>
      <c r="B1395" s="1396"/>
      <c r="C1395" s="441" t="s">
        <v>89</v>
      </c>
      <c r="D1395" s="1400"/>
      <c r="E1395" s="1426"/>
      <c r="F1395" s="645">
        <f>'COMP AUX'!G254</f>
        <v>4.5600000000000005</v>
      </c>
      <c r="G1395" s="646">
        <f>TRUNC(E1394*F1395,2)</f>
        <v>3.15</v>
      </c>
      <c r="H1395" s="608"/>
    </row>
    <row r="1396" spans="1:8" s="337" customFormat="1" ht="18" customHeight="1">
      <c r="A1396" s="608"/>
      <c r="B1396" s="608"/>
      <c r="C1396" s="608"/>
      <c r="D1396" s="608"/>
      <c r="E1396" s="608"/>
      <c r="F1396" s="643" t="s">
        <v>92</v>
      </c>
      <c r="G1396" s="646">
        <f>G1392+G1394</f>
        <v>13.93</v>
      </c>
      <c r="H1396" s="608"/>
    </row>
    <row r="1397" spans="1:8" s="337" customFormat="1" ht="18" customHeight="1">
      <c r="A1397" s="608"/>
      <c r="B1397" s="608"/>
      <c r="C1397" s="608"/>
      <c r="D1397" s="608"/>
      <c r="E1397" s="608"/>
      <c r="F1397" s="643" t="s">
        <v>94</v>
      </c>
      <c r="G1397" s="646">
        <f>G1391+G1393+G1395</f>
        <v>79.580000000000013</v>
      </c>
      <c r="H1397" s="608"/>
    </row>
    <row r="1398" spans="1:8" s="337" customFormat="1" ht="18" customHeight="1">
      <c r="A1398" s="495" t="s">
        <v>96</v>
      </c>
      <c r="B1398" s="609"/>
      <c r="C1398" s="608"/>
      <c r="D1398" s="608"/>
      <c r="E1398" s="608"/>
      <c r="F1398" s="643" t="s">
        <v>95</v>
      </c>
      <c r="G1398" s="651">
        <f>SUM(G1396:G1397)</f>
        <v>93.510000000000019</v>
      </c>
      <c r="H1398" s="608"/>
    </row>
    <row r="1399" spans="1:8" s="337" customFormat="1" ht="18" customHeight="1">
      <c r="A1399" s="428" t="s">
        <v>97</v>
      </c>
      <c r="B1399" s="461">
        <f>G1398</f>
        <v>93.510000000000019</v>
      </c>
      <c r="C1399" s="608"/>
      <c r="D1399" s="608"/>
      <c r="E1399" s="608"/>
      <c r="F1399" s="608"/>
      <c r="G1399" s="608"/>
      <c r="H1399" s="608"/>
    </row>
    <row r="1400" spans="1:8" s="337" customFormat="1" ht="18" customHeight="1">
      <c r="A1400" s="455" t="s">
        <v>1936</v>
      </c>
      <c r="B1400" s="454"/>
      <c r="C1400" s="608"/>
      <c r="D1400" s="608"/>
      <c r="E1400" s="608"/>
      <c r="F1400" s="608"/>
      <c r="G1400" s="608"/>
      <c r="H1400" s="608"/>
    </row>
    <row r="1401" spans="1:8" s="337" customFormat="1" ht="18" customHeight="1">
      <c r="A1401" s="535" t="s">
        <v>1995</v>
      </c>
      <c r="B1401" s="454">
        <f>(B1399+B1400)*0.245</f>
        <v>22.909950000000006</v>
      </c>
      <c r="C1401" s="608"/>
      <c r="D1401" s="608"/>
      <c r="E1401" s="608"/>
      <c r="F1401" s="608"/>
      <c r="G1401" s="608"/>
      <c r="H1401" s="608"/>
    </row>
    <row r="1402" spans="1:8" s="337" customFormat="1" ht="18" customHeight="1">
      <c r="A1402" s="428" t="s">
        <v>98</v>
      </c>
      <c r="B1402" s="462">
        <f>SUM(B1399:B1401)</f>
        <v>116.41995000000003</v>
      </c>
      <c r="C1402" s="608"/>
      <c r="D1402" s="608"/>
      <c r="E1402" s="608"/>
      <c r="F1402" s="608"/>
      <c r="G1402" s="608"/>
      <c r="H1402" s="608"/>
    </row>
    <row r="1403" spans="1:8" s="337" customFormat="1">
      <c r="A1403" s="429"/>
      <c r="B1403" s="430"/>
      <c r="C1403" s="431"/>
      <c r="D1403" s="429"/>
      <c r="E1403" s="430"/>
      <c r="F1403" s="430"/>
      <c r="G1403" s="430"/>
      <c r="H1403" s="429"/>
    </row>
    <row r="1404" spans="1:8" s="337" customFormat="1">
      <c r="B1404" s="334"/>
      <c r="C1404" s="336"/>
      <c r="E1404" s="334"/>
      <c r="F1404" s="334"/>
      <c r="G1404" s="334"/>
    </row>
    <row r="1405" spans="1:8" s="337" customFormat="1" ht="15" customHeight="1">
      <c r="A1405" s="130" t="s">
        <v>542</v>
      </c>
      <c r="B1405" s="334"/>
      <c r="C1405" s="336"/>
      <c r="E1405" s="334"/>
      <c r="F1405" s="334"/>
      <c r="G1405" s="334"/>
    </row>
    <row r="1406" spans="1:8" s="337" customFormat="1" ht="16.5" customHeight="1">
      <c r="A1406" s="448" t="s">
        <v>1060</v>
      </c>
      <c r="B1406" s="446"/>
      <c r="C1406" s="446"/>
      <c r="D1406" s="446"/>
      <c r="E1406" s="446"/>
      <c r="F1406" s="446"/>
      <c r="G1406" s="446"/>
      <c r="H1406" s="446"/>
    </row>
    <row r="1407" spans="1:8" s="337" customFormat="1" ht="29.25" customHeight="1">
      <c r="A1407" s="448" t="s">
        <v>924</v>
      </c>
      <c r="B1407" s="1455" t="s">
        <v>1061</v>
      </c>
      <c r="C1407" s="1455"/>
      <c r="D1407" s="1455"/>
      <c r="E1407" s="648" t="s">
        <v>822</v>
      </c>
      <c r="F1407" s="446"/>
      <c r="G1407" s="446"/>
      <c r="H1407" s="446"/>
    </row>
    <row r="1408" spans="1:8" s="337" customFormat="1" ht="25.5" customHeight="1">
      <c r="A1408" s="624" t="s">
        <v>30</v>
      </c>
      <c r="B1408" s="420" t="s">
        <v>19</v>
      </c>
      <c r="C1408" s="343" t="s">
        <v>82</v>
      </c>
      <c r="D1408" s="603" t="s">
        <v>79</v>
      </c>
      <c r="E1408" s="603" t="s">
        <v>83</v>
      </c>
      <c r="F1408" s="345" t="s">
        <v>84</v>
      </c>
      <c r="G1408" s="421" t="s">
        <v>85</v>
      </c>
      <c r="H1408" s="130"/>
    </row>
    <row r="1409" spans="1:8" s="337" customFormat="1" ht="24" customHeight="1">
      <c r="A1409" s="445" t="s">
        <v>1062</v>
      </c>
      <c r="B1409" s="644" t="s">
        <v>1063</v>
      </c>
      <c r="C1409" s="441" t="s">
        <v>89</v>
      </c>
      <c r="D1409" s="441" t="s">
        <v>344</v>
      </c>
      <c r="E1409" s="450">
        <v>1</v>
      </c>
      <c r="F1409" s="645">
        <v>50.02</v>
      </c>
      <c r="G1409" s="519">
        <f>TRUNC(E1409*F1409,2)</f>
        <v>50.02</v>
      </c>
      <c r="H1409" s="153"/>
    </row>
    <row r="1410" spans="1:8" s="337" customFormat="1" ht="15" customHeight="1">
      <c r="A1410" s="1397">
        <v>88247</v>
      </c>
      <c r="B1410" s="1395" t="s">
        <v>422</v>
      </c>
      <c r="C1410" s="441" t="s">
        <v>102</v>
      </c>
      <c r="D1410" s="1399" t="s">
        <v>345</v>
      </c>
      <c r="E1410" s="1425">
        <v>0.18329999999999999</v>
      </c>
      <c r="F1410" s="645">
        <f>'COMP AUX'!G287</f>
        <v>10.98</v>
      </c>
      <c r="G1410" s="646">
        <f>TRUNC(E1410*F1410,2)</f>
        <v>2.0099999999999998</v>
      </c>
      <c r="H1410" s="608"/>
    </row>
    <row r="1411" spans="1:8" s="337" customFormat="1" ht="15" customHeight="1">
      <c r="A1411" s="1350"/>
      <c r="B1411" s="1342"/>
      <c r="C1411" s="441" t="s">
        <v>89</v>
      </c>
      <c r="D1411" s="1400"/>
      <c r="E1411" s="1426"/>
      <c r="F1411" s="645">
        <f>'COMP AUX'!G288</f>
        <v>4.5600000000000005</v>
      </c>
      <c r="G1411" s="646">
        <f>TRUNC(E1410*F1411,2)</f>
        <v>0.83</v>
      </c>
      <c r="H1411" s="153"/>
    </row>
    <row r="1412" spans="1:8" s="337" customFormat="1" ht="15" customHeight="1">
      <c r="A1412" s="1397">
        <v>88264</v>
      </c>
      <c r="B1412" s="1395" t="s">
        <v>249</v>
      </c>
      <c r="C1412" s="441" t="s">
        <v>102</v>
      </c>
      <c r="D1412" s="1399" t="s">
        <v>345</v>
      </c>
      <c r="E1412" s="1425">
        <v>0.45179999999999998</v>
      </c>
      <c r="F1412" s="645">
        <f>'COMP AUX'!G253</f>
        <v>15.639999999999999</v>
      </c>
      <c r="G1412" s="646">
        <f>TRUNC(E1412*F1412,2)</f>
        <v>7.06</v>
      </c>
      <c r="H1412" s="608"/>
    </row>
    <row r="1413" spans="1:8" s="337" customFormat="1" ht="15" customHeight="1">
      <c r="A1413" s="1398"/>
      <c r="B1413" s="1396"/>
      <c r="C1413" s="441" t="s">
        <v>89</v>
      </c>
      <c r="D1413" s="1400"/>
      <c r="E1413" s="1426"/>
      <c r="F1413" s="645">
        <f>'COMP AUX'!G254</f>
        <v>4.5600000000000005</v>
      </c>
      <c r="G1413" s="646">
        <f>TRUNC(E1412*F1413,2)</f>
        <v>2.06</v>
      </c>
      <c r="H1413" s="153"/>
    </row>
    <row r="1414" spans="1:8" s="337" customFormat="1" ht="15" customHeight="1">
      <c r="A1414" s="153"/>
      <c r="B1414" s="153"/>
      <c r="C1414" s="153"/>
      <c r="D1414" s="153"/>
      <c r="E1414" s="153"/>
      <c r="F1414" s="643" t="s">
        <v>92</v>
      </c>
      <c r="G1414" s="646">
        <f>G1410+G1412</f>
        <v>9.07</v>
      </c>
      <c r="H1414" s="153"/>
    </row>
    <row r="1415" spans="1:8" s="337" customFormat="1" ht="15" customHeight="1">
      <c r="A1415" s="153"/>
      <c r="B1415" s="153"/>
      <c r="C1415" s="153"/>
      <c r="D1415" s="153"/>
      <c r="E1415" s="153"/>
      <c r="F1415" s="643" t="s">
        <v>94</v>
      </c>
      <c r="G1415" s="646">
        <f>G1409+G1411+G1413</f>
        <v>52.910000000000004</v>
      </c>
      <c r="H1415" s="153"/>
    </row>
    <row r="1416" spans="1:8" s="337" customFormat="1" ht="15" customHeight="1">
      <c r="A1416" s="495" t="s">
        <v>96</v>
      </c>
      <c r="B1416" s="609"/>
      <c r="C1416" s="153"/>
      <c r="D1416" s="153"/>
      <c r="E1416" s="153"/>
      <c r="F1416" s="643" t="s">
        <v>95</v>
      </c>
      <c r="G1416" s="647">
        <f>SUM(G1414:G1415)</f>
        <v>61.980000000000004</v>
      </c>
      <c r="H1416" s="153"/>
    </row>
    <row r="1417" spans="1:8" s="337" customFormat="1" ht="15" customHeight="1">
      <c r="A1417" s="428" t="s">
        <v>97</v>
      </c>
      <c r="B1417" s="461">
        <f>G1416</f>
        <v>61.980000000000004</v>
      </c>
      <c r="C1417" s="153"/>
      <c r="D1417" s="153"/>
      <c r="E1417" s="153"/>
      <c r="F1417" s="153"/>
      <c r="G1417" s="153"/>
      <c r="H1417" s="153"/>
    </row>
    <row r="1418" spans="1:8" s="337" customFormat="1" ht="15" customHeight="1">
      <c r="A1418" s="455" t="s">
        <v>1936</v>
      </c>
      <c r="B1418" s="454"/>
      <c r="C1418" s="153"/>
      <c r="D1418" s="153"/>
      <c r="E1418" s="153"/>
      <c r="F1418" s="153"/>
      <c r="G1418" s="153"/>
      <c r="H1418" s="153"/>
    </row>
    <row r="1419" spans="1:8" s="337" customFormat="1" ht="15" customHeight="1">
      <c r="A1419" s="535" t="s">
        <v>1995</v>
      </c>
      <c r="B1419" s="454">
        <f>(B1417+B1418)*0.245</f>
        <v>15.1851</v>
      </c>
      <c r="C1419" s="153"/>
      <c r="D1419" s="153"/>
      <c r="E1419" s="153"/>
      <c r="F1419" s="153"/>
      <c r="G1419" s="153"/>
      <c r="H1419" s="153"/>
    </row>
    <row r="1420" spans="1:8" s="337" customFormat="1" ht="15" customHeight="1">
      <c r="A1420" s="428" t="s">
        <v>98</v>
      </c>
      <c r="B1420" s="462">
        <f>SUM(B1417:B1419)</f>
        <v>77.16510000000001</v>
      </c>
      <c r="C1420" s="153"/>
      <c r="D1420" s="153"/>
      <c r="E1420" s="153"/>
      <c r="F1420" s="153"/>
      <c r="G1420" s="153"/>
      <c r="H1420" s="649"/>
    </row>
    <row r="1421" spans="1:8" s="337" customFormat="1">
      <c r="A1421" s="429"/>
      <c r="B1421" s="430"/>
      <c r="C1421" s="431"/>
      <c r="D1421" s="429"/>
      <c r="E1421" s="430"/>
      <c r="F1421" s="430"/>
      <c r="G1421" s="430"/>
      <c r="H1421" s="429"/>
    </row>
    <row r="1422" spans="1:8" s="337" customFormat="1">
      <c r="B1422" s="334"/>
      <c r="C1422" s="336"/>
      <c r="E1422" s="334"/>
      <c r="F1422" s="334"/>
      <c r="G1422" s="334"/>
    </row>
    <row r="1423" spans="1:8" s="337" customFormat="1">
      <c r="A1423" s="130" t="s">
        <v>542</v>
      </c>
      <c r="B1423" s="334"/>
      <c r="C1423" s="336"/>
      <c r="E1423" s="334"/>
      <c r="F1423" s="334"/>
      <c r="G1423" s="334"/>
    </row>
    <row r="1424" spans="1:8" s="337" customFormat="1">
      <c r="A1424" s="467" t="s">
        <v>1934</v>
      </c>
      <c r="B1424" s="468"/>
      <c r="C1424" s="468"/>
      <c r="D1424" s="468"/>
      <c r="E1424" s="468"/>
      <c r="F1424" s="468"/>
      <c r="G1424" s="468"/>
      <c r="H1424" s="468"/>
    </row>
    <row r="1425" spans="1:8" s="337" customFormat="1" ht="18.75" customHeight="1">
      <c r="A1425" s="924" t="s">
        <v>924</v>
      </c>
      <c r="B1425" s="505" t="s">
        <v>1935</v>
      </c>
      <c r="C1425" s="957" t="s">
        <v>346</v>
      </c>
      <c r="D1425" s="468"/>
      <c r="E1425" s="468"/>
      <c r="F1425" s="468"/>
      <c r="G1425" s="468"/>
      <c r="H1425" s="468"/>
    </row>
    <row r="1426" spans="1:8" s="337" customFormat="1" ht="22.5">
      <c r="A1426" s="913" t="s">
        <v>30</v>
      </c>
      <c r="B1426" s="420" t="s">
        <v>19</v>
      </c>
      <c r="C1426" s="343" t="s">
        <v>82</v>
      </c>
      <c r="D1426" s="915" t="s">
        <v>79</v>
      </c>
      <c r="E1426" s="915" t="s">
        <v>83</v>
      </c>
      <c r="F1426" s="345" t="s">
        <v>84</v>
      </c>
      <c r="G1426" s="421" t="s">
        <v>85</v>
      </c>
      <c r="H1426" s="156"/>
    </row>
    <row r="1427" spans="1:8" s="337" customFormat="1" ht="14.1" customHeight="1">
      <c r="A1427" s="958" t="s">
        <v>425</v>
      </c>
      <c r="B1427" s="959" t="s">
        <v>370</v>
      </c>
      <c r="C1427" s="960" t="s">
        <v>89</v>
      </c>
      <c r="D1427" s="960" t="s">
        <v>346</v>
      </c>
      <c r="E1427" s="960" t="s">
        <v>367</v>
      </c>
      <c r="F1427" s="960">
        <v>23.89</v>
      </c>
      <c r="G1427" s="536">
        <f>TRUNC(E1427*F1427,2)</f>
        <v>24.36</v>
      </c>
      <c r="H1427" s="156"/>
    </row>
    <row r="1428" spans="1:8" s="337" customFormat="1" ht="14.1" customHeight="1">
      <c r="A1428" s="1340">
        <v>88247</v>
      </c>
      <c r="B1428" s="1410" t="s">
        <v>422</v>
      </c>
      <c r="C1428" s="960" t="s">
        <v>102</v>
      </c>
      <c r="D1428" s="1343" t="s">
        <v>345</v>
      </c>
      <c r="E1428" s="1343" t="s">
        <v>426</v>
      </c>
      <c r="F1428" s="961">
        <f>'COMP AUX'!G287</f>
        <v>10.98</v>
      </c>
      <c r="G1428" s="536">
        <f>TRUNC(E1428*F1428,2)</f>
        <v>3.4</v>
      </c>
      <c r="H1428" s="925"/>
    </row>
    <row r="1429" spans="1:8" s="337" customFormat="1" ht="14.1" customHeight="1">
      <c r="A1429" s="1350"/>
      <c r="B1429" s="1390"/>
      <c r="C1429" s="960" t="s">
        <v>89</v>
      </c>
      <c r="D1429" s="1344"/>
      <c r="E1429" s="1344"/>
      <c r="F1429" s="961">
        <f>'COMP AUX'!G288</f>
        <v>4.5600000000000005</v>
      </c>
      <c r="G1429" s="536">
        <f>TRUNC(E1428*F1429,2)</f>
        <v>1.41</v>
      </c>
      <c r="H1429" s="156"/>
    </row>
    <row r="1430" spans="1:8" s="337" customFormat="1" ht="14.1" customHeight="1">
      <c r="A1430" s="1340">
        <v>88264</v>
      </c>
      <c r="B1430" s="1410" t="s">
        <v>249</v>
      </c>
      <c r="C1430" s="960" t="s">
        <v>102</v>
      </c>
      <c r="D1430" s="1343" t="s">
        <v>345</v>
      </c>
      <c r="E1430" s="1343" t="s">
        <v>426</v>
      </c>
      <c r="F1430" s="961">
        <f>'COMP AUX'!G253</f>
        <v>15.639999999999999</v>
      </c>
      <c r="G1430" s="536">
        <f>TRUNC(E1430*F1430,2)</f>
        <v>4.84</v>
      </c>
      <c r="H1430" s="925"/>
    </row>
    <row r="1431" spans="1:8" s="337" customFormat="1" ht="14.1" customHeight="1">
      <c r="A1431" s="1350"/>
      <c r="B1431" s="1411"/>
      <c r="C1431" s="960" t="s">
        <v>89</v>
      </c>
      <c r="D1431" s="1344"/>
      <c r="E1431" s="1361"/>
      <c r="F1431" s="961">
        <f>'COMP AUX'!G254</f>
        <v>4.5600000000000005</v>
      </c>
      <c r="G1431" s="536">
        <f>TRUNC(E1430*F1431,2)</f>
        <v>1.41</v>
      </c>
      <c r="H1431" s="156"/>
    </row>
    <row r="1432" spans="1:8" s="337" customFormat="1" ht="14.1" customHeight="1">
      <c r="A1432" s="156"/>
      <c r="B1432" s="156"/>
      <c r="C1432" s="156"/>
      <c r="D1432" s="156"/>
      <c r="E1432" s="963"/>
      <c r="F1432" s="539" t="s">
        <v>92</v>
      </c>
      <c r="G1432" s="536">
        <f>G1428+G1430</f>
        <v>8.24</v>
      </c>
      <c r="H1432" s="156"/>
    </row>
    <row r="1433" spans="1:8" s="337" customFormat="1" ht="14.1" customHeight="1">
      <c r="A1433" s="156"/>
      <c r="B1433" s="156"/>
      <c r="C1433" s="156"/>
      <c r="D1433" s="156"/>
      <c r="E1433" s="964"/>
      <c r="F1433" s="539" t="s">
        <v>94</v>
      </c>
      <c r="G1433" s="536">
        <f>G1427+G1429+G1431</f>
        <v>27.18</v>
      </c>
      <c r="H1433" s="156"/>
    </row>
    <row r="1434" spans="1:8" s="337" customFormat="1" ht="14.1" customHeight="1">
      <c r="A1434" s="495" t="s">
        <v>96</v>
      </c>
      <c r="B1434" s="156"/>
      <c r="C1434" s="156"/>
      <c r="D1434" s="156"/>
      <c r="E1434" s="964"/>
      <c r="F1434" s="539" t="s">
        <v>95</v>
      </c>
      <c r="G1434" s="962">
        <f>SUM(G1432:G1433)</f>
        <v>35.42</v>
      </c>
      <c r="H1434" s="156"/>
    </row>
    <row r="1435" spans="1:8" s="337" customFormat="1" ht="14.1" customHeight="1">
      <c r="A1435" s="428" t="s">
        <v>97</v>
      </c>
      <c r="B1435" s="139">
        <f>G1434</f>
        <v>35.42</v>
      </c>
      <c r="C1435" s="156"/>
      <c r="D1435" s="156"/>
      <c r="E1435" s="156"/>
      <c r="F1435" s="156"/>
      <c r="G1435" s="156"/>
      <c r="H1435" s="156"/>
    </row>
    <row r="1436" spans="1:8" s="337" customFormat="1" ht="14.1" customHeight="1">
      <c r="A1436" s="455" t="s">
        <v>1936</v>
      </c>
      <c r="B1436" s="454"/>
      <c r="C1436" s="156"/>
      <c r="D1436" s="156"/>
      <c r="E1436" s="156"/>
      <c r="F1436" s="156"/>
      <c r="G1436" s="156"/>
      <c r="H1436" s="156"/>
    </row>
    <row r="1437" spans="1:8" s="337" customFormat="1" ht="14.1" customHeight="1">
      <c r="A1437" s="535" t="s">
        <v>1995</v>
      </c>
      <c r="B1437" s="454">
        <f>(B1435+B1436)*0.245</f>
        <v>8.6779000000000011</v>
      </c>
      <c r="C1437" s="156"/>
      <c r="D1437" s="156"/>
      <c r="E1437" s="156"/>
      <c r="F1437" s="156"/>
      <c r="G1437" s="156"/>
      <c r="H1437" s="156"/>
    </row>
    <row r="1438" spans="1:8" s="337" customFormat="1" ht="14.1" customHeight="1">
      <c r="A1438" s="428" t="s">
        <v>98</v>
      </c>
      <c r="B1438" s="965">
        <f>SUM(B1435:B1437)</f>
        <v>44.097900000000003</v>
      </c>
      <c r="C1438" s="156"/>
      <c r="D1438" s="156"/>
      <c r="E1438" s="156"/>
      <c r="F1438" s="156"/>
      <c r="G1438" s="156"/>
      <c r="H1438" s="490"/>
    </row>
    <row r="1439" spans="1:8" s="337" customFormat="1" ht="14.1" customHeight="1">
      <c r="A1439" s="429"/>
      <c r="B1439" s="430"/>
      <c r="C1439" s="431"/>
      <c r="D1439" s="429"/>
      <c r="E1439" s="430"/>
      <c r="F1439" s="430"/>
      <c r="G1439" s="430"/>
      <c r="H1439" s="429"/>
    </row>
    <row r="1440" spans="1:8" s="337" customFormat="1">
      <c r="B1440" s="334"/>
      <c r="C1440" s="336"/>
      <c r="E1440" s="334"/>
      <c r="F1440" s="334"/>
      <c r="G1440" s="334"/>
    </row>
    <row r="1441" spans="1:8" s="337" customFormat="1" ht="14.25" customHeight="1">
      <c r="A1441" s="130" t="s">
        <v>653</v>
      </c>
      <c r="B1441" s="334"/>
      <c r="C1441" s="336"/>
      <c r="E1441" s="334"/>
      <c r="F1441" s="334"/>
      <c r="G1441" s="334"/>
    </row>
    <row r="1442" spans="1:8" ht="15" customHeight="1">
      <c r="A1442" s="610" t="s">
        <v>1040</v>
      </c>
      <c r="B1442" s="500"/>
      <c r="C1442" s="500"/>
      <c r="D1442" s="500"/>
      <c r="E1442" s="500"/>
      <c r="F1442" s="500"/>
      <c r="G1442" s="500"/>
      <c r="H1442" s="500"/>
    </row>
    <row r="1443" spans="1:8" ht="39.75" customHeight="1">
      <c r="A1443" s="620" t="s">
        <v>933</v>
      </c>
      <c r="B1443" s="1349" t="s">
        <v>1039</v>
      </c>
      <c r="C1443" s="1349"/>
      <c r="D1443" s="1349"/>
      <c r="E1443" s="1349"/>
      <c r="F1443" s="503" t="s">
        <v>822</v>
      </c>
      <c r="G1443" s="500"/>
      <c r="H1443" s="500"/>
    </row>
    <row r="1444" spans="1:8" ht="27.75" customHeight="1">
      <c r="A1444" s="415" t="s">
        <v>30</v>
      </c>
      <c r="B1444" s="420" t="s">
        <v>19</v>
      </c>
      <c r="C1444" s="343" t="s">
        <v>82</v>
      </c>
      <c r="D1444" s="525" t="s">
        <v>79</v>
      </c>
      <c r="E1444" s="525" t="s">
        <v>83</v>
      </c>
      <c r="F1444" s="345" t="s">
        <v>84</v>
      </c>
      <c r="G1444" s="421" t="s">
        <v>85</v>
      </c>
    </row>
    <row r="1445" spans="1:8" ht="18" customHeight="1">
      <c r="A1445" s="1327">
        <v>89356</v>
      </c>
      <c r="B1445" s="1329" t="s">
        <v>1070</v>
      </c>
      <c r="C1445" s="343" t="s">
        <v>102</v>
      </c>
      <c r="D1445" s="1331" t="s">
        <v>4</v>
      </c>
      <c r="E1445" s="1376">
        <v>2.14</v>
      </c>
      <c r="F1445" s="414">
        <f>'COMP AUX'!G1820</f>
        <v>8.09</v>
      </c>
      <c r="G1445" s="421">
        <f>TRUNC(E1445*F1445,2)</f>
        <v>17.309999999999999</v>
      </c>
    </row>
    <row r="1446" spans="1:8" ht="18" customHeight="1">
      <c r="A1446" s="1328"/>
      <c r="B1446" s="1330"/>
      <c r="C1446" s="526" t="s">
        <v>89</v>
      </c>
      <c r="D1446" s="1332"/>
      <c r="E1446" s="1377"/>
      <c r="F1446" s="497">
        <f>'COMP AUX'!G1821</f>
        <v>6.0400000000000009</v>
      </c>
      <c r="G1446" s="533">
        <f>TRUNC(E1445*F1446,2)</f>
        <v>12.92</v>
      </c>
      <c r="H1446" s="137"/>
    </row>
    <row r="1447" spans="1:8" ht="18" customHeight="1">
      <c r="A1447" s="1327">
        <v>89362</v>
      </c>
      <c r="B1447" s="1329" t="s">
        <v>1071</v>
      </c>
      <c r="C1447" s="343" t="s">
        <v>102</v>
      </c>
      <c r="D1447" s="1331" t="s">
        <v>5</v>
      </c>
      <c r="E1447" s="1376">
        <v>1.18</v>
      </c>
      <c r="F1447" s="497">
        <f>'COMP AUX'!G1837</f>
        <v>3.94</v>
      </c>
      <c r="G1447" s="496">
        <f>TRUNC(E1447*F1447,2)</f>
        <v>4.6399999999999997</v>
      </c>
      <c r="H1447" s="607"/>
    </row>
    <row r="1448" spans="1:8" ht="18" customHeight="1">
      <c r="A1448" s="1328"/>
      <c r="B1448" s="1330"/>
      <c r="C1448" s="612" t="s">
        <v>89</v>
      </c>
      <c r="D1448" s="1332"/>
      <c r="E1448" s="1377"/>
      <c r="F1448" s="497">
        <f>'COMP AUX'!G1838</f>
        <v>2.7100000000000004</v>
      </c>
      <c r="G1448" s="533">
        <f>TRUNC(E1447*F1448,2)</f>
        <v>3.19</v>
      </c>
      <c r="H1448" s="137"/>
    </row>
    <row r="1449" spans="1:8" ht="18" customHeight="1">
      <c r="A1449" s="1327">
        <v>89366</v>
      </c>
      <c r="B1449" s="1329" t="s">
        <v>1072</v>
      </c>
      <c r="C1449" s="612" t="s">
        <v>102</v>
      </c>
      <c r="D1449" s="1331" t="s">
        <v>5</v>
      </c>
      <c r="E1449" s="1376">
        <v>1</v>
      </c>
      <c r="F1449" s="497">
        <f>'COMP AUX'!G1854</f>
        <v>3.94</v>
      </c>
      <c r="G1449" s="496">
        <f>TRUNC(E1449*F1449,2)</f>
        <v>3.94</v>
      </c>
      <c r="H1449" s="607"/>
    </row>
    <row r="1450" spans="1:8" ht="18" customHeight="1">
      <c r="A1450" s="1328"/>
      <c r="B1450" s="1330"/>
      <c r="C1450" s="526" t="s">
        <v>89</v>
      </c>
      <c r="D1450" s="1332"/>
      <c r="E1450" s="1377"/>
      <c r="F1450" s="497">
        <f>'COMP AUX'!G1855</f>
        <v>2.7100000000000004</v>
      </c>
      <c r="G1450" s="496">
        <f>TRUNC(E1449*F1450,2)</f>
        <v>2.71</v>
      </c>
      <c r="H1450" s="137"/>
    </row>
    <row r="1451" spans="1:8" ht="18" customHeight="1">
      <c r="A1451" s="1327">
        <v>89395</v>
      </c>
      <c r="B1451" s="1329" t="s">
        <v>1073</v>
      </c>
      <c r="C1451" s="612" t="s">
        <v>102</v>
      </c>
      <c r="D1451" s="1331" t="s">
        <v>5</v>
      </c>
      <c r="E1451" s="1376">
        <v>0.89</v>
      </c>
      <c r="F1451" s="497">
        <f>'COMP AUX'!G1871</f>
        <v>6.16</v>
      </c>
      <c r="G1451" s="496">
        <f>TRUNC(E1451*F1451,2)</f>
        <v>5.48</v>
      </c>
      <c r="H1451" s="607"/>
    </row>
    <row r="1452" spans="1:8" ht="18" customHeight="1">
      <c r="A1452" s="1328"/>
      <c r="B1452" s="1330"/>
      <c r="C1452" s="526" t="s">
        <v>89</v>
      </c>
      <c r="D1452" s="1332"/>
      <c r="E1452" s="1377"/>
      <c r="F1452" s="497">
        <f>'COMP AUX'!G1872</f>
        <v>3.9700000000000006</v>
      </c>
      <c r="G1452" s="533">
        <f>TRUNC(E1451*F1452,2)</f>
        <v>3.53</v>
      </c>
      <c r="H1452" s="137"/>
    </row>
    <row r="1453" spans="1:8" ht="18" customHeight="1">
      <c r="A1453" s="1327">
        <v>90443</v>
      </c>
      <c r="B1453" s="1329" t="s">
        <v>1074</v>
      </c>
      <c r="C1453" s="612" t="s">
        <v>102</v>
      </c>
      <c r="D1453" s="1331" t="s">
        <v>4</v>
      </c>
      <c r="E1453" s="1376">
        <v>2.14</v>
      </c>
      <c r="F1453" s="497">
        <f>'COMP AUX'!G1484</f>
        <v>7.67</v>
      </c>
      <c r="G1453" s="496">
        <f>TRUNC(E1453*F1453,2)</f>
        <v>16.41</v>
      </c>
      <c r="H1453" s="607"/>
    </row>
    <row r="1454" spans="1:8" ht="18" customHeight="1">
      <c r="A1454" s="1328"/>
      <c r="B1454" s="1330"/>
      <c r="C1454" s="526" t="s">
        <v>89</v>
      </c>
      <c r="D1454" s="1332"/>
      <c r="E1454" s="1377"/>
      <c r="F1454" s="497">
        <f>'COMP AUX'!G1485</f>
        <v>2.35</v>
      </c>
      <c r="G1454" s="533">
        <f>TRUNC(E1453*F1454,2)</f>
        <v>5.0199999999999996</v>
      </c>
      <c r="H1454" s="137"/>
    </row>
    <row r="1455" spans="1:8" ht="18" customHeight="1">
      <c r="A1455" s="1327">
        <v>90466</v>
      </c>
      <c r="B1455" s="1329" t="s">
        <v>899</v>
      </c>
      <c r="C1455" s="612" t="s">
        <v>102</v>
      </c>
      <c r="D1455" s="1331" t="s">
        <v>4</v>
      </c>
      <c r="E1455" s="1376">
        <v>2.14</v>
      </c>
      <c r="F1455" s="497">
        <f>'COMP AUX'!G1525</f>
        <v>6.89</v>
      </c>
      <c r="G1455" s="496">
        <f>TRUNC(E1455*F1455,2)</f>
        <v>14.74</v>
      </c>
      <c r="H1455" s="607"/>
    </row>
    <row r="1456" spans="1:8" ht="18" customHeight="1">
      <c r="A1456" s="1328"/>
      <c r="B1456" s="1330"/>
      <c r="C1456" s="526" t="s">
        <v>89</v>
      </c>
      <c r="D1456" s="1332"/>
      <c r="E1456" s="1377"/>
      <c r="F1456" s="497">
        <f>'COMP AUX'!G1526</f>
        <v>2.9800000000000004</v>
      </c>
      <c r="G1456" s="533">
        <f>TRUNC(E1455*F1456,2)</f>
        <v>6.37</v>
      </c>
      <c r="H1456" s="137"/>
    </row>
    <row r="1457" spans="1:8" ht="15.95" customHeight="1">
      <c r="A1457" s="137"/>
      <c r="B1457" s="137"/>
      <c r="C1457" s="137"/>
      <c r="D1457" s="137"/>
      <c r="E1457" s="137"/>
      <c r="F1457" s="498" t="s">
        <v>92</v>
      </c>
      <c r="G1457" s="496">
        <f>G1445+G1447+G1449+G1451+G1453+G1455</f>
        <v>62.52</v>
      </c>
      <c r="H1457" s="137"/>
    </row>
    <row r="1458" spans="1:8" ht="15.95" customHeight="1">
      <c r="A1458" s="137"/>
      <c r="B1458" s="137"/>
      <c r="C1458" s="137"/>
      <c r="D1458" s="137"/>
      <c r="E1458" s="137"/>
      <c r="F1458" s="498" t="s">
        <v>94</v>
      </c>
      <c r="G1458" s="496">
        <f>G1446+G1448+G1450+G1452+G1454+G1456</f>
        <v>33.74</v>
      </c>
      <c r="H1458" s="137"/>
    </row>
    <row r="1459" spans="1:8" ht="15.95" customHeight="1">
      <c r="A1459" s="495" t="s">
        <v>96</v>
      </c>
      <c r="B1459" s="522"/>
      <c r="C1459" s="137"/>
      <c r="D1459" s="137"/>
      <c r="E1459" s="137"/>
      <c r="F1459" s="498" t="s">
        <v>95</v>
      </c>
      <c r="G1459" s="499">
        <f>SUM(G1457:G1458)</f>
        <v>96.26</v>
      </c>
      <c r="H1459" s="137"/>
    </row>
    <row r="1460" spans="1:8" ht="15.95" customHeight="1">
      <c r="A1460" s="428" t="s">
        <v>97</v>
      </c>
      <c r="B1460" s="461">
        <f>G1459</f>
        <v>96.26</v>
      </c>
      <c r="C1460" s="137"/>
      <c r="D1460" s="137"/>
      <c r="E1460" s="137"/>
      <c r="F1460" s="134"/>
      <c r="G1460" s="134"/>
      <c r="H1460" s="137"/>
    </row>
    <row r="1461" spans="1:8" ht="15.95" customHeight="1">
      <c r="A1461" s="455" t="s">
        <v>1936</v>
      </c>
      <c r="B1461" s="454"/>
      <c r="C1461" s="137"/>
      <c r="D1461" s="137"/>
      <c r="E1461" s="137"/>
      <c r="F1461" s="134"/>
      <c r="G1461" s="134"/>
      <c r="H1461" s="137"/>
    </row>
    <row r="1462" spans="1:8" ht="15.95" customHeight="1">
      <c r="A1462" s="535" t="s">
        <v>1995</v>
      </c>
      <c r="B1462" s="454">
        <f>(B1460+B1461)*0.245</f>
        <v>23.5837</v>
      </c>
      <c r="C1462" s="137"/>
      <c r="D1462" s="137"/>
      <c r="E1462" s="137"/>
      <c r="F1462" s="134"/>
      <c r="G1462" s="134"/>
      <c r="H1462" s="137"/>
    </row>
    <row r="1463" spans="1:8" ht="15.95" customHeight="1">
      <c r="A1463" s="428" t="s">
        <v>98</v>
      </c>
      <c r="B1463" s="462">
        <f>SUM(B1460:B1462)</f>
        <v>119.84370000000001</v>
      </c>
      <c r="C1463" s="137"/>
      <c r="D1463" s="137"/>
      <c r="E1463" s="137"/>
      <c r="F1463" s="134"/>
      <c r="G1463" s="134"/>
      <c r="H1463" s="137"/>
    </row>
    <row r="1464" spans="1:8">
      <c r="A1464" s="429"/>
      <c r="B1464" s="430"/>
      <c r="C1464" s="431"/>
      <c r="D1464" s="429"/>
      <c r="E1464" s="430"/>
      <c r="F1464" s="430"/>
      <c r="G1464" s="430"/>
      <c r="H1464" s="429"/>
    </row>
    <row r="1466" spans="1:8">
      <c r="A1466" s="130" t="s">
        <v>653</v>
      </c>
    </row>
    <row r="1467" spans="1:8">
      <c r="A1467" s="1423" t="s">
        <v>138</v>
      </c>
      <c r="B1467" s="1424"/>
      <c r="C1467" s="1424"/>
      <c r="D1467" s="1424"/>
      <c r="E1467" s="1424"/>
      <c r="F1467" s="1424"/>
      <c r="G1467" s="1424"/>
      <c r="H1467" s="1424"/>
    </row>
    <row r="1468" spans="1:8" ht="53.25" customHeight="1">
      <c r="A1468" s="544" t="s">
        <v>933</v>
      </c>
      <c r="B1468" s="1337" t="s">
        <v>1102</v>
      </c>
      <c r="C1468" s="1337"/>
      <c r="D1468" s="1337"/>
      <c r="E1468" s="1337"/>
      <c r="F1468" s="505" t="s">
        <v>822</v>
      </c>
      <c r="G1468" s="468"/>
      <c r="H1468" s="468"/>
    </row>
    <row r="1469" spans="1:8" ht="27" customHeight="1">
      <c r="A1469" s="415" t="s">
        <v>30</v>
      </c>
      <c r="B1469" s="420" t="s">
        <v>19</v>
      </c>
      <c r="C1469" s="343" t="s">
        <v>82</v>
      </c>
      <c r="D1469" s="525" t="s">
        <v>79</v>
      </c>
      <c r="E1469" s="525" t="s">
        <v>83</v>
      </c>
      <c r="F1469" s="345" t="s">
        <v>84</v>
      </c>
      <c r="G1469" s="421" t="s">
        <v>85</v>
      </c>
      <c r="H1469" s="141"/>
    </row>
    <row r="1470" spans="1:8" ht="24.95" customHeight="1">
      <c r="A1470" s="633">
        <v>6019</v>
      </c>
      <c r="B1470" s="538" t="s">
        <v>1089</v>
      </c>
      <c r="C1470" s="524" t="s">
        <v>89</v>
      </c>
      <c r="D1470" s="524" t="s">
        <v>5</v>
      </c>
      <c r="E1470" s="542">
        <v>1</v>
      </c>
      <c r="F1470" s="524">
        <v>16.46</v>
      </c>
      <c r="G1470" s="537">
        <f t="shared" ref="G1470:G1487" si="92">TRUNC(E1470*F1470,2)</f>
        <v>16.46</v>
      </c>
      <c r="H1470" s="141"/>
    </row>
    <row r="1471" spans="1:8" ht="24.95" customHeight="1">
      <c r="A1471" s="633">
        <v>6010</v>
      </c>
      <c r="B1471" s="538" t="s">
        <v>1090</v>
      </c>
      <c r="C1471" s="524" t="s">
        <v>89</v>
      </c>
      <c r="D1471" s="524" t="s">
        <v>5</v>
      </c>
      <c r="E1471" s="542">
        <v>2</v>
      </c>
      <c r="F1471" s="524">
        <v>28.33</v>
      </c>
      <c r="G1471" s="537">
        <f t="shared" si="92"/>
        <v>56.66</v>
      </c>
      <c r="H1471" s="141"/>
    </row>
    <row r="1472" spans="1:8" ht="15" customHeight="1">
      <c r="A1472" s="633">
        <v>119</v>
      </c>
      <c r="B1472" s="543" t="s">
        <v>1091</v>
      </c>
      <c r="C1472" s="524" t="s">
        <v>89</v>
      </c>
      <c r="D1472" s="524" t="s">
        <v>5</v>
      </c>
      <c r="E1472" s="542">
        <v>1.8</v>
      </c>
      <c r="F1472" s="486">
        <v>5.5</v>
      </c>
      <c r="G1472" s="476">
        <f t="shared" si="92"/>
        <v>9.9</v>
      </c>
      <c r="H1472" s="141"/>
    </row>
    <row r="1473" spans="1:8" ht="15" customHeight="1">
      <c r="A1473" s="633">
        <v>38383</v>
      </c>
      <c r="B1473" s="543" t="s">
        <v>1077</v>
      </c>
      <c r="C1473" s="524" t="s">
        <v>89</v>
      </c>
      <c r="D1473" s="524" t="s">
        <v>5</v>
      </c>
      <c r="E1473" s="542">
        <v>1</v>
      </c>
      <c r="F1473" s="524">
        <v>1.64</v>
      </c>
      <c r="G1473" s="537">
        <f t="shared" si="92"/>
        <v>1.64</v>
      </c>
      <c r="H1473" s="141"/>
    </row>
    <row r="1474" spans="1:8" ht="24.95" customHeight="1">
      <c r="A1474" s="633">
        <v>20083</v>
      </c>
      <c r="B1474" s="538" t="s">
        <v>266</v>
      </c>
      <c r="C1474" s="524" t="s">
        <v>89</v>
      </c>
      <c r="D1474" s="524" t="s">
        <v>5</v>
      </c>
      <c r="E1474" s="542">
        <v>0.24</v>
      </c>
      <c r="F1474" s="524">
        <v>43.14</v>
      </c>
      <c r="G1474" s="537">
        <f t="shared" si="92"/>
        <v>10.35</v>
      </c>
      <c r="H1474" s="141"/>
    </row>
    <row r="1475" spans="1:8" ht="24.95" customHeight="1">
      <c r="A1475" s="633">
        <v>9869</v>
      </c>
      <c r="B1475" s="538" t="s">
        <v>1092</v>
      </c>
      <c r="C1475" s="524" t="s">
        <v>89</v>
      </c>
      <c r="D1475" s="524" t="s">
        <v>5</v>
      </c>
      <c r="E1475" s="542">
        <v>1</v>
      </c>
      <c r="F1475" s="486">
        <f>6*6.15</f>
        <v>36.900000000000006</v>
      </c>
      <c r="G1475" s="476">
        <f t="shared" si="92"/>
        <v>36.9</v>
      </c>
      <c r="H1475" s="141"/>
    </row>
    <row r="1476" spans="1:8" ht="24.95" customHeight="1">
      <c r="A1476" s="633">
        <v>9875</v>
      </c>
      <c r="B1476" s="538" t="s">
        <v>1093</v>
      </c>
      <c r="C1476" s="524" t="s">
        <v>89</v>
      </c>
      <c r="D1476" s="524" t="s">
        <v>5</v>
      </c>
      <c r="E1476" s="542">
        <v>1</v>
      </c>
      <c r="F1476" s="524">
        <f>11.12*6</f>
        <v>66.72</v>
      </c>
      <c r="G1476" s="537">
        <f t="shared" si="92"/>
        <v>66.72</v>
      </c>
      <c r="H1476" s="141"/>
    </row>
    <row r="1477" spans="1:8" ht="24.95" customHeight="1">
      <c r="A1477" s="633">
        <v>66</v>
      </c>
      <c r="B1477" s="538" t="s">
        <v>1094</v>
      </c>
      <c r="C1477" s="524" t="s">
        <v>89</v>
      </c>
      <c r="D1477" s="524" t="s">
        <v>5</v>
      </c>
      <c r="E1477" s="542">
        <v>2</v>
      </c>
      <c r="F1477" s="486">
        <v>25.1</v>
      </c>
      <c r="G1477" s="476">
        <f t="shared" si="92"/>
        <v>50.2</v>
      </c>
      <c r="H1477" s="141"/>
    </row>
    <row r="1478" spans="1:8" ht="24.95" customHeight="1">
      <c r="A1478" s="633">
        <v>7140</v>
      </c>
      <c r="B1478" s="538" t="s">
        <v>1095</v>
      </c>
      <c r="C1478" s="524" t="s">
        <v>89</v>
      </c>
      <c r="D1478" s="524" t="s">
        <v>5</v>
      </c>
      <c r="E1478" s="542">
        <v>1</v>
      </c>
      <c r="F1478" s="524">
        <v>2.4500000000000002</v>
      </c>
      <c r="G1478" s="537">
        <f t="shared" si="92"/>
        <v>2.4500000000000002</v>
      </c>
      <c r="H1478" s="141"/>
    </row>
    <row r="1479" spans="1:8" ht="24.95" customHeight="1">
      <c r="A1479" s="633">
        <v>3540</v>
      </c>
      <c r="B1479" s="538" t="s">
        <v>1096</v>
      </c>
      <c r="C1479" s="524" t="s">
        <v>89</v>
      </c>
      <c r="D1479" s="524" t="s">
        <v>5</v>
      </c>
      <c r="E1479" s="542">
        <v>1</v>
      </c>
      <c r="F1479" s="524">
        <v>4.1399999999999997</v>
      </c>
      <c r="G1479" s="537">
        <f t="shared" si="92"/>
        <v>4.1399999999999997</v>
      </c>
      <c r="H1479" s="141"/>
    </row>
    <row r="1480" spans="1:8" ht="24.95" customHeight="1">
      <c r="A1480" s="633">
        <v>3536</v>
      </c>
      <c r="B1480" s="538" t="s">
        <v>1097</v>
      </c>
      <c r="C1480" s="524" t="s">
        <v>89</v>
      </c>
      <c r="D1480" s="524" t="s">
        <v>5</v>
      </c>
      <c r="E1480" s="542">
        <v>1</v>
      </c>
      <c r="F1480" s="524">
        <v>1.53</v>
      </c>
      <c r="G1480" s="537">
        <f t="shared" si="92"/>
        <v>1.53</v>
      </c>
      <c r="H1480" s="141"/>
    </row>
    <row r="1481" spans="1:8" ht="24.95" customHeight="1">
      <c r="A1481" s="633">
        <v>112</v>
      </c>
      <c r="B1481" s="538" t="s">
        <v>1098</v>
      </c>
      <c r="C1481" s="524" t="s">
        <v>89</v>
      </c>
      <c r="D1481" s="524" t="s">
        <v>5</v>
      </c>
      <c r="E1481" s="542">
        <v>2</v>
      </c>
      <c r="F1481" s="486">
        <v>3.6</v>
      </c>
      <c r="G1481" s="476">
        <f t="shared" si="92"/>
        <v>7.2</v>
      </c>
      <c r="H1481" s="141"/>
    </row>
    <row r="1482" spans="1:8" ht="24.95" customHeight="1">
      <c r="A1482" s="633">
        <v>108</v>
      </c>
      <c r="B1482" s="538" t="s">
        <v>1099</v>
      </c>
      <c r="C1482" s="524" t="s">
        <v>89</v>
      </c>
      <c r="D1482" s="524" t="s">
        <v>5</v>
      </c>
      <c r="E1482" s="542">
        <v>1</v>
      </c>
      <c r="F1482" s="524">
        <v>1.62</v>
      </c>
      <c r="G1482" s="537">
        <f t="shared" si="92"/>
        <v>1.62</v>
      </c>
      <c r="H1482" s="141"/>
    </row>
    <row r="1483" spans="1:8" ht="24.95" customHeight="1">
      <c r="A1483" s="633">
        <v>68</v>
      </c>
      <c r="B1483" s="538" t="s">
        <v>1100</v>
      </c>
      <c r="C1483" s="524" t="s">
        <v>89</v>
      </c>
      <c r="D1483" s="524" t="s">
        <v>5</v>
      </c>
      <c r="E1483" s="542">
        <v>1</v>
      </c>
      <c r="F1483" s="524">
        <v>14.77</v>
      </c>
      <c r="G1483" s="537">
        <f t="shared" si="92"/>
        <v>14.77</v>
      </c>
      <c r="H1483" s="141"/>
    </row>
    <row r="1484" spans="1:8" ht="24.95" customHeight="1">
      <c r="A1484" s="633">
        <v>7130</v>
      </c>
      <c r="B1484" s="538" t="s">
        <v>1101</v>
      </c>
      <c r="C1484" s="524" t="s">
        <v>89</v>
      </c>
      <c r="D1484" s="524" t="s">
        <v>5</v>
      </c>
      <c r="E1484" s="542">
        <v>1</v>
      </c>
      <c r="F1484" s="524">
        <v>9.3699999999999992</v>
      </c>
      <c r="G1484" s="537">
        <f t="shared" si="92"/>
        <v>9.3699999999999992</v>
      </c>
      <c r="H1484" s="141"/>
    </row>
    <row r="1485" spans="1:8" ht="18" customHeight="1">
      <c r="A1485" s="1340">
        <v>88267</v>
      </c>
      <c r="B1485" s="1338" t="s">
        <v>873</v>
      </c>
      <c r="C1485" s="631" t="s">
        <v>102</v>
      </c>
      <c r="D1485" s="1343" t="s">
        <v>103</v>
      </c>
      <c r="E1485" s="1345" t="s">
        <v>140</v>
      </c>
      <c r="F1485" s="671">
        <f>'COMP AUX'!G338</f>
        <v>15.41</v>
      </c>
      <c r="G1485" s="476">
        <f t="shared" si="92"/>
        <v>76.180000000000007</v>
      </c>
      <c r="H1485" s="632"/>
    </row>
    <row r="1486" spans="1:8" ht="18" customHeight="1">
      <c r="A1486" s="1341"/>
      <c r="B1486" s="1339"/>
      <c r="C1486" s="524" t="s">
        <v>89</v>
      </c>
      <c r="D1486" s="1344"/>
      <c r="E1486" s="1346"/>
      <c r="F1486" s="671">
        <f>'COMP AUX'!G339</f>
        <v>4.5600000000000005</v>
      </c>
      <c r="G1486" s="476">
        <f>TRUNC(E1485*F1486,2)</f>
        <v>22.54</v>
      </c>
      <c r="H1486" s="141"/>
    </row>
    <row r="1487" spans="1:8" ht="18" customHeight="1">
      <c r="A1487" s="1340">
        <v>88316</v>
      </c>
      <c r="B1487" s="1338" t="s">
        <v>106</v>
      </c>
      <c r="C1487" s="631" t="s">
        <v>102</v>
      </c>
      <c r="D1487" s="1343" t="s">
        <v>103</v>
      </c>
      <c r="E1487" s="1345">
        <v>8.24</v>
      </c>
      <c r="F1487" s="671">
        <f>'COMP AUX'!G104</f>
        <v>11.1</v>
      </c>
      <c r="G1487" s="476">
        <f t="shared" si="92"/>
        <v>91.46</v>
      </c>
      <c r="H1487" s="632"/>
    </row>
    <row r="1488" spans="1:8" ht="18" customHeight="1">
      <c r="A1488" s="1341"/>
      <c r="B1488" s="1339"/>
      <c r="C1488" s="524" t="s">
        <v>89</v>
      </c>
      <c r="D1488" s="1344"/>
      <c r="E1488" s="1346"/>
      <c r="F1488" s="671">
        <f>'COMP AUX'!G105</f>
        <v>4.5600000000000005</v>
      </c>
      <c r="G1488" s="476">
        <f>TRUNC(E1487*F1488,2)</f>
        <v>37.57</v>
      </c>
      <c r="H1488" s="141"/>
    </row>
    <row r="1489" spans="1:8" ht="18" customHeight="1">
      <c r="A1489" s="141"/>
      <c r="B1489" s="141"/>
      <c r="C1489" s="141"/>
      <c r="D1489" s="141"/>
      <c r="E1489" s="141"/>
      <c r="F1489" s="494" t="s">
        <v>92</v>
      </c>
      <c r="G1489" s="476">
        <f>G1485+G1487</f>
        <v>167.64</v>
      </c>
      <c r="H1489" s="141"/>
    </row>
    <row r="1490" spans="1:8" ht="18" customHeight="1">
      <c r="A1490" s="141"/>
      <c r="B1490" s="141"/>
      <c r="C1490" s="141"/>
      <c r="D1490" s="141"/>
      <c r="E1490" s="141"/>
      <c r="F1490" s="494" t="s">
        <v>94</v>
      </c>
      <c r="G1490" s="476">
        <f>SUM(G1470:G1484)+G1486+G1488</f>
        <v>350.01999999999992</v>
      </c>
      <c r="H1490" s="141"/>
    </row>
    <row r="1491" spans="1:8" ht="18" customHeight="1">
      <c r="A1491" s="495" t="s">
        <v>96</v>
      </c>
      <c r="B1491" s="522"/>
      <c r="C1491" s="141"/>
      <c r="D1491" s="141"/>
      <c r="E1491" s="141"/>
      <c r="F1491" s="494" t="s">
        <v>95</v>
      </c>
      <c r="G1491" s="672">
        <f>SUM(G1489:G1490)</f>
        <v>517.65999999999985</v>
      </c>
      <c r="H1491" s="141"/>
    </row>
    <row r="1492" spans="1:8" ht="18" customHeight="1">
      <c r="A1492" s="428" t="s">
        <v>97</v>
      </c>
      <c r="B1492" s="461">
        <f>G1491</f>
        <v>517.65999999999985</v>
      </c>
      <c r="C1492" s="141"/>
      <c r="D1492" s="141"/>
      <c r="E1492" s="141"/>
      <c r="F1492" s="139"/>
      <c r="G1492" s="139"/>
      <c r="H1492" s="141"/>
    </row>
    <row r="1493" spans="1:8" ht="18" customHeight="1">
      <c r="A1493" s="455" t="s">
        <v>1936</v>
      </c>
      <c r="B1493" s="454"/>
      <c r="C1493" s="141"/>
      <c r="D1493" s="141"/>
      <c r="E1493" s="141"/>
      <c r="F1493" s="139"/>
      <c r="G1493" s="139"/>
      <c r="H1493" s="141"/>
    </row>
    <row r="1494" spans="1:8" ht="18" customHeight="1">
      <c r="A1494" s="535" t="s">
        <v>1995</v>
      </c>
      <c r="B1494" s="454">
        <f>(B1492+B1493)*0.245</f>
        <v>126.82669999999996</v>
      </c>
      <c r="C1494" s="141"/>
      <c r="D1494" s="141"/>
      <c r="E1494" s="141"/>
      <c r="F1494" s="139"/>
      <c r="G1494" s="139"/>
      <c r="H1494" s="141"/>
    </row>
    <row r="1495" spans="1:8" ht="18" customHeight="1">
      <c r="A1495" s="428" t="s">
        <v>98</v>
      </c>
      <c r="B1495" s="462">
        <f>SUM(B1492:B1494)</f>
        <v>644.48669999999981</v>
      </c>
      <c r="C1495" s="141"/>
      <c r="D1495" s="141"/>
      <c r="E1495" s="141"/>
      <c r="F1495" s="139"/>
      <c r="G1495" s="139"/>
      <c r="H1495" s="141"/>
    </row>
    <row r="1496" spans="1:8">
      <c r="A1496" s="429"/>
      <c r="B1496" s="430"/>
      <c r="C1496" s="431"/>
      <c r="D1496" s="429"/>
      <c r="E1496" s="430"/>
      <c r="F1496" s="430"/>
      <c r="G1496" s="430"/>
      <c r="H1496" s="429"/>
    </row>
    <row r="1498" spans="1:8">
      <c r="A1498" s="130" t="s">
        <v>653</v>
      </c>
    </row>
    <row r="1499" spans="1:8">
      <c r="A1499" s="1423" t="s">
        <v>879</v>
      </c>
      <c r="B1499" s="1424"/>
      <c r="C1499" s="1424"/>
      <c r="D1499" s="1424"/>
      <c r="E1499" s="1424"/>
      <c r="F1499" s="1424"/>
      <c r="G1499" s="1424"/>
      <c r="H1499" s="1424"/>
    </row>
    <row r="1500" spans="1:8" ht="18.75" customHeight="1">
      <c r="A1500" s="523" t="s">
        <v>146</v>
      </c>
      <c r="B1500" s="468"/>
      <c r="C1500" s="468"/>
      <c r="D1500" s="505" t="s">
        <v>822</v>
      </c>
      <c r="E1500" s="468"/>
      <c r="F1500" s="468"/>
      <c r="G1500" s="468"/>
      <c r="H1500" s="468"/>
    </row>
    <row r="1501" spans="1:8" ht="22.5">
      <c r="A1501" s="415" t="s">
        <v>30</v>
      </c>
      <c r="B1501" s="420" t="s">
        <v>19</v>
      </c>
      <c r="C1501" s="343" t="s">
        <v>82</v>
      </c>
      <c r="D1501" s="525" t="s">
        <v>79</v>
      </c>
      <c r="E1501" s="525" t="s">
        <v>83</v>
      </c>
      <c r="F1501" s="345" t="s">
        <v>84</v>
      </c>
      <c r="G1501" s="421" t="s">
        <v>85</v>
      </c>
      <c r="H1501" s="141"/>
    </row>
    <row r="1502" spans="1:8" ht="15" customHeight="1">
      <c r="A1502" s="1408">
        <v>88267</v>
      </c>
      <c r="B1502" s="1338" t="s">
        <v>873</v>
      </c>
      <c r="C1502" s="343" t="s">
        <v>102</v>
      </c>
      <c r="D1502" s="1434" t="s">
        <v>103</v>
      </c>
      <c r="E1502" s="1453">
        <v>7.7</v>
      </c>
      <c r="F1502" s="414">
        <f>'COMP AUX'!G355</f>
        <v>14.85</v>
      </c>
      <c r="G1502" s="424">
        <f>TRUNC(E1502*F1502,2)</f>
        <v>114.34</v>
      </c>
      <c r="H1502" s="660"/>
    </row>
    <row r="1503" spans="1:8" ht="15" customHeight="1">
      <c r="A1503" s="1409"/>
      <c r="B1503" s="1339"/>
      <c r="C1503" s="524" t="s">
        <v>89</v>
      </c>
      <c r="D1503" s="1435"/>
      <c r="E1503" s="1454"/>
      <c r="F1503" s="486">
        <f>'COMP AUX'!G356</f>
        <v>4.5600000000000005</v>
      </c>
      <c r="G1503" s="537">
        <f>TRUNC(E1502*F1503,2)</f>
        <v>35.11</v>
      </c>
      <c r="H1503" s="141"/>
    </row>
    <row r="1504" spans="1:8" ht="15" customHeight="1">
      <c r="A1504" s="1408">
        <v>88248</v>
      </c>
      <c r="B1504" s="1338" t="s">
        <v>274</v>
      </c>
      <c r="C1504" s="659" t="s">
        <v>102</v>
      </c>
      <c r="D1504" s="1434" t="s">
        <v>103</v>
      </c>
      <c r="E1504" s="1453">
        <v>7.7</v>
      </c>
      <c r="F1504" s="486">
        <f>'COMP AUX'!G338</f>
        <v>15.41</v>
      </c>
      <c r="G1504" s="537">
        <f>TRUNC(E1504*F1504,2)</f>
        <v>118.65</v>
      </c>
      <c r="H1504" s="660"/>
    </row>
    <row r="1505" spans="1:8" ht="15" customHeight="1">
      <c r="A1505" s="1309"/>
      <c r="B1505" s="1342"/>
      <c r="C1505" s="524" t="s">
        <v>89</v>
      </c>
      <c r="D1505" s="1435"/>
      <c r="E1505" s="1454"/>
      <c r="F1505" s="486">
        <f>'COMP AUX'!G339</f>
        <v>4.5600000000000005</v>
      </c>
      <c r="G1505" s="537">
        <f>TRUNC(E1504*F1505,2)</f>
        <v>35.11</v>
      </c>
      <c r="H1505" s="141"/>
    </row>
    <row r="1506" spans="1:8" ht="15" customHeight="1">
      <c r="A1506" s="541" t="s">
        <v>147</v>
      </c>
      <c r="B1506" s="543" t="s">
        <v>148</v>
      </c>
      <c r="C1506" s="524" t="s">
        <v>89</v>
      </c>
      <c r="D1506" s="524" t="s">
        <v>101</v>
      </c>
      <c r="E1506" s="542">
        <v>0.05</v>
      </c>
      <c r="F1506" s="678" t="s">
        <v>150</v>
      </c>
      <c r="G1506" s="537">
        <f t="shared" ref="G1506:G1525" si="93">TRUNC(E1506*F1506,2)</f>
        <v>2.78</v>
      </c>
      <c r="H1506" s="141"/>
    </row>
    <row r="1507" spans="1:8" ht="15" customHeight="1">
      <c r="A1507" s="541" t="s">
        <v>151</v>
      </c>
      <c r="B1507" s="543" t="s">
        <v>152</v>
      </c>
      <c r="C1507" s="524" t="s">
        <v>89</v>
      </c>
      <c r="D1507" s="524" t="s">
        <v>101</v>
      </c>
      <c r="E1507" s="542" t="s">
        <v>153</v>
      </c>
      <c r="F1507" s="678" t="s">
        <v>154</v>
      </c>
      <c r="G1507" s="537">
        <f t="shared" si="93"/>
        <v>4.03</v>
      </c>
      <c r="H1507" s="141"/>
    </row>
    <row r="1508" spans="1:8" ht="15" customHeight="1">
      <c r="A1508" s="541" t="s">
        <v>155</v>
      </c>
      <c r="B1508" s="543" t="s">
        <v>156</v>
      </c>
      <c r="C1508" s="524" t="s">
        <v>89</v>
      </c>
      <c r="D1508" s="524" t="s">
        <v>157</v>
      </c>
      <c r="E1508" s="542" t="s">
        <v>149</v>
      </c>
      <c r="F1508" s="678" t="s">
        <v>158</v>
      </c>
      <c r="G1508" s="537">
        <f t="shared" si="93"/>
        <v>1.72</v>
      </c>
      <c r="H1508" s="141"/>
    </row>
    <row r="1509" spans="1:8" ht="22.5">
      <c r="A1509" s="541" t="s">
        <v>159</v>
      </c>
      <c r="B1509" s="543" t="s">
        <v>160</v>
      </c>
      <c r="C1509" s="524" t="s">
        <v>89</v>
      </c>
      <c r="D1509" s="524" t="s">
        <v>5</v>
      </c>
      <c r="E1509" s="542">
        <v>1</v>
      </c>
      <c r="F1509" s="678" t="s">
        <v>161</v>
      </c>
      <c r="G1509" s="476">
        <f t="shared" si="93"/>
        <v>327</v>
      </c>
      <c r="H1509" s="141"/>
    </row>
    <row r="1510" spans="1:8" ht="15" customHeight="1">
      <c r="A1510" s="541" t="s">
        <v>162</v>
      </c>
      <c r="B1510" s="543" t="s">
        <v>163</v>
      </c>
      <c r="C1510" s="524" t="s">
        <v>89</v>
      </c>
      <c r="D1510" s="524" t="s">
        <v>5</v>
      </c>
      <c r="E1510" s="542">
        <v>1</v>
      </c>
      <c r="F1510" s="678" t="s">
        <v>164</v>
      </c>
      <c r="G1510" s="537">
        <f t="shared" si="93"/>
        <v>18.079999999999998</v>
      </c>
      <c r="H1510" s="141"/>
    </row>
    <row r="1511" spans="1:8" ht="15" customHeight="1">
      <c r="A1511" s="541" t="s">
        <v>165</v>
      </c>
      <c r="B1511" s="543" t="s">
        <v>166</v>
      </c>
      <c r="C1511" s="524" t="s">
        <v>89</v>
      </c>
      <c r="D1511" s="524" t="s">
        <v>5</v>
      </c>
      <c r="E1511" s="542">
        <v>1</v>
      </c>
      <c r="F1511" s="678" t="s">
        <v>167</v>
      </c>
      <c r="G1511" s="537">
        <f t="shared" si="93"/>
        <v>25.12</v>
      </c>
      <c r="H1511" s="141"/>
    </row>
    <row r="1512" spans="1:8" ht="15" customHeight="1">
      <c r="A1512" s="541" t="s">
        <v>168</v>
      </c>
      <c r="B1512" s="543" t="s">
        <v>169</v>
      </c>
      <c r="C1512" s="524" t="s">
        <v>89</v>
      </c>
      <c r="D1512" s="524" t="s">
        <v>5</v>
      </c>
      <c r="E1512" s="542">
        <v>1</v>
      </c>
      <c r="F1512" s="678" t="s">
        <v>170</v>
      </c>
      <c r="G1512" s="537">
        <f t="shared" si="93"/>
        <v>40.89</v>
      </c>
      <c r="H1512" s="141"/>
    </row>
    <row r="1513" spans="1:8" ht="22.5">
      <c r="A1513" s="541" t="s">
        <v>171</v>
      </c>
      <c r="B1513" s="543" t="s">
        <v>172</v>
      </c>
      <c r="C1513" s="524" t="s">
        <v>89</v>
      </c>
      <c r="D1513" s="524" t="s">
        <v>5</v>
      </c>
      <c r="E1513" s="542">
        <v>0.28999999999999998</v>
      </c>
      <c r="F1513" s="678" t="s">
        <v>173</v>
      </c>
      <c r="G1513" s="476">
        <f t="shared" si="93"/>
        <v>0.1</v>
      </c>
      <c r="H1513" s="141"/>
    </row>
    <row r="1514" spans="1:8" ht="22.5">
      <c r="A1514" s="541" t="s">
        <v>174</v>
      </c>
      <c r="B1514" s="543" t="s">
        <v>175</v>
      </c>
      <c r="C1514" s="524" t="s">
        <v>89</v>
      </c>
      <c r="D1514" s="524" t="s">
        <v>5</v>
      </c>
      <c r="E1514" s="542">
        <v>1</v>
      </c>
      <c r="F1514" s="678" t="s">
        <v>176</v>
      </c>
      <c r="G1514" s="537">
        <f t="shared" si="93"/>
        <v>11.76</v>
      </c>
      <c r="H1514" s="141"/>
    </row>
    <row r="1515" spans="1:8" ht="22.5">
      <c r="A1515" s="541" t="s">
        <v>177</v>
      </c>
      <c r="B1515" s="543" t="s">
        <v>178</v>
      </c>
      <c r="C1515" s="524" t="s">
        <v>89</v>
      </c>
      <c r="D1515" s="524" t="s">
        <v>5</v>
      </c>
      <c r="E1515" s="542">
        <v>2</v>
      </c>
      <c r="F1515" s="678" t="s">
        <v>179</v>
      </c>
      <c r="G1515" s="476">
        <f t="shared" si="93"/>
        <v>42</v>
      </c>
      <c r="H1515" s="141"/>
    </row>
    <row r="1516" spans="1:8" ht="22.5">
      <c r="A1516" s="541" t="s">
        <v>180</v>
      </c>
      <c r="B1516" s="543" t="s">
        <v>181</v>
      </c>
      <c r="C1516" s="524" t="s">
        <v>89</v>
      </c>
      <c r="D1516" s="524" t="s">
        <v>5</v>
      </c>
      <c r="E1516" s="542">
        <v>1</v>
      </c>
      <c r="F1516" s="678" t="s">
        <v>182</v>
      </c>
      <c r="G1516" s="537">
        <f t="shared" si="93"/>
        <v>28.45</v>
      </c>
      <c r="H1516" s="141"/>
    </row>
    <row r="1517" spans="1:8" ht="15" customHeight="1">
      <c r="A1517" s="541" t="s">
        <v>183</v>
      </c>
      <c r="B1517" s="543" t="s">
        <v>184</v>
      </c>
      <c r="C1517" s="524" t="s">
        <v>89</v>
      </c>
      <c r="D1517" s="524" t="s">
        <v>5</v>
      </c>
      <c r="E1517" s="542">
        <v>2</v>
      </c>
      <c r="F1517" s="678" t="s">
        <v>185</v>
      </c>
      <c r="G1517" s="537">
        <f t="shared" si="93"/>
        <v>1.08</v>
      </c>
      <c r="H1517" s="141"/>
    </row>
    <row r="1518" spans="1:8" ht="15" customHeight="1">
      <c r="A1518" s="541" t="s">
        <v>186</v>
      </c>
      <c r="B1518" s="543" t="s">
        <v>187</v>
      </c>
      <c r="C1518" s="524" t="s">
        <v>89</v>
      </c>
      <c r="D1518" s="524" t="s">
        <v>5</v>
      </c>
      <c r="E1518" s="542">
        <v>1</v>
      </c>
      <c r="F1518" s="678" t="s">
        <v>139</v>
      </c>
      <c r="G1518" s="537">
        <f t="shared" si="93"/>
        <v>1.17</v>
      </c>
      <c r="H1518" s="141"/>
    </row>
    <row r="1519" spans="1:8" ht="15" customHeight="1">
      <c r="A1519" s="541" t="s">
        <v>188</v>
      </c>
      <c r="B1519" s="543" t="s">
        <v>189</v>
      </c>
      <c r="C1519" s="524" t="s">
        <v>89</v>
      </c>
      <c r="D1519" s="524" t="s">
        <v>5</v>
      </c>
      <c r="E1519" s="542">
        <v>2</v>
      </c>
      <c r="F1519" s="678" t="s">
        <v>190</v>
      </c>
      <c r="G1519" s="537">
        <f t="shared" si="93"/>
        <v>6.62</v>
      </c>
      <c r="H1519" s="141"/>
    </row>
    <row r="1520" spans="1:8" ht="15" customHeight="1">
      <c r="A1520" s="541" t="s">
        <v>191</v>
      </c>
      <c r="B1520" s="543" t="s">
        <v>192</v>
      </c>
      <c r="C1520" s="524" t="s">
        <v>89</v>
      </c>
      <c r="D1520" s="524" t="s">
        <v>5</v>
      </c>
      <c r="E1520" s="542">
        <v>1</v>
      </c>
      <c r="F1520" s="678" t="s">
        <v>193</v>
      </c>
      <c r="G1520" s="537">
        <f t="shared" si="93"/>
        <v>48.48</v>
      </c>
      <c r="H1520" s="141"/>
    </row>
    <row r="1521" spans="1:8" ht="15" customHeight="1">
      <c r="A1521" s="541" t="s">
        <v>194</v>
      </c>
      <c r="B1521" s="543" t="s">
        <v>195</v>
      </c>
      <c r="C1521" s="524" t="s">
        <v>89</v>
      </c>
      <c r="D1521" s="524" t="s">
        <v>4</v>
      </c>
      <c r="E1521" s="542">
        <v>1.5</v>
      </c>
      <c r="F1521" s="678" t="s">
        <v>196</v>
      </c>
      <c r="G1521" s="537">
        <f t="shared" si="93"/>
        <v>4.8899999999999997</v>
      </c>
      <c r="H1521" s="141"/>
    </row>
    <row r="1522" spans="1:8" ht="15" customHeight="1">
      <c r="A1522" s="541" t="s">
        <v>197</v>
      </c>
      <c r="B1522" s="543" t="s">
        <v>198</v>
      </c>
      <c r="C1522" s="524" t="s">
        <v>89</v>
      </c>
      <c r="D1522" s="524" t="s">
        <v>4</v>
      </c>
      <c r="E1522" s="542">
        <v>1.5</v>
      </c>
      <c r="F1522" s="678" t="s">
        <v>199</v>
      </c>
      <c r="G1522" s="537">
        <f t="shared" si="93"/>
        <v>12.73</v>
      </c>
      <c r="H1522" s="141"/>
    </row>
    <row r="1523" spans="1:8" ht="15" customHeight="1">
      <c r="A1523" s="541" t="s">
        <v>200</v>
      </c>
      <c r="B1523" s="543" t="s">
        <v>201</v>
      </c>
      <c r="C1523" s="524" t="s">
        <v>89</v>
      </c>
      <c r="D1523" s="524" t="s">
        <v>4</v>
      </c>
      <c r="E1523" s="542">
        <v>1</v>
      </c>
      <c r="F1523" s="678" t="s">
        <v>202</v>
      </c>
      <c r="G1523" s="476">
        <f t="shared" si="93"/>
        <v>14</v>
      </c>
      <c r="H1523" s="141"/>
    </row>
    <row r="1524" spans="1:8" ht="15" customHeight="1">
      <c r="A1524" s="541" t="s">
        <v>203</v>
      </c>
      <c r="B1524" s="543" t="s">
        <v>204</v>
      </c>
      <c r="C1524" s="524" t="s">
        <v>89</v>
      </c>
      <c r="D1524" s="524" t="s">
        <v>5</v>
      </c>
      <c r="E1524" s="542">
        <v>1</v>
      </c>
      <c r="F1524" s="678" t="s">
        <v>205</v>
      </c>
      <c r="G1524" s="537">
        <f t="shared" si="93"/>
        <v>3.25</v>
      </c>
      <c r="H1524" s="141"/>
    </row>
    <row r="1525" spans="1:8" ht="15" customHeight="1">
      <c r="A1525" s="541" t="s">
        <v>206</v>
      </c>
      <c r="B1525" s="543" t="s">
        <v>207</v>
      </c>
      <c r="C1525" s="524" t="s">
        <v>89</v>
      </c>
      <c r="D1525" s="524" t="s">
        <v>5</v>
      </c>
      <c r="E1525" s="542">
        <v>1</v>
      </c>
      <c r="F1525" s="678" t="s">
        <v>208</v>
      </c>
      <c r="G1525" s="537">
        <f t="shared" si="93"/>
        <v>8.2899999999999991</v>
      </c>
      <c r="H1525" s="141"/>
    </row>
    <row r="1526" spans="1:8" ht="15" customHeight="1">
      <c r="A1526" s="141"/>
      <c r="B1526" s="141"/>
      <c r="C1526" s="141"/>
      <c r="D1526" s="141"/>
      <c r="E1526" s="141"/>
      <c r="F1526" s="494" t="s">
        <v>92</v>
      </c>
      <c r="G1526" s="476">
        <f>G1502+G1504</f>
        <v>232.99</v>
      </c>
      <c r="H1526" s="141"/>
    </row>
    <row r="1527" spans="1:8" ht="15" customHeight="1">
      <c r="A1527" s="141"/>
      <c r="B1527" s="141"/>
      <c r="C1527" s="141"/>
      <c r="D1527" s="141"/>
      <c r="E1527" s="141"/>
      <c r="F1527" s="494" t="s">
        <v>94</v>
      </c>
      <c r="G1527" s="476">
        <f>G1503+G1505+G1506+G1507+G1508+G1509+G1510+G1511+G1512+G1513+G1514+G1515+G1516+G1517+G1518+G1519+G1520+G1521+G1522+G1523+G1524+G1525</f>
        <v>672.66000000000008</v>
      </c>
      <c r="H1527" s="141"/>
    </row>
    <row r="1528" spans="1:8" ht="15" customHeight="1">
      <c r="A1528" s="495" t="s">
        <v>96</v>
      </c>
      <c r="B1528" s="522"/>
      <c r="C1528" s="141"/>
      <c r="D1528" s="141"/>
      <c r="E1528" s="141"/>
      <c r="F1528" s="494" t="s">
        <v>95</v>
      </c>
      <c r="G1528" s="672">
        <f>SUM(G1526:G1527)</f>
        <v>905.65000000000009</v>
      </c>
      <c r="H1528" s="141"/>
    </row>
    <row r="1529" spans="1:8" ht="15" customHeight="1">
      <c r="A1529" s="428" t="s">
        <v>97</v>
      </c>
      <c r="B1529" s="461">
        <f>G1528</f>
        <v>905.65000000000009</v>
      </c>
      <c r="C1529" s="141"/>
      <c r="D1529" s="141"/>
      <c r="E1529" s="141"/>
      <c r="F1529" s="139"/>
      <c r="G1529" s="139"/>
      <c r="H1529" s="141"/>
    </row>
    <row r="1530" spans="1:8" ht="15" customHeight="1">
      <c r="A1530" s="455" t="s">
        <v>1936</v>
      </c>
      <c r="B1530" s="454"/>
      <c r="C1530" s="141"/>
      <c r="D1530" s="141"/>
      <c r="E1530" s="141"/>
      <c r="F1530" s="139"/>
      <c r="G1530" s="139"/>
      <c r="H1530" s="141"/>
    </row>
    <row r="1531" spans="1:8" ht="15" customHeight="1">
      <c r="A1531" s="535" t="s">
        <v>1995</v>
      </c>
      <c r="B1531" s="454">
        <f>(B1529+B1530)*0.245</f>
        <v>221.88425000000001</v>
      </c>
      <c r="C1531" s="141"/>
      <c r="D1531" s="141"/>
      <c r="E1531" s="141"/>
      <c r="F1531" s="139"/>
      <c r="G1531" s="139"/>
      <c r="H1531" s="141"/>
    </row>
    <row r="1532" spans="1:8" ht="15" customHeight="1">
      <c r="A1532" s="428" t="s">
        <v>98</v>
      </c>
      <c r="B1532" s="570">
        <f>SUM(B1529:B1531)</f>
        <v>1127.5342500000002</v>
      </c>
      <c r="C1532" s="141"/>
      <c r="D1532" s="141"/>
      <c r="E1532" s="141"/>
      <c r="F1532" s="139"/>
      <c r="G1532" s="139"/>
      <c r="H1532" s="141"/>
    </row>
    <row r="1533" spans="1:8">
      <c r="A1533" s="429"/>
      <c r="B1533" s="430"/>
      <c r="C1533" s="431"/>
      <c r="D1533" s="429"/>
      <c r="E1533" s="430"/>
      <c r="F1533" s="430"/>
      <c r="G1533" s="430"/>
      <c r="H1533" s="429"/>
    </row>
    <row r="1535" spans="1:8">
      <c r="A1535" s="130" t="s">
        <v>653</v>
      </c>
    </row>
    <row r="1536" spans="1:8">
      <c r="A1536" s="467" t="s">
        <v>1947</v>
      </c>
      <c r="B1536" s="468"/>
      <c r="C1536" s="468"/>
      <c r="D1536" s="468"/>
      <c r="E1536" s="468"/>
      <c r="F1536" s="468"/>
      <c r="G1536" s="468"/>
      <c r="H1536" s="468"/>
    </row>
    <row r="1537" spans="1:8" ht="27" customHeight="1">
      <c r="A1537" s="544" t="s">
        <v>924</v>
      </c>
      <c r="B1537" s="1337" t="s">
        <v>1949</v>
      </c>
      <c r="C1537" s="1337"/>
      <c r="D1537" s="1337"/>
      <c r="E1537" s="505" t="s">
        <v>822</v>
      </c>
      <c r="F1537" s="468"/>
      <c r="G1537" s="468"/>
      <c r="H1537" s="468"/>
    </row>
    <row r="1538" spans="1:8" ht="22.5">
      <c r="A1538" s="933" t="s">
        <v>30</v>
      </c>
      <c r="B1538" s="420" t="s">
        <v>19</v>
      </c>
      <c r="C1538" s="343" t="s">
        <v>82</v>
      </c>
      <c r="D1538" s="936" t="s">
        <v>79</v>
      </c>
      <c r="E1538" s="936" t="s">
        <v>83</v>
      </c>
      <c r="F1538" s="345" t="s">
        <v>84</v>
      </c>
      <c r="G1538" s="421" t="s">
        <v>85</v>
      </c>
      <c r="H1538" s="939"/>
    </row>
    <row r="1539" spans="1:8" ht="14.1" customHeight="1">
      <c r="A1539" s="1317">
        <v>88267</v>
      </c>
      <c r="B1539" s="1351" t="s">
        <v>245</v>
      </c>
      <c r="C1539" s="343" t="s">
        <v>102</v>
      </c>
      <c r="D1539" s="1343" t="s">
        <v>345</v>
      </c>
      <c r="E1539" s="1345">
        <f>34.72*2</f>
        <v>69.44</v>
      </c>
      <c r="F1539" s="414">
        <f>'COMP AUX'!G338</f>
        <v>15.41</v>
      </c>
      <c r="G1539" s="1041">
        <f>TRUNC(E1539*F1539,2)</f>
        <v>1070.07</v>
      </c>
      <c r="H1539" s="939"/>
    </row>
    <row r="1540" spans="1:8" ht="14.1" customHeight="1">
      <c r="A1540" s="1318"/>
      <c r="B1540" s="1352"/>
      <c r="C1540" s="935" t="s">
        <v>89</v>
      </c>
      <c r="D1540" s="1344"/>
      <c r="E1540" s="1346"/>
      <c r="F1540" s="486">
        <f>'COMP AUX'!G339</f>
        <v>4.5600000000000005</v>
      </c>
      <c r="G1540" s="476">
        <f>TRUNC(E1539*F1540,2)</f>
        <v>316.64</v>
      </c>
      <c r="H1540" s="939"/>
    </row>
    <row r="1541" spans="1:8" ht="14.1" customHeight="1">
      <c r="A1541" s="1340">
        <v>88278</v>
      </c>
      <c r="B1541" s="1338" t="s">
        <v>386</v>
      </c>
      <c r="C1541" s="935" t="s">
        <v>102</v>
      </c>
      <c r="D1541" s="1343" t="s">
        <v>345</v>
      </c>
      <c r="E1541" s="1345">
        <f>13.88*2</f>
        <v>27.76</v>
      </c>
      <c r="F1541" s="486">
        <f>'COMP AUX'!G703</f>
        <v>10.49</v>
      </c>
      <c r="G1541" s="476">
        <f>TRUNC(E1541*F1541,2)</f>
        <v>291.2</v>
      </c>
      <c r="H1541" s="939"/>
    </row>
    <row r="1542" spans="1:8" ht="14.1" customHeight="1">
      <c r="A1542" s="1350"/>
      <c r="B1542" s="1339"/>
      <c r="C1542" s="935" t="s">
        <v>89</v>
      </c>
      <c r="D1542" s="1344"/>
      <c r="E1542" s="1346"/>
      <c r="F1542" s="486">
        <f>'COMP AUX'!G704</f>
        <v>4.5600000000000005</v>
      </c>
      <c r="G1542" s="476">
        <f>TRUNC(E1541*F1542,2)</f>
        <v>126.58</v>
      </c>
      <c r="H1542" s="939"/>
    </row>
    <row r="1543" spans="1:8" ht="14.1" customHeight="1">
      <c r="A1543" s="1340">
        <v>88316</v>
      </c>
      <c r="B1543" s="1338" t="s">
        <v>106</v>
      </c>
      <c r="C1543" s="935" t="s">
        <v>102</v>
      </c>
      <c r="D1543" s="1343" t="s">
        <v>345</v>
      </c>
      <c r="E1543" s="1345">
        <f>30.84*2</f>
        <v>61.68</v>
      </c>
      <c r="F1543" s="671">
        <f>'COMP AUX'!G104</f>
        <v>11.1</v>
      </c>
      <c r="G1543" s="476">
        <f t="shared" ref="G1543" si="94">TRUNC(E1543*F1543,2)</f>
        <v>684.64</v>
      </c>
      <c r="H1543" s="939"/>
    </row>
    <row r="1544" spans="1:8" ht="14.1" customHeight="1">
      <c r="A1544" s="1341"/>
      <c r="B1544" s="1339"/>
      <c r="C1544" s="935" t="s">
        <v>89</v>
      </c>
      <c r="D1544" s="1344"/>
      <c r="E1544" s="1346"/>
      <c r="F1544" s="671">
        <f>'COMP AUX'!G105</f>
        <v>4.5600000000000005</v>
      </c>
      <c r="G1544" s="476">
        <f>TRUNC(E1543*F1544,2)</f>
        <v>281.26</v>
      </c>
      <c r="H1544" s="939"/>
    </row>
    <row r="1545" spans="1:8" ht="28.5" customHeight="1">
      <c r="A1545" s="968">
        <v>34469</v>
      </c>
      <c r="B1545" s="941" t="s">
        <v>1946</v>
      </c>
      <c r="C1545" s="935" t="s">
        <v>89</v>
      </c>
      <c r="D1545" s="935" t="s">
        <v>822</v>
      </c>
      <c r="E1545" s="542">
        <v>2</v>
      </c>
      <c r="F1545" s="969">
        <v>7638.09</v>
      </c>
      <c r="G1545" s="519">
        <f>TRUNC(E1545*F1545,2)</f>
        <v>15276.18</v>
      </c>
      <c r="H1545" s="939"/>
    </row>
    <row r="1546" spans="1:8" ht="14.1" customHeight="1">
      <c r="A1546" s="939"/>
      <c r="B1546" s="939"/>
      <c r="C1546" s="939"/>
      <c r="D1546" s="939"/>
      <c r="E1546" s="939"/>
      <c r="F1546" s="520" t="s">
        <v>92</v>
      </c>
      <c r="G1546" s="518">
        <f>G1539+G1541+G1543</f>
        <v>2045.9099999999999</v>
      </c>
      <c r="H1546" s="939"/>
    </row>
    <row r="1547" spans="1:8" ht="14.1" customHeight="1">
      <c r="A1547" s="939"/>
      <c r="B1547" s="939"/>
      <c r="C1547" s="939"/>
      <c r="D1547" s="939"/>
      <c r="E1547" s="939"/>
      <c r="F1547" s="494" t="s">
        <v>94</v>
      </c>
      <c r="G1547" s="519">
        <f>G1540+G1542+G1544+G1545</f>
        <v>16000.66</v>
      </c>
      <c r="H1547" s="939"/>
    </row>
    <row r="1548" spans="1:8" ht="14.1" customHeight="1">
      <c r="A1548" s="495" t="s">
        <v>96</v>
      </c>
      <c r="B1548" s="939"/>
      <c r="C1548" s="939"/>
      <c r="D1548" s="939"/>
      <c r="E1548" s="939"/>
      <c r="F1548" s="494" t="s">
        <v>95</v>
      </c>
      <c r="G1548" s="521">
        <f>SUM(G1546:G1547)</f>
        <v>18046.57</v>
      </c>
      <c r="H1548" s="939"/>
    </row>
    <row r="1549" spans="1:8" ht="14.1" customHeight="1">
      <c r="A1549" s="428" t="s">
        <v>97</v>
      </c>
      <c r="B1549" s="569">
        <f>G1548</f>
        <v>18046.57</v>
      </c>
      <c r="C1549" s="939"/>
      <c r="D1549" s="939"/>
      <c r="E1549" s="939"/>
      <c r="F1549" s="139"/>
      <c r="G1549" s="139"/>
      <c r="H1549" s="939"/>
    </row>
    <row r="1550" spans="1:8" ht="14.1" customHeight="1">
      <c r="A1550" s="455" t="s">
        <v>1936</v>
      </c>
      <c r="B1550" s="454"/>
      <c r="C1550" s="939"/>
      <c r="D1550" s="939"/>
      <c r="E1550" s="939"/>
      <c r="F1550" s="139"/>
      <c r="G1550" s="139"/>
      <c r="H1550" s="939"/>
    </row>
    <row r="1551" spans="1:8" ht="14.1" customHeight="1">
      <c r="A1551" s="535" t="s">
        <v>1995</v>
      </c>
      <c r="B1551" s="1021">
        <f>(B1549+B1550)*0.245</f>
        <v>4421.4096499999996</v>
      </c>
      <c r="C1551" s="939"/>
      <c r="D1551" s="939"/>
      <c r="E1551" s="939"/>
      <c r="F1551" s="139"/>
      <c r="G1551" s="139"/>
      <c r="H1551" s="939"/>
    </row>
    <row r="1552" spans="1:8" ht="14.1" customHeight="1">
      <c r="A1552" s="428" t="s">
        <v>98</v>
      </c>
      <c r="B1552" s="570">
        <f>SUM(B1549:B1551)</f>
        <v>22467.979650000001</v>
      </c>
      <c r="C1552" s="939"/>
      <c r="D1552" s="939"/>
      <c r="E1552" s="939"/>
      <c r="F1552" s="139"/>
      <c r="G1552" s="139"/>
      <c r="H1552" s="490"/>
    </row>
    <row r="1553" spans="1:8">
      <c r="A1553" s="429"/>
      <c r="B1553" s="430"/>
      <c r="C1553" s="431"/>
      <c r="D1553" s="429"/>
      <c r="E1553" s="430"/>
      <c r="F1553" s="430"/>
      <c r="G1553" s="430"/>
      <c r="H1553" s="429"/>
    </row>
    <row r="1555" spans="1:8">
      <c r="A1555" s="130" t="s">
        <v>653</v>
      </c>
    </row>
    <row r="1556" spans="1:8">
      <c r="A1556" s="467" t="s">
        <v>1958</v>
      </c>
      <c r="B1556" s="468"/>
      <c r="C1556" s="468"/>
      <c r="D1556" s="468"/>
      <c r="E1556" s="468"/>
      <c r="F1556" s="468"/>
      <c r="G1556" s="468"/>
      <c r="H1556" s="468"/>
    </row>
    <row r="1557" spans="1:8" ht="22.5">
      <c r="A1557" s="544" t="s">
        <v>924</v>
      </c>
      <c r="B1557" s="544" t="s">
        <v>1957</v>
      </c>
      <c r="C1557" s="505" t="s">
        <v>822</v>
      </c>
      <c r="D1557" s="544"/>
      <c r="F1557" s="468"/>
      <c r="G1557" s="468"/>
      <c r="H1557" s="468"/>
    </row>
    <row r="1558" spans="1:8" ht="22.5">
      <c r="A1558" s="933" t="s">
        <v>30</v>
      </c>
      <c r="B1558" s="420" t="s">
        <v>19</v>
      </c>
      <c r="C1558" s="343" t="s">
        <v>82</v>
      </c>
      <c r="D1558" s="936" t="s">
        <v>79</v>
      </c>
      <c r="E1558" s="936" t="s">
        <v>83</v>
      </c>
      <c r="F1558" s="345" t="s">
        <v>84</v>
      </c>
      <c r="G1558" s="421" t="s">
        <v>85</v>
      </c>
      <c r="H1558" s="939"/>
    </row>
    <row r="1559" spans="1:8" ht="15" customHeight="1">
      <c r="A1559" s="1317">
        <v>88267</v>
      </c>
      <c r="B1559" s="1351" t="s">
        <v>110</v>
      </c>
      <c r="C1559" s="343" t="s">
        <v>102</v>
      </c>
      <c r="D1559" s="1343" t="s">
        <v>345</v>
      </c>
      <c r="E1559" s="1345">
        <v>0.35</v>
      </c>
      <c r="F1559" s="414">
        <f>'COMP AUX'!G151</f>
        <v>14.93</v>
      </c>
      <c r="G1559" s="424">
        <f>TRUNC(E1559*F1559,2)</f>
        <v>5.22</v>
      </c>
      <c r="H1559" s="939"/>
    </row>
    <row r="1560" spans="1:8" ht="15" customHeight="1">
      <c r="A1560" s="1318"/>
      <c r="B1560" s="1352"/>
      <c r="C1560" s="935" t="s">
        <v>89</v>
      </c>
      <c r="D1560" s="1344"/>
      <c r="E1560" s="1346"/>
      <c r="F1560" s="486">
        <f>'COMP AUX'!G152</f>
        <v>4.5600000000000005</v>
      </c>
      <c r="G1560" s="476">
        <f>TRUNC(E1559*F1560,2)</f>
        <v>1.59</v>
      </c>
      <c r="H1560" s="939"/>
    </row>
    <row r="1561" spans="1:8" ht="27" customHeight="1">
      <c r="A1561" s="968">
        <v>37401</v>
      </c>
      <c r="B1561" s="941" t="s">
        <v>1959</v>
      </c>
      <c r="C1561" s="935" t="s">
        <v>89</v>
      </c>
      <c r="D1561" s="935" t="s">
        <v>822</v>
      </c>
      <c r="E1561" s="542">
        <v>1</v>
      </c>
      <c r="F1561" s="969">
        <v>51.67</v>
      </c>
      <c r="G1561" s="519">
        <f>TRUNC(E1561*F1561,2)</f>
        <v>51.67</v>
      </c>
      <c r="H1561" s="939"/>
    </row>
    <row r="1562" spans="1:8" ht="14.1" customHeight="1">
      <c r="A1562" s="939"/>
      <c r="B1562" s="939"/>
      <c r="C1562" s="939"/>
      <c r="D1562" s="939"/>
      <c r="E1562" s="939"/>
      <c r="F1562" s="520" t="s">
        <v>92</v>
      </c>
      <c r="G1562" s="967">
        <f>G1559</f>
        <v>5.22</v>
      </c>
      <c r="H1562" s="939"/>
    </row>
    <row r="1563" spans="1:8" ht="14.1" customHeight="1">
      <c r="A1563" s="939"/>
      <c r="B1563" s="939"/>
      <c r="C1563" s="939"/>
      <c r="D1563" s="939"/>
      <c r="E1563" s="939"/>
      <c r="F1563" s="494" t="s">
        <v>94</v>
      </c>
      <c r="G1563" s="519">
        <f>G1560+G1561</f>
        <v>53.260000000000005</v>
      </c>
      <c r="H1563" s="939"/>
    </row>
    <row r="1564" spans="1:8" ht="14.1" customHeight="1">
      <c r="A1564" s="495" t="s">
        <v>96</v>
      </c>
      <c r="B1564" s="939"/>
      <c r="C1564" s="939"/>
      <c r="D1564" s="939"/>
      <c r="E1564" s="939"/>
      <c r="F1564" s="494" t="s">
        <v>95</v>
      </c>
      <c r="G1564" s="521">
        <f>SUM(G1562:G1563)</f>
        <v>58.480000000000004</v>
      </c>
      <c r="H1564" s="939"/>
    </row>
    <row r="1565" spans="1:8" ht="14.1" customHeight="1">
      <c r="A1565" s="428" t="s">
        <v>97</v>
      </c>
      <c r="B1565" s="569">
        <f>G1564</f>
        <v>58.480000000000004</v>
      </c>
      <c r="C1565" s="939"/>
      <c r="D1565" s="939"/>
      <c r="E1565" s="939"/>
      <c r="F1565" s="139"/>
      <c r="G1565" s="139"/>
      <c r="H1565" s="939"/>
    </row>
    <row r="1566" spans="1:8" ht="14.1" customHeight="1">
      <c r="A1566" s="455" t="s">
        <v>1936</v>
      </c>
      <c r="B1566" s="454"/>
      <c r="C1566" s="939"/>
      <c r="D1566" s="939"/>
      <c r="E1566" s="939"/>
      <c r="F1566" s="139"/>
      <c r="G1566" s="139"/>
      <c r="H1566" s="939"/>
    </row>
    <row r="1567" spans="1:8" ht="14.1" customHeight="1">
      <c r="A1567" s="535" t="s">
        <v>1995</v>
      </c>
      <c r="B1567" s="454">
        <f>(B1565+B1566)*0.245</f>
        <v>14.3276</v>
      </c>
      <c r="C1567" s="939"/>
      <c r="D1567" s="939"/>
      <c r="E1567" s="939"/>
      <c r="F1567" s="139"/>
      <c r="G1567" s="139"/>
      <c r="H1567" s="939"/>
    </row>
    <row r="1568" spans="1:8" ht="14.1" customHeight="1">
      <c r="A1568" s="428" t="s">
        <v>98</v>
      </c>
      <c r="B1568" s="570">
        <f>SUM(B1565:B1567)</f>
        <v>72.807600000000008</v>
      </c>
      <c r="C1568" s="939"/>
      <c r="D1568" s="939"/>
      <c r="E1568" s="939"/>
      <c r="F1568" s="139"/>
      <c r="G1568" s="139"/>
      <c r="H1568" s="490"/>
    </row>
    <row r="1569" spans="1:8">
      <c r="A1569" s="429"/>
      <c r="B1569" s="430"/>
      <c r="C1569" s="431"/>
      <c r="D1569" s="429"/>
      <c r="E1569" s="430"/>
      <c r="F1569" s="430"/>
      <c r="G1569" s="430"/>
      <c r="H1569" s="429"/>
    </row>
    <row r="1571" spans="1:8">
      <c r="A1571" s="130" t="s">
        <v>653</v>
      </c>
    </row>
    <row r="1572" spans="1:8">
      <c r="A1572" s="467" t="s">
        <v>1964</v>
      </c>
      <c r="B1572" s="468"/>
      <c r="C1572" s="468"/>
      <c r="D1572" s="468"/>
      <c r="E1572" s="468"/>
      <c r="F1572" s="468"/>
      <c r="G1572" s="468"/>
      <c r="H1572" s="468"/>
    </row>
    <row r="1573" spans="1:8" ht="40.5" customHeight="1">
      <c r="A1573" s="544" t="s">
        <v>924</v>
      </c>
      <c r="B1573" s="1337" t="s">
        <v>1962</v>
      </c>
      <c r="C1573" s="1337"/>
      <c r="D1573" s="1337"/>
      <c r="E1573" s="505" t="s">
        <v>822</v>
      </c>
      <c r="F1573" s="468"/>
      <c r="G1573" s="468"/>
      <c r="H1573" s="468"/>
    </row>
    <row r="1574" spans="1:8" ht="22.5">
      <c r="A1574" s="933" t="s">
        <v>30</v>
      </c>
      <c r="B1574" s="420" t="s">
        <v>19</v>
      </c>
      <c r="C1574" s="343" t="s">
        <v>82</v>
      </c>
      <c r="D1574" s="936" t="s">
        <v>79</v>
      </c>
      <c r="E1574" s="936" t="s">
        <v>83</v>
      </c>
      <c r="F1574" s="345" t="s">
        <v>84</v>
      </c>
      <c r="G1574" s="421" t="s">
        <v>85</v>
      </c>
      <c r="H1574" s="939"/>
    </row>
    <row r="1575" spans="1:8" ht="14.1" customHeight="1">
      <c r="A1575" s="1340">
        <v>88316</v>
      </c>
      <c r="B1575" s="1338" t="s">
        <v>106</v>
      </c>
      <c r="C1575" s="935" t="s">
        <v>102</v>
      </c>
      <c r="D1575" s="1343" t="s">
        <v>345</v>
      </c>
      <c r="E1575" s="1345">
        <v>1</v>
      </c>
      <c r="F1575" s="671">
        <f>'COMP AUX'!G104</f>
        <v>11.1</v>
      </c>
      <c r="G1575" s="476">
        <f t="shared" ref="G1575" si="95">TRUNC(E1575*F1575,2)</f>
        <v>11.1</v>
      </c>
      <c r="H1575" s="939"/>
    </row>
    <row r="1576" spans="1:8" ht="14.1" customHeight="1">
      <c r="A1576" s="1341"/>
      <c r="B1576" s="1339"/>
      <c r="C1576" s="935" t="s">
        <v>89</v>
      </c>
      <c r="D1576" s="1344"/>
      <c r="E1576" s="1346"/>
      <c r="F1576" s="671">
        <f>'COMP AUX'!G105</f>
        <v>4.5600000000000005</v>
      </c>
      <c r="G1576" s="476">
        <f>TRUNC(E1575*F1576,2)</f>
        <v>4.5599999999999996</v>
      </c>
      <c r="H1576" s="939"/>
    </row>
    <row r="1577" spans="1:8" ht="14.1" customHeight="1">
      <c r="A1577" s="1317">
        <v>88267</v>
      </c>
      <c r="B1577" s="1351" t="s">
        <v>110</v>
      </c>
      <c r="C1577" s="343" t="s">
        <v>102</v>
      </c>
      <c r="D1577" s="1343" t="s">
        <v>345</v>
      </c>
      <c r="E1577" s="1345">
        <v>1</v>
      </c>
      <c r="F1577" s="414">
        <f>'COMP AUX'!G151</f>
        <v>14.93</v>
      </c>
      <c r="G1577" s="424">
        <f>TRUNC(E1577*F1577,2)</f>
        <v>14.93</v>
      </c>
      <c r="H1577" s="939"/>
    </row>
    <row r="1578" spans="1:8" ht="14.1" customHeight="1">
      <c r="A1578" s="1318"/>
      <c r="B1578" s="1352"/>
      <c r="C1578" s="935" t="s">
        <v>89</v>
      </c>
      <c r="D1578" s="1344"/>
      <c r="E1578" s="1346"/>
      <c r="F1578" s="486">
        <f>'COMP AUX'!G152</f>
        <v>4.5600000000000005</v>
      </c>
      <c r="G1578" s="476">
        <f>TRUNC(E1577*F1578,2)</f>
        <v>4.5599999999999996</v>
      </c>
      <c r="H1578" s="939"/>
    </row>
    <row r="1579" spans="1:8" ht="22.5">
      <c r="A1579" s="968">
        <v>36081</v>
      </c>
      <c r="B1579" s="941" t="s">
        <v>1963</v>
      </c>
      <c r="C1579" s="935" t="s">
        <v>89</v>
      </c>
      <c r="D1579" s="935" t="s">
        <v>822</v>
      </c>
      <c r="E1579" s="542">
        <v>1</v>
      </c>
      <c r="F1579" s="969">
        <v>206.99</v>
      </c>
      <c r="G1579" s="519">
        <f>TRUNC(E1579*F1579,2)</f>
        <v>206.99</v>
      </c>
      <c r="H1579" s="939"/>
    </row>
    <row r="1580" spans="1:8" ht="14.1" customHeight="1">
      <c r="A1580" s="939"/>
      <c r="B1580" s="939"/>
      <c r="C1580" s="939"/>
      <c r="D1580" s="939"/>
      <c r="E1580" s="939"/>
      <c r="F1580" s="520" t="s">
        <v>92</v>
      </c>
      <c r="G1580" s="967">
        <f>G1575+G1577</f>
        <v>26.03</v>
      </c>
      <c r="H1580" s="939"/>
    </row>
    <row r="1581" spans="1:8" ht="14.1" customHeight="1">
      <c r="A1581" s="939"/>
      <c r="B1581" s="939"/>
      <c r="C1581" s="939"/>
      <c r="D1581" s="939"/>
      <c r="E1581" s="939"/>
      <c r="F1581" s="494" t="s">
        <v>94</v>
      </c>
      <c r="G1581" s="519">
        <f>G1576+G1578+G1579</f>
        <v>216.11</v>
      </c>
      <c r="H1581" s="939"/>
    </row>
    <row r="1582" spans="1:8" ht="14.1" customHeight="1">
      <c r="A1582" s="495" t="s">
        <v>96</v>
      </c>
      <c r="B1582" s="939"/>
      <c r="C1582" s="939"/>
      <c r="D1582" s="939"/>
      <c r="E1582" s="939"/>
      <c r="F1582" s="494" t="s">
        <v>95</v>
      </c>
      <c r="G1582" s="521">
        <f>SUM(G1580:G1581)</f>
        <v>242.14000000000001</v>
      </c>
      <c r="H1582" s="939"/>
    </row>
    <row r="1583" spans="1:8" ht="14.1" customHeight="1">
      <c r="A1583" s="428" t="s">
        <v>97</v>
      </c>
      <c r="B1583" s="569">
        <f>G1582</f>
        <v>242.14000000000001</v>
      </c>
      <c r="C1583" s="939"/>
      <c r="D1583" s="939"/>
      <c r="E1583" s="939"/>
      <c r="F1583" s="139"/>
      <c r="G1583" s="139"/>
      <c r="H1583" s="939"/>
    </row>
    <row r="1584" spans="1:8" ht="14.1" customHeight="1">
      <c r="A1584" s="455" t="s">
        <v>1936</v>
      </c>
      <c r="B1584" s="454"/>
      <c r="C1584" s="939"/>
      <c r="D1584" s="939"/>
      <c r="E1584" s="939"/>
      <c r="F1584" s="139"/>
      <c r="G1584" s="139"/>
      <c r="H1584" s="939"/>
    </row>
    <row r="1585" spans="1:8" ht="14.1" customHeight="1">
      <c r="A1585" s="535" t="s">
        <v>1995</v>
      </c>
      <c r="B1585" s="454">
        <f>(B1583+B1584)*0.245</f>
        <v>59.324300000000001</v>
      </c>
      <c r="C1585" s="939"/>
      <c r="D1585" s="939"/>
      <c r="E1585" s="939"/>
      <c r="F1585" s="139"/>
      <c r="G1585" s="139"/>
      <c r="H1585" s="939"/>
    </row>
    <row r="1586" spans="1:8" ht="14.1" customHeight="1">
      <c r="A1586" s="428" t="s">
        <v>98</v>
      </c>
      <c r="B1586" s="570">
        <f>SUM(B1583:B1585)</f>
        <v>301.46430000000004</v>
      </c>
      <c r="C1586" s="939"/>
      <c r="D1586" s="939"/>
      <c r="E1586" s="939"/>
      <c r="F1586" s="139"/>
      <c r="G1586" s="139"/>
      <c r="H1586" s="490"/>
    </row>
    <row r="1587" spans="1:8">
      <c r="A1587" s="429"/>
      <c r="B1587" s="430"/>
      <c r="C1587" s="431"/>
      <c r="D1587" s="429"/>
      <c r="E1587" s="430"/>
      <c r="F1587" s="430"/>
      <c r="G1587" s="430"/>
      <c r="H1587" s="429"/>
    </row>
    <row r="1589" spans="1:8">
      <c r="A1589" s="130" t="s">
        <v>653</v>
      </c>
    </row>
    <row r="1590" spans="1:8">
      <c r="A1590" s="467" t="s">
        <v>1965</v>
      </c>
      <c r="B1590" s="468"/>
      <c r="C1590" s="468"/>
      <c r="D1590" s="468"/>
      <c r="E1590" s="468"/>
      <c r="F1590" s="468"/>
      <c r="G1590" s="468"/>
      <c r="H1590" s="468"/>
    </row>
    <row r="1591" spans="1:8" ht="38.25" customHeight="1">
      <c r="A1591" s="544" t="s">
        <v>924</v>
      </c>
      <c r="B1591" s="1337" t="s">
        <v>1966</v>
      </c>
      <c r="C1591" s="1337"/>
      <c r="D1591" s="1337"/>
      <c r="E1591" s="505" t="s">
        <v>822</v>
      </c>
      <c r="F1591" s="468"/>
      <c r="G1591" s="468"/>
      <c r="H1591" s="468"/>
    </row>
    <row r="1592" spans="1:8" ht="22.5">
      <c r="A1592" s="933" t="s">
        <v>30</v>
      </c>
      <c r="B1592" s="420" t="s">
        <v>19</v>
      </c>
      <c r="C1592" s="343" t="s">
        <v>82</v>
      </c>
      <c r="D1592" s="936" t="s">
        <v>79</v>
      </c>
      <c r="E1592" s="936" t="s">
        <v>83</v>
      </c>
      <c r="F1592" s="345" t="s">
        <v>84</v>
      </c>
      <c r="G1592" s="421" t="s">
        <v>85</v>
      </c>
      <c r="H1592" s="939"/>
    </row>
    <row r="1593" spans="1:8" ht="14.1" customHeight="1">
      <c r="A1593" s="1340">
        <v>88316</v>
      </c>
      <c r="B1593" s="1338" t="s">
        <v>106</v>
      </c>
      <c r="C1593" s="935" t="s">
        <v>102</v>
      </c>
      <c r="D1593" s="1343" t="s">
        <v>345</v>
      </c>
      <c r="E1593" s="1345">
        <v>1</v>
      </c>
      <c r="F1593" s="671">
        <f>'COMP AUX'!G104</f>
        <v>11.1</v>
      </c>
      <c r="G1593" s="476">
        <f t="shared" ref="G1593" si="96">TRUNC(E1593*F1593,2)</f>
        <v>11.1</v>
      </c>
      <c r="H1593" s="939"/>
    </row>
    <row r="1594" spans="1:8" ht="14.1" customHeight="1">
      <c r="A1594" s="1341"/>
      <c r="B1594" s="1339"/>
      <c r="C1594" s="935" t="s">
        <v>89</v>
      </c>
      <c r="D1594" s="1344"/>
      <c r="E1594" s="1346"/>
      <c r="F1594" s="671">
        <f>'COMP AUX'!G105</f>
        <v>4.5600000000000005</v>
      </c>
      <c r="G1594" s="476">
        <f>TRUNC(E1593*F1594,2)</f>
        <v>4.5599999999999996</v>
      </c>
      <c r="H1594" s="939"/>
    </row>
    <row r="1595" spans="1:8" ht="14.1" customHeight="1">
      <c r="A1595" s="1317">
        <v>88267</v>
      </c>
      <c r="B1595" s="1351" t="s">
        <v>110</v>
      </c>
      <c r="C1595" s="343" t="s">
        <v>102</v>
      </c>
      <c r="D1595" s="1343" t="s">
        <v>345</v>
      </c>
      <c r="E1595" s="1345">
        <v>1</v>
      </c>
      <c r="F1595" s="414">
        <f>'COMP AUX'!G151</f>
        <v>14.93</v>
      </c>
      <c r="G1595" s="424">
        <f>TRUNC(E1595*F1595,2)</f>
        <v>14.93</v>
      </c>
      <c r="H1595" s="939"/>
    </row>
    <row r="1596" spans="1:8" ht="14.1" customHeight="1">
      <c r="A1596" s="1318"/>
      <c r="B1596" s="1352"/>
      <c r="C1596" s="935" t="s">
        <v>89</v>
      </c>
      <c r="D1596" s="1344"/>
      <c r="E1596" s="1346"/>
      <c r="F1596" s="486">
        <f>'COMP AUX'!G152</f>
        <v>4.5600000000000005</v>
      </c>
      <c r="G1596" s="476">
        <f>TRUNC(E1595*F1596,2)</f>
        <v>4.5599999999999996</v>
      </c>
      <c r="H1596" s="939"/>
    </row>
    <row r="1597" spans="1:8" ht="22.5">
      <c r="A1597" s="968">
        <v>36205</v>
      </c>
      <c r="B1597" s="941" t="s">
        <v>1967</v>
      </c>
      <c r="C1597" s="935" t="s">
        <v>89</v>
      </c>
      <c r="D1597" s="935" t="s">
        <v>822</v>
      </c>
      <c r="E1597" s="542">
        <v>1</v>
      </c>
      <c r="F1597" s="969">
        <v>194.13</v>
      </c>
      <c r="G1597" s="519">
        <f>TRUNC(E1597*F1597,2)</f>
        <v>194.13</v>
      </c>
      <c r="H1597" s="939"/>
    </row>
    <row r="1598" spans="1:8" ht="14.1" customHeight="1">
      <c r="A1598" s="939"/>
      <c r="B1598" s="939"/>
      <c r="C1598" s="939"/>
      <c r="D1598" s="939"/>
      <c r="E1598" s="939"/>
      <c r="F1598" s="520" t="s">
        <v>92</v>
      </c>
      <c r="G1598" s="967">
        <f>G1593+G1595</f>
        <v>26.03</v>
      </c>
      <c r="H1598" s="939"/>
    </row>
    <row r="1599" spans="1:8" ht="14.1" customHeight="1">
      <c r="A1599" s="939"/>
      <c r="B1599" s="939"/>
      <c r="C1599" s="939"/>
      <c r="D1599" s="939"/>
      <c r="E1599" s="939"/>
      <c r="F1599" s="494" t="s">
        <v>94</v>
      </c>
      <c r="G1599" s="519">
        <f>G1594+G1596+G1597</f>
        <v>203.25</v>
      </c>
      <c r="H1599" s="939"/>
    </row>
    <row r="1600" spans="1:8" ht="14.1" customHeight="1">
      <c r="A1600" s="495" t="s">
        <v>96</v>
      </c>
      <c r="B1600" s="939"/>
      <c r="C1600" s="939"/>
      <c r="D1600" s="939"/>
      <c r="E1600" s="939"/>
      <c r="F1600" s="494" t="s">
        <v>95</v>
      </c>
      <c r="G1600" s="521">
        <f>SUM(G1598:G1599)</f>
        <v>229.28</v>
      </c>
      <c r="H1600" s="939"/>
    </row>
    <row r="1601" spans="1:8" ht="14.1" customHeight="1">
      <c r="A1601" s="428" t="s">
        <v>97</v>
      </c>
      <c r="B1601" s="569">
        <f>G1600</f>
        <v>229.28</v>
      </c>
      <c r="C1601" s="939"/>
      <c r="D1601" s="939"/>
      <c r="E1601" s="939"/>
      <c r="F1601" s="139"/>
      <c r="G1601" s="139"/>
      <c r="H1601" s="939"/>
    </row>
    <row r="1602" spans="1:8" ht="14.1" customHeight="1">
      <c r="A1602" s="455" t="s">
        <v>1936</v>
      </c>
      <c r="B1602" s="454"/>
      <c r="C1602" s="939"/>
      <c r="D1602" s="939"/>
      <c r="E1602" s="939"/>
      <c r="F1602" s="139"/>
      <c r="G1602" s="139"/>
      <c r="H1602" s="939"/>
    </row>
    <row r="1603" spans="1:8" ht="14.1" customHeight="1">
      <c r="A1603" s="535" t="s">
        <v>1995</v>
      </c>
      <c r="B1603" s="454">
        <f>(B1601+B1602)*0.245</f>
        <v>56.1736</v>
      </c>
      <c r="C1603" s="939"/>
      <c r="D1603" s="939"/>
      <c r="E1603" s="939"/>
      <c r="F1603" s="139"/>
      <c r="G1603" s="139"/>
      <c r="H1603" s="939"/>
    </row>
    <row r="1604" spans="1:8" ht="14.1" customHeight="1">
      <c r="A1604" s="428" t="s">
        <v>98</v>
      </c>
      <c r="B1604" s="570">
        <f>SUM(B1601:B1603)</f>
        <v>285.45359999999999</v>
      </c>
      <c r="C1604" s="939"/>
      <c r="D1604" s="939"/>
      <c r="E1604" s="939"/>
      <c r="F1604" s="139"/>
      <c r="G1604" s="139"/>
      <c r="H1604" s="490"/>
    </row>
    <row r="1605" spans="1:8">
      <c r="A1605" s="429"/>
      <c r="B1605" s="430"/>
      <c r="C1605" s="431"/>
      <c r="D1605" s="429"/>
      <c r="E1605" s="430"/>
      <c r="F1605" s="430"/>
      <c r="G1605" s="430"/>
      <c r="H1605" s="429"/>
    </row>
    <row r="1607" spans="1:8">
      <c r="A1607" s="130" t="s">
        <v>653</v>
      </c>
    </row>
    <row r="1608" spans="1:8">
      <c r="A1608" s="467" t="s">
        <v>1968</v>
      </c>
      <c r="B1608" s="468"/>
      <c r="C1608" s="468"/>
      <c r="D1608" s="468"/>
      <c r="E1608" s="468"/>
      <c r="F1608" s="468"/>
      <c r="G1608" s="468"/>
      <c r="H1608" s="468"/>
    </row>
    <row r="1609" spans="1:8" ht="37.5" customHeight="1">
      <c r="A1609" s="544" t="s">
        <v>924</v>
      </c>
      <c r="B1609" s="1337" t="s">
        <v>1969</v>
      </c>
      <c r="C1609" s="1337"/>
      <c r="D1609" s="1337"/>
      <c r="E1609" s="505" t="s">
        <v>822</v>
      </c>
      <c r="F1609" s="468"/>
      <c r="G1609" s="468"/>
      <c r="H1609" s="468"/>
    </row>
    <row r="1610" spans="1:8" ht="22.5">
      <c r="A1610" s="933" t="s">
        <v>30</v>
      </c>
      <c r="B1610" s="420" t="s">
        <v>19</v>
      </c>
      <c r="C1610" s="343" t="s">
        <v>82</v>
      </c>
      <c r="D1610" s="936" t="s">
        <v>79</v>
      </c>
      <c r="E1610" s="936" t="s">
        <v>83</v>
      </c>
      <c r="F1610" s="345" t="s">
        <v>84</v>
      </c>
      <c r="G1610" s="421" t="s">
        <v>85</v>
      </c>
      <c r="H1610" s="939"/>
    </row>
    <row r="1611" spans="1:8" ht="14.1" customHeight="1">
      <c r="A1611" s="1340">
        <v>88316</v>
      </c>
      <c r="B1611" s="1338" t="s">
        <v>106</v>
      </c>
      <c r="C1611" s="935" t="s">
        <v>102</v>
      </c>
      <c r="D1611" s="1343" t="s">
        <v>345</v>
      </c>
      <c r="E1611" s="1345">
        <v>1</v>
      </c>
      <c r="F1611" s="671">
        <f>'COMP AUX'!G104</f>
        <v>11.1</v>
      </c>
      <c r="G1611" s="476">
        <f t="shared" ref="G1611" si="97">TRUNC(E1611*F1611,2)</f>
        <v>11.1</v>
      </c>
      <c r="H1611" s="939"/>
    </row>
    <row r="1612" spans="1:8" ht="14.1" customHeight="1">
      <c r="A1612" s="1341"/>
      <c r="B1612" s="1339"/>
      <c r="C1612" s="935" t="s">
        <v>89</v>
      </c>
      <c r="D1612" s="1344"/>
      <c r="E1612" s="1346"/>
      <c r="F1612" s="671">
        <f>'COMP AUX'!G105</f>
        <v>4.5600000000000005</v>
      </c>
      <c r="G1612" s="476">
        <f>TRUNC(E1611*F1612,2)</f>
        <v>4.5599999999999996</v>
      </c>
      <c r="H1612" s="939"/>
    </row>
    <row r="1613" spans="1:8" ht="14.1" customHeight="1">
      <c r="A1613" s="1317">
        <v>88267</v>
      </c>
      <c r="B1613" s="1351" t="s">
        <v>110</v>
      </c>
      <c r="C1613" s="343" t="s">
        <v>102</v>
      </c>
      <c r="D1613" s="1343" t="s">
        <v>345</v>
      </c>
      <c r="E1613" s="1345">
        <v>1</v>
      </c>
      <c r="F1613" s="414">
        <f>'COMP AUX'!G151</f>
        <v>14.93</v>
      </c>
      <c r="G1613" s="424">
        <f>TRUNC(E1613*F1613,2)</f>
        <v>14.93</v>
      </c>
      <c r="H1613" s="939"/>
    </row>
    <row r="1614" spans="1:8" ht="14.1" customHeight="1">
      <c r="A1614" s="1318"/>
      <c r="B1614" s="1352"/>
      <c r="C1614" s="935" t="s">
        <v>89</v>
      </c>
      <c r="D1614" s="1344"/>
      <c r="E1614" s="1346"/>
      <c r="F1614" s="486">
        <f>'COMP AUX'!G152</f>
        <v>4.5600000000000005</v>
      </c>
      <c r="G1614" s="476">
        <f>TRUNC(E1613*F1614,2)</f>
        <v>4.5599999999999996</v>
      </c>
      <c r="H1614" s="939"/>
    </row>
    <row r="1615" spans="1:8" ht="22.5">
      <c r="A1615" s="968">
        <v>36204</v>
      </c>
      <c r="B1615" s="941" t="s">
        <v>1970</v>
      </c>
      <c r="C1615" s="935" t="s">
        <v>89</v>
      </c>
      <c r="D1615" s="935" t="s">
        <v>822</v>
      </c>
      <c r="E1615" s="542">
        <v>1</v>
      </c>
      <c r="F1615" s="969">
        <v>174.8</v>
      </c>
      <c r="G1615" s="519">
        <f>TRUNC(E1615*F1615,2)</f>
        <v>174.8</v>
      </c>
      <c r="H1615" s="939"/>
    </row>
    <row r="1616" spans="1:8" ht="14.1" customHeight="1">
      <c r="A1616" s="939"/>
      <c r="B1616" s="939"/>
      <c r="C1616" s="939"/>
      <c r="D1616" s="939"/>
      <c r="E1616" s="939"/>
      <c r="F1616" s="520" t="s">
        <v>92</v>
      </c>
      <c r="G1616" s="967">
        <f>G1611+G1613</f>
        <v>26.03</v>
      </c>
      <c r="H1616" s="939"/>
    </row>
    <row r="1617" spans="1:8" ht="14.1" customHeight="1">
      <c r="A1617" s="939"/>
      <c r="B1617" s="939"/>
      <c r="C1617" s="939"/>
      <c r="D1617" s="939"/>
      <c r="E1617" s="939"/>
      <c r="F1617" s="494" t="s">
        <v>94</v>
      </c>
      <c r="G1617" s="519">
        <f>G1612+G1614+G1615</f>
        <v>183.92000000000002</v>
      </c>
      <c r="H1617" s="939"/>
    </row>
    <row r="1618" spans="1:8" ht="14.1" customHeight="1">
      <c r="A1618" s="495" t="s">
        <v>96</v>
      </c>
      <c r="B1618" s="939"/>
      <c r="C1618" s="939"/>
      <c r="D1618" s="939"/>
      <c r="E1618" s="939"/>
      <c r="F1618" s="494" t="s">
        <v>95</v>
      </c>
      <c r="G1618" s="521">
        <f>SUM(G1616:G1617)</f>
        <v>209.95000000000002</v>
      </c>
      <c r="H1618" s="939"/>
    </row>
    <row r="1619" spans="1:8" ht="14.1" customHeight="1">
      <c r="A1619" s="428" t="s">
        <v>97</v>
      </c>
      <c r="B1619" s="569">
        <f>G1618</f>
        <v>209.95000000000002</v>
      </c>
      <c r="C1619" s="939"/>
      <c r="D1619" s="939"/>
      <c r="E1619" s="939"/>
      <c r="F1619" s="139"/>
      <c r="G1619" s="139"/>
      <c r="H1619" s="939"/>
    </row>
    <row r="1620" spans="1:8" ht="14.1" customHeight="1">
      <c r="A1620" s="455" t="s">
        <v>1936</v>
      </c>
      <c r="B1620" s="454"/>
      <c r="C1620" s="939"/>
      <c r="D1620" s="939"/>
      <c r="E1620" s="939"/>
      <c r="F1620" s="139"/>
      <c r="G1620" s="139"/>
      <c r="H1620" s="939"/>
    </row>
    <row r="1621" spans="1:8" ht="14.1" customHeight="1">
      <c r="A1621" s="535" t="s">
        <v>1995</v>
      </c>
      <c r="B1621" s="454">
        <f>(B1619+B1620)*0.245</f>
        <v>51.437750000000001</v>
      </c>
      <c r="C1621" s="939"/>
      <c r="D1621" s="939"/>
      <c r="E1621" s="939"/>
      <c r="F1621" s="139"/>
      <c r="G1621" s="139"/>
      <c r="H1621" s="939"/>
    </row>
    <row r="1622" spans="1:8" ht="14.1" customHeight="1">
      <c r="A1622" s="428" t="s">
        <v>98</v>
      </c>
      <c r="B1622" s="570">
        <f>SUM(B1619:B1621)</f>
        <v>261.38775000000004</v>
      </c>
      <c r="C1622" s="939"/>
      <c r="D1622" s="939"/>
      <c r="E1622" s="939"/>
      <c r="F1622" s="139"/>
      <c r="G1622" s="139"/>
      <c r="H1622" s="490"/>
    </row>
    <row r="1623" spans="1:8">
      <c r="A1623" s="429"/>
      <c r="B1623" s="430"/>
      <c r="C1623" s="431"/>
      <c r="D1623" s="429"/>
      <c r="E1623" s="430"/>
      <c r="F1623" s="430"/>
      <c r="G1623" s="430"/>
      <c r="H1623" s="429"/>
    </row>
    <row r="1625" spans="1:8">
      <c r="A1625" s="130" t="s">
        <v>653</v>
      </c>
    </row>
    <row r="1626" spans="1:8">
      <c r="A1626" s="467" t="s">
        <v>1971</v>
      </c>
      <c r="B1626" s="468"/>
      <c r="C1626" s="468"/>
      <c r="D1626" s="468"/>
      <c r="E1626" s="468"/>
      <c r="F1626" s="468"/>
      <c r="G1626" s="468"/>
      <c r="H1626" s="468"/>
    </row>
    <row r="1627" spans="1:8" ht="48.75" customHeight="1">
      <c r="A1627" s="544" t="s">
        <v>924</v>
      </c>
      <c r="B1627" s="1337" t="s">
        <v>1972</v>
      </c>
      <c r="C1627" s="1337"/>
      <c r="D1627" s="1337"/>
      <c r="E1627" s="493" t="s">
        <v>822</v>
      </c>
      <c r="F1627" s="468"/>
      <c r="G1627" s="468"/>
      <c r="H1627" s="468"/>
    </row>
    <row r="1628" spans="1:8" ht="22.5">
      <c r="A1628" s="933" t="s">
        <v>30</v>
      </c>
      <c r="B1628" s="420" t="s">
        <v>19</v>
      </c>
      <c r="C1628" s="343" t="s">
        <v>82</v>
      </c>
      <c r="D1628" s="936" t="s">
        <v>79</v>
      </c>
      <c r="E1628" s="936" t="s">
        <v>83</v>
      </c>
      <c r="F1628" s="345" t="s">
        <v>84</v>
      </c>
      <c r="G1628" s="421" t="s">
        <v>85</v>
      </c>
      <c r="H1628" s="939"/>
    </row>
    <row r="1629" spans="1:8" ht="14.1" customHeight="1">
      <c r="A1629" s="1340">
        <v>88316</v>
      </c>
      <c r="B1629" s="1338" t="s">
        <v>106</v>
      </c>
      <c r="C1629" s="935" t="s">
        <v>102</v>
      </c>
      <c r="D1629" s="1343" t="s">
        <v>345</v>
      </c>
      <c r="E1629" s="1345">
        <v>1</v>
      </c>
      <c r="F1629" s="671">
        <f>'COMP AUX'!G104</f>
        <v>11.1</v>
      </c>
      <c r="G1629" s="476">
        <f t="shared" ref="G1629" si="98">TRUNC(E1629*F1629,2)</f>
        <v>11.1</v>
      </c>
      <c r="H1629" s="939"/>
    </row>
    <row r="1630" spans="1:8" ht="14.1" customHeight="1">
      <c r="A1630" s="1341"/>
      <c r="B1630" s="1339"/>
      <c r="C1630" s="935" t="s">
        <v>89</v>
      </c>
      <c r="D1630" s="1344"/>
      <c r="E1630" s="1346"/>
      <c r="F1630" s="671">
        <f>'COMP AUX'!G105</f>
        <v>4.5600000000000005</v>
      </c>
      <c r="G1630" s="476">
        <f>TRUNC(E1629*F1630,2)</f>
        <v>4.5599999999999996</v>
      </c>
      <c r="H1630" s="939"/>
    </row>
    <row r="1631" spans="1:8" ht="14.1" customHeight="1">
      <c r="A1631" s="1317">
        <v>88267</v>
      </c>
      <c r="B1631" s="1351" t="s">
        <v>110</v>
      </c>
      <c r="C1631" s="343" t="s">
        <v>102</v>
      </c>
      <c r="D1631" s="1343" t="s">
        <v>345</v>
      </c>
      <c r="E1631" s="1345">
        <v>1</v>
      </c>
      <c r="F1631" s="414">
        <f>'COMP AUX'!G151</f>
        <v>14.93</v>
      </c>
      <c r="G1631" s="424">
        <f>TRUNC(E1631*F1631,2)</f>
        <v>14.93</v>
      </c>
      <c r="H1631" s="939"/>
    </row>
    <row r="1632" spans="1:8" ht="14.1" customHeight="1">
      <c r="A1632" s="1318"/>
      <c r="B1632" s="1352"/>
      <c r="C1632" s="935" t="s">
        <v>89</v>
      </c>
      <c r="D1632" s="1344"/>
      <c r="E1632" s="1346"/>
      <c r="F1632" s="486">
        <f>'COMP AUX'!G152</f>
        <v>4.5600000000000005</v>
      </c>
      <c r="G1632" s="476">
        <f>TRUNC(E1631*F1632,2)</f>
        <v>4.5599999999999996</v>
      </c>
      <c r="H1632" s="939"/>
    </row>
    <row r="1633" spans="1:8" ht="22.5">
      <c r="A1633" s="968">
        <v>36215</v>
      </c>
      <c r="B1633" s="941" t="s">
        <v>1973</v>
      </c>
      <c r="C1633" s="935" t="s">
        <v>89</v>
      </c>
      <c r="D1633" s="935" t="s">
        <v>822</v>
      </c>
      <c r="E1633" s="542">
        <v>1</v>
      </c>
      <c r="F1633" s="969">
        <v>896.36</v>
      </c>
      <c r="G1633" s="519">
        <f>TRUNC(E1633*F1633,2)</f>
        <v>896.36</v>
      </c>
      <c r="H1633" s="939"/>
    </row>
    <row r="1634" spans="1:8" ht="14.1" customHeight="1">
      <c r="A1634" s="939"/>
      <c r="B1634" s="939"/>
      <c r="C1634" s="939"/>
      <c r="D1634" s="939"/>
      <c r="E1634" s="939"/>
      <c r="F1634" s="520" t="s">
        <v>92</v>
      </c>
      <c r="G1634" s="967">
        <f>G1629+G1631</f>
        <v>26.03</v>
      </c>
      <c r="H1634" s="939"/>
    </row>
    <row r="1635" spans="1:8" ht="14.1" customHeight="1">
      <c r="A1635" s="939"/>
      <c r="B1635" s="939"/>
      <c r="C1635" s="939"/>
      <c r="D1635" s="939"/>
      <c r="E1635" s="939"/>
      <c r="F1635" s="494" t="s">
        <v>94</v>
      </c>
      <c r="G1635" s="519">
        <f>G1630+G1632+G1633</f>
        <v>905.48</v>
      </c>
      <c r="H1635" s="939"/>
    </row>
    <row r="1636" spans="1:8" ht="14.1" customHeight="1">
      <c r="A1636" s="495" t="s">
        <v>96</v>
      </c>
      <c r="B1636" s="939"/>
      <c r="C1636" s="939"/>
      <c r="D1636" s="939"/>
      <c r="E1636" s="939"/>
      <c r="F1636" s="494" t="s">
        <v>95</v>
      </c>
      <c r="G1636" s="521">
        <f>SUM(G1634:G1635)</f>
        <v>931.51</v>
      </c>
      <c r="H1636" s="939"/>
    </row>
    <row r="1637" spans="1:8" ht="14.1" customHeight="1">
      <c r="A1637" s="428" t="s">
        <v>97</v>
      </c>
      <c r="B1637" s="569">
        <f>G1636</f>
        <v>931.51</v>
      </c>
      <c r="C1637" s="939"/>
      <c r="D1637" s="939"/>
      <c r="E1637" s="939"/>
      <c r="F1637" s="139"/>
      <c r="G1637" s="139"/>
      <c r="H1637" s="939"/>
    </row>
    <row r="1638" spans="1:8" ht="14.1" customHeight="1">
      <c r="A1638" s="455" t="s">
        <v>1936</v>
      </c>
      <c r="B1638" s="454"/>
      <c r="C1638" s="939"/>
      <c r="D1638" s="939"/>
      <c r="E1638" s="939"/>
      <c r="F1638" s="139"/>
      <c r="G1638" s="139"/>
      <c r="H1638" s="939"/>
    </row>
    <row r="1639" spans="1:8" ht="14.1" customHeight="1">
      <c r="A1639" s="535" t="s">
        <v>1995</v>
      </c>
      <c r="B1639" s="454">
        <f>(B1637+B1638)*0.245</f>
        <v>228.21994999999998</v>
      </c>
      <c r="C1639" s="939"/>
      <c r="D1639" s="939"/>
      <c r="E1639" s="939"/>
      <c r="F1639" s="139"/>
      <c r="G1639" s="139"/>
      <c r="H1639" s="939"/>
    </row>
    <row r="1640" spans="1:8" ht="14.1" customHeight="1">
      <c r="A1640" s="428" t="s">
        <v>98</v>
      </c>
      <c r="B1640" s="570">
        <f>SUM(B1637:B1639)</f>
        <v>1159.7299499999999</v>
      </c>
      <c r="C1640" s="939"/>
      <c r="D1640" s="939"/>
      <c r="E1640" s="939"/>
      <c r="F1640" s="139"/>
      <c r="G1640" s="139"/>
      <c r="H1640" s="490"/>
    </row>
    <row r="1641" spans="1:8">
      <c r="A1641" s="429"/>
      <c r="B1641" s="430"/>
      <c r="C1641" s="431"/>
      <c r="D1641" s="429"/>
      <c r="E1641" s="430"/>
      <c r="F1641" s="430"/>
      <c r="G1641" s="430"/>
      <c r="H1641" s="429"/>
    </row>
    <row r="1645" spans="1:8">
      <c r="A1645" s="130" t="s">
        <v>653</v>
      </c>
    </row>
    <row r="1646" spans="1:8">
      <c r="A1646" s="467" t="s">
        <v>880</v>
      </c>
      <c r="B1646" s="468"/>
      <c r="C1646" s="468"/>
      <c r="D1646" s="468"/>
      <c r="E1646" s="468"/>
      <c r="F1646" s="468"/>
      <c r="G1646" s="468"/>
      <c r="H1646" s="468"/>
    </row>
    <row r="1647" spans="1:8" ht="33" customHeight="1">
      <c r="A1647" s="544" t="s">
        <v>924</v>
      </c>
      <c r="B1647" s="1337" t="s">
        <v>1110</v>
      </c>
      <c r="C1647" s="1337"/>
      <c r="D1647" s="1337"/>
      <c r="E1647" s="505" t="s">
        <v>822</v>
      </c>
      <c r="F1647" s="468"/>
      <c r="G1647" s="468"/>
      <c r="H1647" s="468"/>
    </row>
    <row r="1648" spans="1:8" ht="22.5">
      <c r="A1648" s="415" t="s">
        <v>30</v>
      </c>
      <c r="B1648" s="420" t="s">
        <v>19</v>
      </c>
      <c r="C1648" s="343" t="s">
        <v>82</v>
      </c>
      <c r="D1648" s="525" t="s">
        <v>79</v>
      </c>
      <c r="E1648" s="525" t="s">
        <v>83</v>
      </c>
      <c r="F1648" s="345" t="s">
        <v>84</v>
      </c>
      <c r="G1648" s="421" t="s">
        <v>85</v>
      </c>
      <c r="H1648" s="141"/>
    </row>
    <row r="1649" spans="1:8" ht="15.95" customHeight="1">
      <c r="A1649" s="1340">
        <v>86887</v>
      </c>
      <c r="B1649" s="1338" t="s">
        <v>1109</v>
      </c>
      <c r="C1649" s="343" t="s">
        <v>102</v>
      </c>
      <c r="D1649" s="1343" t="s">
        <v>5</v>
      </c>
      <c r="E1649" s="1345">
        <v>1</v>
      </c>
      <c r="F1649" s="414">
        <f>'COMP AUX'!G1886</f>
        <v>2.8600000000000003</v>
      </c>
      <c r="G1649" s="424">
        <f>TRUNC(E1649*F1649,2)</f>
        <v>2.86</v>
      </c>
      <c r="H1649" s="660"/>
    </row>
    <row r="1650" spans="1:8" ht="15.95" customHeight="1">
      <c r="A1650" s="1341"/>
      <c r="B1650" s="1339"/>
      <c r="C1650" s="524" t="s">
        <v>89</v>
      </c>
      <c r="D1650" s="1344"/>
      <c r="E1650" s="1346"/>
      <c r="F1650" s="486">
        <f>'COMP AUX'!G1887</f>
        <v>33.83</v>
      </c>
      <c r="G1650" s="476">
        <f>TRUNC(E1649*F1650,2)</f>
        <v>33.83</v>
      </c>
      <c r="H1650" s="141"/>
    </row>
    <row r="1651" spans="1:8" ht="15.95" customHeight="1">
      <c r="A1651" s="1340">
        <v>86888</v>
      </c>
      <c r="B1651" s="1338" t="s">
        <v>1108</v>
      </c>
      <c r="C1651" s="659" t="s">
        <v>102</v>
      </c>
      <c r="D1651" s="1343" t="s">
        <v>5</v>
      </c>
      <c r="E1651" s="1345">
        <v>1</v>
      </c>
      <c r="F1651" s="486">
        <f>'COMP AUX'!G1903</f>
        <v>16.89</v>
      </c>
      <c r="G1651" s="476">
        <f>TRUNC(E1651*F1651,2)</f>
        <v>16.89</v>
      </c>
      <c r="H1651" s="660"/>
    </row>
    <row r="1652" spans="1:8" ht="15.95" customHeight="1">
      <c r="A1652" s="1350"/>
      <c r="B1652" s="1342"/>
      <c r="C1652" s="524" t="s">
        <v>89</v>
      </c>
      <c r="D1652" s="1344"/>
      <c r="E1652" s="1346"/>
      <c r="F1652" s="486">
        <f>'COMP AUX'!G1904</f>
        <v>330.76000000000005</v>
      </c>
      <c r="G1652" s="476">
        <f>TRUNC(E1651*F1652,2)</f>
        <v>330.76</v>
      </c>
      <c r="H1652" s="141"/>
    </row>
    <row r="1653" spans="1:8" ht="15.95" customHeight="1">
      <c r="A1653" s="141"/>
      <c r="B1653" s="141"/>
      <c r="C1653" s="141"/>
      <c r="D1653" s="141"/>
      <c r="E1653" s="141"/>
      <c r="F1653" s="494" t="s">
        <v>92</v>
      </c>
      <c r="G1653" s="476">
        <f>G1649+G1651</f>
        <v>19.75</v>
      </c>
      <c r="H1653" s="141"/>
    </row>
    <row r="1654" spans="1:8" ht="15.95" customHeight="1">
      <c r="A1654" s="141"/>
      <c r="B1654" s="141"/>
      <c r="C1654" s="141"/>
      <c r="D1654" s="141"/>
      <c r="E1654" s="141"/>
      <c r="F1654" s="494" t="s">
        <v>94</v>
      </c>
      <c r="G1654" s="476">
        <f>G1650+G1652</f>
        <v>364.59</v>
      </c>
      <c r="H1654" s="141"/>
    </row>
    <row r="1655" spans="1:8" ht="15.95" customHeight="1">
      <c r="A1655" s="495" t="s">
        <v>96</v>
      </c>
      <c r="B1655" s="522"/>
      <c r="C1655" s="141"/>
      <c r="D1655" s="141"/>
      <c r="E1655" s="141"/>
      <c r="F1655" s="494" t="s">
        <v>95</v>
      </c>
      <c r="G1655" s="672">
        <f>SUM(G1653:G1654)</f>
        <v>384.34</v>
      </c>
      <c r="H1655" s="141"/>
    </row>
    <row r="1656" spans="1:8" ht="15.95" customHeight="1">
      <c r="A1656" s="428" t="s">
        <v>97</v>
      </c>
      <c r="B1656" s="461">
        <f>G1655</f>
        <v>384.34</v>
      </c>
      <c r="C1656" s="141"/>
      <c r="D1656" s="141"/>
      <c r="E1656" s="141"/>
      <c r="F1656" s="139"/>
      <c r="G1656" s="139"/>
      <c r="H1656" s="141"/>
    </row>
    <row r="1657" spans="1:8" ht="15.95" customHeight="1">
      <c r="A1657" s="455" t="s">
        <v>1936</v>
      </c>
      <c r="B1657" s="454"/>
      <c r="C1657" s="141"/>
      <c r="D1657" s="141"/>
      <c r="E1657" s="141"/>
      <c r="F1657" s="139"/>
      <c r="G1657" s="139"/>
      <c r="H1657" s="141"/>
    </row>
    <row r="1658" spans="1:8" ht="15.95" customHeight="1">
      <c r="A1658" s="535" t="s">
        <v>1995</v>
      </c>
      <c r="B1658" s="454">
        <f>(B1656+B1657)*0.245</f>
        <v>94.163299999999992</v>
      </c>
      <c r="C1658" s="141"/>
      <c r="D1658" s="141"/>
      <c r="E1658" s="141"/>
      <c r="F1658" s="139"/>
      <c r="G1658" s="139"/>
      <c r="H1658" s="141"/>
    </row>
    <row r="1659" spans="1:8" ht="15.95" customHeight="1">
      <c r="A1659" s="428" t="s">
        <v>98</v>
      </c>
      <c r="B1659" s="462">
        <f>SUM(B1656:B1658)</f>
        <v>478.50329999999997</v>
      </c>
      <c r="C1659" s="141"/>
      <c r="D1659" s="141"/>
      <c r="E1659" s="141"/>
      <c r="F1659" s="139"/>
      <c r="G1659" s="139"/>
      <c r="H1659" s="490"/>
    </row>
    <row r="1660" spans="1:8">
      <c r="A1660" s="429"/>
      <c r="B1660" s="430"/>
      <c r="C1660" s="431"/>
      <c r="D1660" s="429"/>
      <c r="E1660" s="430"/>
      <c r="F1660" s="430"/>
      <c r="G1660" s="430"/>
      <c r="H1660" s="429"/>
    </row>
    <row r="1661" spans="1:8">
      <c r="A1661" s="337"/>
      <c r="B1661" s="334"/>
      <c r="C1661" s="336"/>
      <c r="D1661" s="337"/>
      <c r="E1661" s="334"/>
      <c r="F1661" s="334"/>
      <c r="G1661" s="334"/>
      <c r="H1661" s="337"/>
    </row>
    <row r="1662" spans="1:8">
      <c r="A1662" s="130" t="s">
        <v>653</v>
      </c>
    </row>
    <row r="1663" spans="1:8">
      <c r="A1663" s="467" t="s">
        <v>1289</v>
      </c>
      <c r="B1663" s="467"/>
      <c r="C1663" s="467"/>
      <c r="D1663" s="467"/>
      <c r="E1663" s="467"/>
      <c r="F1663" s="467"/>
      <c r="G1663" s="467"/>
      <c r="H1663" s="467"/>
    </row>
    <row r="1664" spans="1:8" ht="40.5" customHeight="1">
      <c r="A1664" s="544" t="s">
        <v>924</v>
      </c>
      <c r="B1664" s="1337" t="s">
        <v>1178</v>
      </c>
      <c r="C1664" s="1337"/>
      <c r="D1664" s="1337"/>
      <c r="E1664" s="493" t="s">
        <v>822</v>
      </c>
      <c r="F1664" s="468"/>
      <c r="G1664" s="468"/>
      <c r="H1664" s="468"/>
    </row>
    <row r="1665" spans="1:8" ht="27" customHeight="1">
      <c r="A1665" s="664" t="s">
        <v>30</v>
      </c>
      <c r="B1665" s="420" t="s">
        <v>19</v>
      </c>
      <c r="C1665" s="343" t="s">
        <v>82</v>
      </c>
      <c r="D1665" s="652" t="s">
        <v>79</v>
      </c>
      <c r="E1665" s="652" t="s">
        <v>83</v>
      </c>
      <c r="F1665" s="345" t="s">
        <v>84</v>
      </c>
      <c r="G1665" s="421" t="s">
        <v>85</v>
      </c>
      <c r="H1665" s="660"/>
    </row>
    <row r="1666" spans="1:8" ht="30" customHeight="1">
      <c r="A1666" s="658">
        <v>6142</v>
      </c>
      <c r="B1666" s="698" t="s">
        <v>1179</v>
      </c>
      <c r="C1666" s="668" t="s">
        <v>89</v>
      </c>
      <c r="D1666" s="656" t="s">
        <v>344</v>
      </c>
      <c r="E1666" s="657">
        <v>1</v>
      </c>
      <c r="F1666" s="414">
        <v>5.27</v>
      </c>
      <c r="G1666" s="424">
        <f>TRUNC(E1666*F1666,2)</f>
        <v>5.27</v>
      </c>
      <c r="H1666" s="660"/>
    </row>
    <row r="1667" spans="1:8" ht="18" customHeight="1">
      <c r="A1667" s="1340">
        <v>95469</v>
      </c>
      <c r="B1667" s="1338" t="s">
        <v>1180</v>
      </c>
      <c r="C1667" s="659" t="s">
        <v>102</v>
      </c>
      <c r="D1667" s="1343" t="s">
        <v>344</v>
      </c>
      <c r="E1667" s="1345">
        <v>1</v>
      </c>
      <c r="F1667" s="486">
        <f>'COMP AUX'!G1920</f>
        <v>16.89</v>
      </c>
      <c r="G1667" s="476">
        <f>TRUNC(E1667*F1667,2)</f>
        <v>16.89</v>
      </c>
      <c r="H1667" s="660"/>
    </row>
    <row r="1668" spans="1:8" ht="18" customHeight="1">
      <c r="A1668" s="1341"/>
      <c r="B1668" s="1339"/>
      <c r="C1668" s="659" t="s">
        <v>89</v>
      </c>
      <c r="D1668" s="1344"/>
      <c r="E1668" s="1346"/>
      <c r="F1668" s="486">
        <f>'COMP AUX'!G1921</f>
        <v>147.47</v>
      </c>
      <c r="G1668" s="476">
        <f>TRUNC(E1667*F1668,2)</f>
        <v>147.47</v>
      </c>
      <c r="H1668" s="660"/>
    </row>
    <row r="1669" spans="1:8" ht="15" customHeight="1">
      <c r="A1669" s="660"/>
      <c r="B1669" s="660"/>
      <c r="C1669" s="660"/>
      <c r="D1669" s="660"/>
      <c r="E1669" s="660"/>
      <c r="F1669" s="494" t="s">
        <v>92</v>
      </c>
      <c r="G1669" s="476">
        <f>G1667</f>
        <v>16.89</v>
      </c>
      <c r="H1669" s="660"/>
    </row>
    <row r="1670" spans="1:8" ht="15" customHeight="1">
      <c r="A1670" s="660"/>
      <c r="B1670" s="660"/>
      <c r="C1670" s="660"/>
      <c r="D1670" s="660"/>
      <c r="E1670" s="660"/>
      <c r="F1670" s="494" t="s">
        <v>94</v>
      </c>
      <c r="G1670" s="476">
        <f>G1666+G1668</f>
        <v>152.74</v>
      </c>
      <c r="H1670" s="660"/>
    </row>
    <row r="1671" spans="1:8" ht="15" customHeight="1">
      <c r="A1671" s="495" t="s">
        <v>96</v>
      </c>
      <c r="B1671" s="660"/>
      <c r="C1671" s="660"/>
      <c r="D1671" s="660"/>
      <c r="E1671" s="660"/>
      <c r="F1671" s="494" t="s">
        <v>95</v>
      </c>
      <c r="G1671" s="672">
        <f>SUM(G1669:G1670)</f>
        <v>169.63</v>
      </c>
      <c r="H1671" s="660"/>
    </row>
    <row r="1672" spans="1:8" ht="15" customHeight="1">
      <c r="A1672" s="428" t="s">
        <v>97</v>
      </c>
      <c r="B1672" s="461">
        <f>G1671</f>
        <v>169.63</v>
      </c>
      <c r="C1672" s="660"/>
      <c r="D1672" s="660"/>
      <c r="E1672" s="660"/>
      <c r="F1672" s="139"/>
      <c r="G1672" s="139"/>
      <c r="H1672" s="660"/>
    </row>
    <row r="1673" spans="1:8" ht="15" customHeight="1">
      <c r="A1673" s="455" t="s">
        <v>1936</v>
      </c>
      <c r="B1673" s="454"/>
      <c r="C1673" s="660"/>
      <c r="D1673" s="660"/>
      <c r="E1673" s="660"/>
      <c r="F1673" s="139"/>
      <c r="G1673" s="139"/>
      <c r="H1673" s="660"/>
    </row>
    <row r="1674" spans="1:8" ht="15" customHeight="1">
      <c r="A1674" s="535" t="s">
        <v>1995</v>
      </c>
      <c r="B1674" s="454">
        <f>(B1672+B1673)*0.245</f>
        <v>41.559349999999995</v>
      </c>
      <c r="C1674" s="660"/>
      <c r="D1674" s="660"/>
      <c r="E1674" s="660"/>
      <c r="F1674" s="139"/>
      <c r="G1674" s="139"/>
      <c r="H1674" s="660"/>
    </row>
    <row r="1675" spans="1:8" ht="15" customHeight="1">
      <c r="A1675" s="428" t="s">
        <v>98</v>
      </c>
      <c r="B1675" s="462">
        <f>SUM(B1672:B1674)</f>
        <v>211.18934999999999</v>
      </c>
      <c r="C1675" s="660"/>
      <c r="D1675" s="660"/>
      <c r="E1675" s="660"/>
      <c r="F1675" s="139"/>
      <c r="G1675" s="139"/>
      <c r="H1675" s="490"/>
    </row>
    <row r="1676" spans="1:8">
      <c r="A1676" s="429"/>
      <c r="B1676" s="430"/>
      <c r="C1676" s="431"/>
      <c r="D1676" s="429"/>
      <c r="E1676" s="430"/>
      <c r="F1676" s="430"/>
      <c r="G1676" s="430"/>
      <c r="H1676" s="429"/>
    </row>
    <row r="1677" spans="1:8">
      <c r="A1677" s="337"/>
      <c r="B1677" s="334"/>
      <c r="C1677" s="336"/>
      <c r="D1677" s="337"/>
      <c r="E1677" s="334"/>
      <c r="F1677" s="334"/>
      <c r="G1677" s="334"/>
      <c r="H1677" s="337"/>
    </row>
    <row r="1678" spans="1:8">
      <c r="A1678" s="130" t="s">
        <v>653</v>
      </c>
    </row>
    <row r="1679" spans="1:8" ht="13.5" customHeight="1">
      <c r="A1679" s="849" t="s">
        <v>1519</v>
      </c>
      <c r="B1679" s="467"/>
      <c r="C1679" s="467"/>
      <c r="D1679" s="467"/>
      <c r="E1679" s="467"/>
      <c r="F1679" s="467"/>
      <c r="G1679" s="467"/>
      <c r="H1679" s="467"/>
    </row>
    <row r="1680" spans="1:8" ht="41.25" customHeight="1">
      <c r="A1680" s="544" t="s">
        <v>924</v>
      </c>
      <c r="B1680" s="1337" t="s">
        <v>1292</v>
      </c>
      <c r="C1680" s="1337"/>
      <c r="D1680" s="1337"/>
      <c r="E1680" s="493" t="s">
        <v>822</v>
      </c>
      <c r="F1680" s="468"/>
      <c r="G1680" s="468"/>
      <c r="H1680" s="468"/>
    </row>
    <row r="1681" spans="1:8" ht="22.5">
      <c r="A1681" s="847" t="s">
        <v>30</v>
      </c>
      <c r="B1681" s="420" t="s">
        <v>19</v>
      </c>
      <c r="C1681" s="343" t="s">
        <v>82</v>
      </c>
      <c r="D1681" s="845" t="s">
        <v>79</v>
      </c>
      <c r="E1681" s="845" t="s">
        <v>83</v>
      </c>
      <c r="F1681" s="345" t="s">
        <v>84</v>
      </c>
      <c r="G1681" s="421" t="s">
        <v>85</v>
      </c>
      <c r="H1681" s="850"/>
    </row>
    <row r="1682" spans="1:8" ht="26.25" customHeight="1">
      <c r="A1682" s="839">
        <v>6142</v>
      </c>
      <c r="B1682" s="698" t="s">
        <v>1179</v>
      </c>
      <c r="C1682" s="853" t="s">
        <v>89</v>
      </c>
      <c r="D1682" s="840" t="s">
        <v>344</v>
      </c>
      <c r="E1682" s="841">
        <v>1</v>
      </c>
      <c r="F1682" s="414">
        <v>5.27</v>
      </c>
      <c r="G1682" s="424">
        <f>TRUNC(E1682*F1682,2)</f>
        <v>5.27</v>
      </c>
      <c r="H1682" s="850"/>
    </row>
    <row r="1683" spans="1:8" ht="20.100000000000001" customHeight="1">
      <c r="A1683" s="1340">
        <v>95471</v>
      </c>
      <c r="B1683" s="1338" t="s">
        <v>1520</v>
      </c>
      <c r="C1683" s="851" t="s">
        <v>102</v>
      </c>
      <c r="D1683" s="1343" t="s">
        <v>344</v>
      </c>
      <c r="E1683" s="1345">
        <v>1</v>
      </c>
      <c r="F1683" s="486">
        <f>'COMP AUX'!G1937</f>
        <v>16.89</v>
      </c>
      <c r="G1683" s="476">
        <f>TRUNC(E1683*F1683,2)</f>
        <v>16.89</v>
      </c>
      <c r="H1683" s="850"/>
    </row>
    <row r="1684" spans="1:8" ht="20.100000000000001" customHeight="1">
      <c r="A1684" s="1341"/>
      <c r="B1684" s="1339"/>
      <c r="C1684" s="851" t="s">
        <v>89</v>
      </c>
      <c r="D1684" s="1344"/>
      <c r="E1684" s="1346"/>
      <c r="F1684" s="486">
        <f>'COMP AUX'!G1938</f>
        <v>585.49999999999989</v>
      </c>
      <c r="G1684" s="476">
        <f>TRUNC(E1683*F1684,2)</f>
        <v>585.5</v>
      </c>
      <c r="H1684" s="850"/>
    </row>
    <row r="1685" spans="1:8" ht="15" customHeight="1">
      <c r="A1685" s="850"/>
      <c r="B1685" s="850"/>
      <c r="C1685" s="850"/>
      <c r="D1685" s="850"/>
      <c r="E1685" s="850"/>
      <c r="F1685" s="494" t="s">
        <v>92</v>
      </c>
      <c r="G1685" s="476">
        <f>G1683</f>
        <v>16.89</v>
      </c>
      <c r="H1685" s="850"/>
    </row>
    <row r="1686" spans="1:8" ht="15" customHeight="1">
      <c r="A1686" s="850"/>
      <c r="B1686" s="850"/>
      <c r="C1686" s="850"/>
      <c r="D1686" s="850"/>
      <c r="E1686" s="850"/>
      <c r="F1686" s="494" t="s">
        <v>94</v>
      </c>
      <c r="G1686" s="476">
        <f>G1682+G1684</f>
        <v>590.77</v>
      </c>
      <c r="H1686" s="850"/>
    </row>
    <row r="1687" spans="1:8" ht="15" customHeight="1">
      <c r="A1687" s="495" t="s">
        <v>96</v>
      </c>
      <c r="B1687" s="850"/>
      <c r="C1687" s="850"/>
      <c r="D1687" s="850"/>
      <c r="E1687" s="850"/>
      <c r="F1687" s="494" t="s">
        <v>95</v>
      </c>
      <c r="G1687" s="672">
        <f>SUM(G1685:G1686)</f>
        <v>607.66</v>
      </c>
      <c r="H1687" s="850"/>
    </row>
    <row r="1688" spans="1:8" ht="15" customHeight="1">
      <c r="A1688" s="428" t="s">
        <v>97</v>
      </c>
      <c r="B1688" s="461">
        <f>G1687</f>
        <v>607.66</v>
      </c>
      <c r="C1688" s="850"/>
      <c r="D1688" s="850"/>
      <c r="E1688" s="850"/>
      <c r="F1688" s="139"/>
      <c r="G1688" s="139"/>
      <c r="H1688" s="850"/>
    </row>
    <row r="1689" spans="1:8" ht="15" customHeight="1">
      <c r="A1689" s="455" t="s">
        <v>1936</v>
      </c>
      <c r="B1689" s="454"/>
      <c r="C1689" s="850"/>
      <c r="D1689" s="850"/>
      <c r="E1689" s="850"/>
      <c r="F1689" s="139"/>
      <c r="G1689" s="139"/>
      <c r="H1689" s="850"/>
    </row>
    <row r="1690" spans="1:8" ht="15" customHeight="1">
      <c r="A1690" s="535" t="s">
        <v>1995</v>
      </c>
      <c r="B1690" s="454">
        <f>(B1688+B1689)*0.245</f>
        <v>148.8767</v>
      </c>
      <c r="C1690" s="850"/>
      <c r="D1690" s="850"/>
      <c r="E1690" s="850"/>
      <c r="F1690" s="139"/>
      <c r="G1690" s="139"/>
      <c r="H1690" s="850"/>
    </row>
    <row r="1691" spans="1:8" ht="15" customHeight="1">
      <c r="A1691" s="428" t="s">
        <v>98</v>
      </c>
      <c r="B1691" s="462">
        <f>SUM(B1688:B1690)</f>
        <v>756.5367</v>
      </c>
      <c r="C1691" s="850"/>
      <c r="D1691" s="850"/>
      <c r="E1691" s="850"/>
      <c r="F1691" s="139"/>
      <c r="G1691" s="139"/>
      <c r="H1691" s="490"/>
    </row>
    <row r="1692" spans="1:8">
      <c r="A1692" s="429"/>
      <c r="B1692" s="430"/>
      <c r="C1692" s="431"/>
      <c r="D1692" s="429"/>
      <c r="E1692" s="430"/>
      <c r="F1692" s="430"/>
      <c r="G1692" s="430"/>
      <c r="H1692" s="429"/>
    </row>
    <row r="1693" spans="1:8">
      <c r="A1693" s="337"/>
      <c r="B1693" s="334"/>
      <c r="C1693" s="336"/>
      <c r="D1693" s="337"/>
      <c r="E1693" s="334"/>
      <c r="F1693" s="334"/>
      <c r="G1693" s="334"/>
      <c r="H1693" s="337"/>
    </row>
    <row r="1694" spans="1:8">
      <c r="A1694" s="130" t="s">
        <v>653</v>
      </c>
    </row>
    <row r="1695" spans="1:8">
      <c r="A1695" s="1275" t="s">
        <v>2485</v>
      </c>
      <c r="B1695" s="467"/>
      <c r="C1695" s="467"/>
      <c r="D1695" s="467"/>
      <c r="E1695" s="467"/>
      <c r="F1695" s="467"/>
      <c r="G1695" s="467"/>
      <c r="H1695" s="467"/>
    </row>
    <row r="1696" spans="1:8" ht="24.75" customHeight="1">
      <c r="A1696" s="544" t="s">
        <v>924</v>
      </c>
      <c r="B1696" s="544" t="s">
        <v>2476</v>
      </c>
      <c r="C1696" s="528" t="s">
        <v>822</v>
      </c>
      <c r="D1696" s="544"/>
      <c r="E1696" s="130"/>
      <c r="F1696" s="468"/>
      <c r="G1696" s="468"/>
      <c r="H1696" s="468"/>
    </row>
    <row r="1697" spans="1:11" ht="22.5">
      <c r="A1697" s="1274" t="s">
        <v>30</v>
      </c>
      <c r="B1697" s="420" t="s">
        <v>19</v>
      </c>
      <c r="C1697" s="343" t="s">
        <v>82</v>
      </c>
      <c r="D1697" s="1270" t="s">
        <v>79</v>
      </c>
      <c r="E1697" s="1270" t="s">
        <v>83</v>
      </c>
      <c r="F1697" s="345" t="s">
        <v>84</v>
      </c>
      <c r="G1697" s="421" t="s">
        <v>85</v>
      </c>
      <c r="H1697" s="1276"/>
      <c r="J1697" s="1278" t="s">
        <v>2471</v>
      </c>
      <c r="K1697" s="1278" t="s">
        <v>2472</v>
      </c>
    </row>
    <row r="1698" spans="1:11" ht="22.5">
      <c r="A1698" s="1273" t="s">
        <v>81</v>
      </c>
      <c r="B1698" s="698" t="s">
        <v>2477</v>
      </c>
      <c r="C1698" s="1277" t="s">
        <v>89</v>
      </c>
      <c r="D1698" s="1271" t="s">
        <v>344</v>
      </c>
      <c r="E1698" s="1272">
        <v>1</v>
      </c>
      <c r="F1698" s="414">
        <f>(J1698+K1698)/2</f>
        <v>482.77</v>
      </c>
      <c r="G1698" s="424">
        <f>TRUNC(E1698*F1698,2)</f>
        <v>482.77</v>
      </c>
      <c r="H1698" s="1276"/>
      <c r="J1698" s="1052">
        <v>649.9</v>
      </c>
      <c r="K1698" s="338">
        <v>315.64</v>
      </c>
    </row>
    <row r="1699" spans="1:11" ht="11.25" customHeight="1">
      <c r="A1699" s="1340">
        <v>88316</v>
      </c>
      <c r="B1699" s="1338" t="s">
        <v>2470</v>
      </c>
      <c r="C1699" s="1029" t="s">
        <v>102</v>
      </c>
      <c r="D1699" s="1343" t="s">
        <v>344</v>
      </c>
      <c r="E1699" s="1345">
        <v>0.17</v>
      </c>
      <c r="F1699" s="486">
        <f>'COMP AUX'!G104</f>
        <v>11.1</v>
      </c>
      <c r="G1699" s="476">
        <f>TRUNC(E1699*F1699,2)</f>
        <v>1.88</v>
      </c>
      <c r="H1699" s="1276"/>
      <c r="J1699" s="338" t="s">
        <v>2474</v>
      </c>
      <c r="K1699" s="338" t="s">
        <v>2475</v>
      </c>
    </row>
    <row r="1700" spans="1:11">
      <c r="A1700" s="1341"/>
      <c r="B1700" s="1339"/>
      <c r="C1700" s="1029" t="s">
        <v>89</v>
      </c>
      <c r="D1700" s="1344"/>
      <c r="E1700" s="1346"/>
      <c r="F1700" s="486">
        <f>'COMP AUX'!G105</f>
        <v>4.5600000000000005</v>
      </c>
      <c r="G1700" s="476">
        <f>TRUNC(E1699*F1700,2)</f>
        <v>0.77</v>
      </c>
      <c r="H1700" s="1276"/>
    </row>
    <row r="1701" spans="1:11">
      <c r="A1701" s="1276"/>
      <c r="B1701" s="1276"/>
      <c r="C1701" s="1276"/>
      <c r="D1701" s="1276"/>
      <c r="E1701" s="1276"/>
      <c r="F1701" s="494" t="s">
        <v>92</v>
      </c>
      <c r="G1701" s="476">
        <f>G1699</f>
        <v>1.88</v>
      </c>
      <c r="H1701" s="1276"/>
    </row>
    <row r="1702" spans="1:11">
      <c r="A1702" s="1276"/>
      <c r="B1702" s="1276"/>
      <c r="C1702" s="1276"/>
      <c r="D1702" s="1276"/>
      <c r="E1702" s="1276"/>
      <c r="F1702" s="494" t="s">
        <v>94</v>
      </c>
      <c r="G1702" s="476">
        <f>G1698+G1700</f>
        <v>483.53999999999996</v>
      </c>
      <c r="H1702" s="1276"/>
    </row>
    <row r="1703" spans="1:11">
      <c r="A1703" s="495" t="s">
        <v>96</v>
      </c>
      <c r="B1703" s="1276"/>
      <c r="C1703" s="1276"/>
      <c r="D1703" s="1276"/>
      <c r="E1703" s="1276"/>
      <c r="F1703" s="494" t="s">
        <v>95</v>
      </c>
      <c r="G1703" s="672">
        <f>SUM(G1701:G1702)</f>
        <v>485.41999999999996</v>
      </c>
      <c r="H1703" s="1276"/>
    </row>
    <row r="1704" spans="1:11">
      <c r="A1704" s="428" t="s">
        <v>97</v>
      </c>
      <c r="B1704" s="461">
        <f>G1703</f>
        <v>485.41999999999996</v>
      </c>
      <c r="C1704" s="1276"/>
      <c r="D1704" s="1276"/>
      <c r="E1704" s="1276"/>
      <c r="F1704" s="139"/>
      <c r="G1704" s="139"/>
      <c r="H1704" s="1276"/>
    </row>
    <row r="1705" spans="1:11">
      <c r="A1705" s="455" t="s">
        <v>1936</v>
      </c>
      <c r="B1705" s="454"/>
      <c r="C1705" s="1276"/>
      <c r="D1705" s="1276"/>
      <c r="E1705" s="1276"/>
      <c r="F1705" s="139"/>
      <c r="G1705" s="139"/>
      <c r="H1705" s="1276"/>
    </row>
    <row r="1706" spans="1:11">
      <c r="A1706" s="535" t="s">
        <v>1995</v>
      </c>
      <c r="B1706" s="454">
        <f>(B1704+B1705)*0.245</f>
        <v>118.92789999999999</v>
      </c>
      <c r="C1706" s="1276"/>
      <c r="D1706" s="1276"/>
      <c r="E1706" s="1276"/>
      <c r="F1706" s="139"/>
      <c r="G1706" s="139"/>
      <c r="H1706" s="1276"/>
    </row>
    <row r="1707" spans="1:11">
      <c r="A1707" s="428" t="s">
        <v>98</v>
      </c>
      <c r="B1707" s="462">
        <f>SUM(B1704:B1706)</f>
        <v>604.34789999999998</v>
      </c>
      <c r="C1707" s="1276"/>
      <c r="D1707" s="1276"/>
      <c r="E1707" s="1276"/>
      <c r="F1707" s="139"/>
      <c r="G1707" s="139"/>
      <c r="H1707" s="490"/>
    </row>
    <row r="1708" spans="1:11">
      <c r="A1708" s="429"/>
      <c r="B1708" s="430"/>
      <c r="C1708" s="431"/>
      <c r="D1708" s="429"/>
      <c r="E1708" s="430"/>
      <c r="F1708" s="430"/>
      <c r="G1708" s="430"/>
      <c r="H1708" s="429"/>
    </row>
    <row r="1709" spans="1:11">
      <c r="A1709" s="337"/>
      <c r="B1709" s="334"/>
      <c r="C1709" s="336"/>
      <c r="D1709" s="337"/>
      <c r="E1709" s="334"/>
      <c r="F1709" s="334"/>
      <c r="G1709" s="334"/>
      <c r="H1709" s="337"/>
    </row>
    <row r="1710" spans="1:11">
      <c r="A1710" s="130" t="s">
        <v>653</v>
      </c>
    </row>
    <row r="1711" spans="1:11">
      <c r="A1711" s="1275" t="s">
        <v>2486</v>
      </c>
      <c r="B1711" s="467"/>
      <c r="C1711" s="467"/>
      <c r="D1711" s="467"/>
      <c r="E1711" s="467"/>
      <c r="F1711" s="467"/>
      <c r="G1711" s="467"/>
      <c r="H1711" s="467"/>
    </row>
    <row r="1712" spans="1:11" ht="23.25" customHeight="1">
      <c r="A1712" s="544" t="s">
        <v>924</v>
      </c>
      <c r="B1712" s="544" t="s">
        <v>2478</v>
      </c>
      <c r="C1712" s="528" t="s">
        <v>822</v>
      </c>
      <c r="D1712" s="544"/>
      <c r="E1712" s="130"/>
      <c r="F1712" s="468"/>
      <c r="G1712" s="468"/>
      <c r="H1712" s="468"/>
    </row>
    <row r="1713" spans="1:11" ht="22.5">
      <c r="A1713" s="1274" t="s">
        <v>30</v>
      </c>
      <c r="B1713" s="420" t="s">
        <v>19</v>
      </c>
      <c r="C1713" s="343" t="s">
        <v>82</v>
      </c>
      <c r="D1713" s="1270" t="s">
        <v>79</v>
      </c>
      <c r="E1713" s="1270" t="s">
        <v>83</v>
      </c>
      <c r="F1713" s="345" t="s">
        <v>84</v>
      </c>
      <c r="G1713" s="421" t="s">
        <v>85</v>
      </c>
      <c r="H1713" s="1276"/>
      <c r="J1713" s="1278" t="s">
        <v>2471</v>
      </c>
      <c r="K1713" s="1278" t="s">
        <v>2472</v>
      </c>
    </row>
    <row r="1714" spans="1:11" ht="14.1" customHeight="1">
      <c r="A1714" s="1273" t="s">
        <v>81</v>
      </c>
      <c r="B1714" s="698" t="s">
        <v>2473</v>
      </c>
      <c r="C1714" s="1277" t="s">
        <v>89</v>
      </c>
      <c r="D1714" s="1271" t="s">
        <v>344</v>
      </c>
      <c r="E1714" s="1272">
        <v>1</v>
      </c>
      <c r="F1714" s="414">
        <f>(J1714+K1714)/2</f>
        <v>43.17</v>
      </c>
      <c r="G1714" s="424">
        <f>TRUNC(E1714*F1714,2)</f>
        <v>43.17</v>
      </c>
      <c r="H1714" s="1276"/>
      <c r="J1714" s="1052">
        <v>54.9</v>
      </c>
      <c r="K1714" s="338">
        <v>31.44</v>
      </c>
    </row>
    <row r="1715" spans="1:11" ht="14.1" customHeight="1">
      <c r="A1715" s="1340">
        <v>88316</v>
      </c>
      <c r="B1715" s="1338" t="s">
        <v>2470</v>
      </c>
      <c r="C1715" s="1029" t="s">
        <v>102</v>
      </c>
      <c r="D1715" s="1343" t="s">
        <v>344</v>
      </c>
      <c r="E1715" s="1345">
        <v>0.17</v>
      </c>
      <c r="F1715" s="486">
        <f>'COMP AUX'!G104</f>
        <v>11.1</v>
      </c>
      <c r="G1715" s="476">
        <f>TRUNC(E1715*F1715,2)</f>
        <v>1.88</v>
      </c>
      <c r="H1715" s="1276"/>
      <c r="J1715" s="338" t="s">
        <v>2474</v>
      </c>
      <c r="K1715" s="338" t="s">
        <v>2475</v>
      </c>
    </row>
    <row r="1716" spans="1:11" ht="14.1" customHeight="1">
      <c r="A1716" s="1341"/>
      <c r="B1716" s="1339"/>
      <c r="C1716" s="1029" t="s">
        <v>89</v>
      </c>
      <c r="D1716" s="1344"/>
      <c r="E1716" s="1346"/>
      <c r="F1716" s="486">
        <f>'COMP AUX'!G105</f>
        <v>4.5600000000000005</v>
      </c>
      <c r="G1716" s="476">
        <f>TRUNC(E1715*F1716,2)</f>
        <v>0.77</v>
      </c>
      <c r="H1716" s="1276"/>
    </row>
    <row r="1717" spans="1:11" ht="14.1" customHeight="1">
      <c r="A1717" s="1276"/>
      <c r="B1717" s="1276"/>
      <c r="C1717" s="1276"/>
      <c r="D1717" s="1276"/>
      <c r="E1717" s="1276"/>
      <c r="F1717" s="494" t="s">
        <v>92</v>
      </c>
      <c r="G1717" s="476">
        <f>G1715</f>
        <v>1.88</v>
      </c>
      <c r="H1717" s="1276"/>
    </row>
    <row r="1718" spans="1:11" ht="14.1" customHeight="1">
      <c r="A1718" s="1276"/>
      <c r="B1718" s="1276"/>
      <c r="C1718" s="1276"/>
      <c r="D1718" s="1276"/>
      <c r="E1718" s="1276"/>
      <c r="F1718" s="494" t="s">
        <v>94</v>
      </c>
      <c r="G1718" s="476">
        <f>G1714+G1716</f>
        <v>43.940000000000005</v>
      </c>
      <c r="H1718" s="1276"/>
    </row>
    <row r="1719" spans="1:11" ht="14.1" customHeight="1">
      <c r="A1719" s="495" t="s">
        <v>96</v>
      </c>
      <c r="B1719" s="1276"/>
      <c r="C1719" s="1276"/>
      <c r="D1719" s="1276"/>
      <c r="E1719" s="1276"/>
      <c r="F1719" s="494" t="s">
        <v>95</v>
      </c>
      <c r="G1719" s="672">
        <f>SUM(G1717:G1718)</f>
        <v>45.820000000000007</v>
      </c>
      <c r="H1719" s="1276"/>
    </row>
    <row r="1720" spans="1:11" ht="14.1" customHeight="1">
      <c r="A1720" s="428" t="s">
        <v>97</v>
      </c>
      <c r="B1720" s="461">
        <f>G1719</f>
        <v>45.820000000000007</v>
      </c>
      <c r="C1720" s="1276"/>
      <c r="D1720" s="1276"/>
      <c r="E1720" s="1276"/>
      <c r="F1720" s="139"/>
      <c r="G1720" s="139"/>
      <c r="H1720" s="1276"/>
    </row>
    <row r="1721" spans="1:11" ht="14.1" customHeight="1">
      <c r="A1721" s="455" t="s">
        <v>1936</v>
      </c>
      <c r="B1721" s="454"/>
      <c r="C1721" s="1276"/>
      <c r="D1721" s="1276"/>
      <c r="E1721" s="1276"/>
      <c r="F1721" s="139"/>
      <c r="G1721" s="139"/>
      <c r="H1721" s="1276"/>
    </row>
    <row r="1722" spans="1:11" ht="14.1" customHeight="1">
      <c r="A1722" s="535" t="s">
        <v>1995</v>
      </c>
      <c r="B1722" s="454">
        <f>(B1720+B1721)*0.245</f>
        <v>11.225900000000001</v>
      </c>
      <c r="C1722" s="1276"/>
      <c r="D1722" s="1276"/>
      <c r="E1722" s="1276"/>
      <c r="F1722" s="139"/>
      <c r="G1722" s="139"/>
      <c r="H1722" s="1276"/>
    </row>
    <row r="1723" spans="1:11" ht="14.1" customHeight="1">
      <c r="A1723" s="428" t="s">
        <v>98</v>
      </c>
      <c r="B1723" s="462">
        <f>SUM(B1720:B1722)</f>
        <v>57.04590000000001</v>
      </c>
      <c r="C1723" s="1276"/>
      <c r="D1723" s="1276"/>
      <c r="E1723" s="1276"/>
      <c r="F1723" s="139"/>
      <c r="G1723" s="139"/>
      <c r="H1723" s="490"/>
    </row>
    <row r="1724" spans="1:11">
      <c r="A1724" s="429"/>
      <c r="B1724" s="430"/>
      <c r="C1724" s="431"/>
      <c r="D1724" s="429"/>
      <c r="E1724" s="430"/>
      <c r="F1724" s="430"/>
      <c r="G1724" s="430"/>
      <c r="H1724" s="429"/>
    </row>
    <row r="1725" spans="1:11">
      <c r="A1725" s="337"/>
      <c r="B1725" s="334"/>
      <c r="C1725" s="336"/>
      <c r="D1725" s="337"/>
      <c r="E1725" s="334"/>
      <c r="F1725" s="334"/>
      <c r="G1725" s="334"/>
      <c r="H1725" s="337"/>
    </row>
    <row r="1726" spans="1:11">
      <c r="A1726" s="130" t="s">
        <v>653</v>
      </c>
    </row>
    <row r="1727" spans="1:11">
      <c r="A1727" s="1039" t="s">
        <v>2167</v>
      </c>
      <c r="B1727" s="467"/>
      <c r="C1727" s="467"/>
      <c r="D1727" s="467"/>
      <c r="E1727" s="467"/>
      <c r="F1727" s="467"/>
      <c r="G1727" s="467"/>
      <c r="H1727" s="467"/>
    </row>
    <row r="1728" spans="1:11" ht="26.25" customHeight="1">
      <c r="A1728" s="544" t="s">
        <v>924</v>
      </c>
      <c r="B1728" s="1337" t="s">
        <v>1233</v>
      </c>
      <c r="C1728" s="1337"/>
      <c r="D1728" s="528" t="s">
        <v>822</v>
      </c>
      <c r="E1728" s="130"/>
      <c r="F1728" s="468"/>
      <c r="G1728" s="468"/>
      <c r="H1728" s="468"/>
      <c r="J1728" s="130" t="s">
        <v>2064</v>
      </c>
    </row>
    <row r="1729" spans="1:10" ht="22.5">
      <c r="A1729" s="1013" t="s">
        <v>30</v>
      </c>
      <c r="B1729" s="420" t="s">
        <v>19</v>
      </c>
      <c r="C1729" s="343" t="s">
        <v>82</v>
      </c>
      <c r="D1729" s="1004" t="s">
        <v>79</v>
      </c>
      <c r="E1729" s="1004" t="s">
        <v>83</v>
      </c>
      <c r="F1729" s="345" t="s">
        <v>84</v>
      </c>
      <c r="G1729" s="421" t="s">
        <v>85</v>
      </c>
      <c r="H1729" s="1015"/>
    </row>
    <row r="1730" spans="1:10" ht="14.1" customHeight="1">
      <c r="A1730" s="1012" t="s">
        <v>2065</v>
      </c>
      <c r="B1730" s="641" t="s">
        <v>2066</v>
      </c>
      <c r="C1730" s="1017" t="s">
        <v>89</v>
      </c>
      <c r="D1730" s="1006" t="s">
        <v>685</v>
      </c>
      <c r="E1730" s="1009">
        <v>0.12</v>
      </c>
      <c r="F1730" s="414">
        <v>16</v>
      </c>
      <c r="G1730" s="424">
        <f>TRUNC(E1730*F1730,2)</f>
        <v>1.92</v>
      </c>
      <c r="H1730" s="1015"/>
    </row>
    <row r="1731" spans="1:10" ht="14.1" customHeight="1">
      <c r="A1731" s="1012" t="s">
        <v>1890</v>
      </c>
      <c r="B1731" s="641" t="s">
        <v>1891</v>
      </c>
      <c r="C1731" s="1017" t="s">
        <v>89</v>
      </c>
      <c r="D1731" s="1006" t="s">
        <v>560</v>
      </c>
      <c r="E1731" s="1009">
        <v>0.08</v>
      </c>
      <c r="F1731" s="345">
        <v>20.55</v>
      </c>
      <c r="G1731" s="424">
        <f t="shared" ref="G1731:G1732" si="99">TRUNC(E1731*F1731,2)</f>
        <v>1.64</v>
      </c>
      <c r="H1731" s="1015"/>
    </row>
    <row r="1732" spans="1:10" ht="14.1" customHeight="1">
      <c r="A1732" s="1012" t="s">
        <v>2068</v>
      </c>
      <c r="B1732" s="1003" t="s">
        <v>2067</v>
      </c>
      <c r="C1732" s="1017" t="s">
        <v>89</v>
      </c>
      <c r="D1732" s="1006" t="s">
        <v>344</v>
      </c>
      <c r="E1732" s="1009">
        <v>1</v>
      </c>
      <c r="F1732" s="1040">
        <v>3499</v>
      </c>
      <c r="G1732" s="1041">
        <f t="shared" si="99"/>
        <v>3499</v>
      </c>
      <c r="H1732" s="1015"/>
      <c r="J1732" s="130" t="s">
        <v>2076</v>
      </c>
    </row>
    <row r="1733" spans="1:10" ht="14.1" customHeight="1">
      <c r="A1733" s="1347">
        <v>88242</v>
      </c>
      <c r="B1733" s="1338" t="s">
        <v>2069</v>
      </c>
      <c r="C1733" s="1017" t="s">
        <v>102</v>
      </c>
      <c r="D1733" s="1343" t="s">
        <v>344</v>
      </c>
      <c r="E1733" s="1345">
        <v>0.7</v>
      </c>
      <c r="F1733" s="414">
        <f>'COMP AUX'!G70</f>
        <v>11.02</v>
      </c>
      <c r="G1733" s="424">
        <f>TRUNC(E1733*F1733,2)</f>
        <v>7.71</v>
      </c>
      <c r="H1733" s="1015"/>
    </row>
    <row r="1734" spans="1:10" ht="14.1" customHeight="1">
      <c r="A1734" s="1348"/>
      <c r="B1734" s="1339"/>
      <c r="C1734" s="1017" t="s">
        <v>89</v>
      </c>
      <c r="D1734" s="1344"/>
      <c r="E1734" s="1346"/>
      <c r="F1734" s="414">
        <f>'COMP AUX'!G71</f>
        <v>4.5600000000000005</v>
      </c>
      <c r="G1734" s="424">
        <f>TRUNC(E1733*F1734,2)</f>
        <v>3.19</v>
      </c>
      <c r="H1734" s="1015"/>
    </row>
    <row r="1735" spans="1:10" ht="14.1" customHeight="1">
      <c r="A1735" s="1340">
        <v>88267</v>
      </c>
      <c r="B1735" s="1338" t="s">
        <v>245</v>
      </c>
      <c r="C1735" s="1016" t="s">
        <v>102</v>
      </c>
      <c r="D1735" s="1343" t="s">
        <v>344</v>
      </c>
      <c r="E1735" s="1345">
        <v>0.5</v>
      </c>
      <c r="F1735" s="486">
        <f>'COMP AUX'!G338</f>
        <v>15.41</v>
      </c>
      <c r="G1735" s="476">
        <f>TRUNC(E1735*F1735,2)</f>
        <v>7.7</v>
      </c>
      <c r="H1735" s="1015"/>
    </row>
    <row r="1736" spans="1:10" ht="14.1" customHeight="1">
      <c r="A1736" s="1341"/>
      <c r="B1736" s="1339"/>
      <c r="C1736" s="1016" t="s">
        <v>89</v>
      </c>
      <c r="D1736" s="1344"/>
      <c r="E1736" s="1346"/>
      <c r="F1736" s="486">
        <f>'COMP AUX'!G339</f>
        <v>4.5600000000000005</v>
      </c>
      <c r="G1736" s="476">
        <f>TRUNC(E1735*F1736,2)</f>
        <v>2.2799999999999998</v>
      </c>
      <c r="H1736" s="1015"/>
    </row>
    <row r="1737" spans="1:10" ht="14.1" customHeight="1">
      <c r="A1737" s="1015"/>
      <c r="B1737" s="1015"/>
      <c r="C1737" s="1015"/>
      <c r="D1737" s="1015"/>
      <c r="E1737" s="1015"/>
      <c r="F1737" s="494" t="s">
        <v>92</v>
      </c>
      <c r="G1737" s="476">
        <f>G1733+G1735</f>
        <v>15.41</v>
      </c>
      <c r="H1737" s="1015"/>
    </row>
    <row r="1738" spans="1:10" ht="14.1" customHeight="1">
      <c r="A1738" s="1015"/>
      <c r="B1738" s="1015"/>
      <c r="C1738" s="1015"/>
      <c r="D1738" s="1015"/>
      <c r="E1738" s="1015"/>
      <c r="F1738" s="494" t="s">
        <v>94</v>
      </c>
      <c r="G1738" s="519">
        <f>G1730+G1731+G1732+G1734+G1736</f>
        <v>3508.03</v>
      </c>
      <c r="H1738" s="1015"/>
    </row>
    <row r="1739" spans="1:10" ht="14.1" customHeight="1">
      <c r="A1739" s="495" t="s">
        <v>96</v>
      </c>
      <c r="B1739" s="1015"/>
      <c r="C1739" s="1015"/>
      <c r="D1739" s="1015"/>
      <c r="E1739" s="1015"/>
      <c r="F1739" s="494" t="s">
        <v>95</v>
      </c>
      <c r="G1739" s="521">
        <f>SUM(G1737:G1738)</f>
        <v>3523.44</v>
      </c>
      <c r="H1739" s="1015"/>
    </row>
    <row r="1740" spans="1:10" ht="14.1" customHeight="1">
      <c r="A1740" s="428" t="s">
        <v>97</v>
      </c>
      <c r="B1740" s="569">
        <f>G1739</f>
        <v>3523.44</v>
      </c>
      <c r="C1740" s="1015"/>
      <c r="D1740" s="1015"/>
      <c r="E1740" s="1015"/>
      <c r="F1740" s="139"/>
      <c r="G1740" s="139"/>
      <c r="H1740" s="1015"/>
    </row>
    <row r="1741" spans="1:10" ht="14.1" customHeight="1">
      <c r="A1741" s="455" t="s">
        <v>1936</v>
      </c>
      <c r="B1741" s="454"/>
      <c r="C1741" s="1015"/>
      <c r="D1741" s="1015"/>
      <c r="E1741" s="1015"/>
      <c r="F1741" s="139"/>
      <c r="G1741" s="139"/>
      <c r="H1741" s="1015"/>
    </row>
    <row r="1742" spans="1:10" ht="14.1" customHeight="1">
      <c r="A1742" s="535" t="s">
        <v>1995</v>
      </c>
      <c r="B1742" s="454">
        <f>(B1740+B1741)*0.245</f>
        <v>863.24279999999999</v>
      </c>
      <c r="C1742" s="1015"/>
      <c r="D1742" s="1015"/>
      <c r="E1742" s="1015"/>
      <c r="F1742" s="139"/>
      <c r="G1742" s="139"/>
      <c r="H1742" s="1015"/>
    </row>
    <row r="1743" spans="1:10" ht="14.1" customHeight="1">
      <c r="A1743" s="428" t="s">
        <v>98</v>
      </c>
      <c r="B1743" s="570">
        <f>SUM(B1740:B1742)</f>
        <v>4386.6828000000005</v>
      </c>
      <c r="C1743" s="1015"/>
      <c r="D1743" s="1015"/>
      <c r="E1743" s="1015"/>
      <c r="F1743" s="139"/>
      <c r="G1743" s="139"/>
      <c r="H1743" s="490"/>
    </row>
    <row r="1744" spans="1:10">
      <c r="A1744" s="429"/>
      <c r="B1744" s="430"/>
      <c r="C1744" s="431"/>
      <c r="D1744" s="429"/>
      <c r="E1744" s="430"/>
      <c r="F1744" s="430"/>
      <c r="G1744" s="430"/>
      <c r="H1744" s="429"/>
    </row>
    <row r="1745" spans="1:8">
      <c r="A1745" s="337"/>
      <c r="B1745" s="334"/>
      <c r="C1745" s="336"/>
      <c r="D1745" s="337"/>
      <c r="E1745" s="334"/>
      <c r="F1745" s="334"/>
      <c r="G1745" s="334"/>
      <c r="H1745" s="337"/>
    </row>
    <row r="1746" spans="1:8">
      <c r="A1746" s="130" t="s">
        <v>653</v>
      </c>
    </row>
    <row r="1747" spans="1:8">
      <c r="A1747" s="1335" t="s">
        <v>1518</v>
      </c>
      <c r="B1747" s="1336"/>
      <c r="C1747" s="1336"/>
      <c r="D1747" s="1336"/>
      <c r="E1747" s="1336"/>
      <c r="F1747" s="1336"/>
      <c r="G1747" s="1336"/>
      <c r="H1747" s="1336"/>
    </row>
    <row r="1748" spans="1:8" ht="42" customHeight="1">
      <c r="A1748" s="620" t="s">
        <v>924</v>
      </c>
      <c r="B1748" s="1349" t="s">
        <v>1503</v>
      </c>
      <c r="C1748" s="1349"/>
      <c r="D1748" s="1349"/>
      <c r="E1748" s="504" t="s">
        <v>822</v>
      </c>
      <c r="F1748" s="500"/>
      <c r="G1748" s="500"/>
      <c r="H1748" s="500"/>
    </row>
    <row r="1749" spans="1:8" ht="26.25" customHeight="1">
      <c r="A1749" s="847" t="s">
        <v>30</v>
      </c>
      <c r="B1749" s="420" t="s">
        <v>19</v>
      </c>
      <c r="C1749" s="343" t="s">
        <v>82</v>
      </c>
      <c r="D1749" s="845" t="s">
        <v>79</v>
      </c>
      <c r="E1749" s="845" t="s">
        <v>83</v>
      </c>
      <c r="F1749" s="345" t="s">
        <v>84</v>
      </c>
      <c r="G1749" s="421" t="s">
        <v>85</v>
      </c>
    </row>
    <row r="1750" spans="1:8" ht="15" customHeight="1">
      <c r="A1750" s="540" t="s">
        <v>1504</v>
      </c>
      <c r="B1750" s="545" t="s">
        <v>376</v>
      </c>
      <c r="C1750" s="838" t="s">
        <v>89</v>
      </c>
      <c r="D1750" s="838" t="s">
        <v>685</v>
      </c>
      <c r="E1750" s="782">
        <v>0.25</v>
      </c>
      <c r="F1750" s="838">
        <v>2.92</v>
      </c>
      <c r="G1750" s="496">
        <f t="shared" ref="G1750:G1757" si="100">TRUNC(E1750*F1750,2)</f>
        <v>0.73</v>
      </c>
      <c r="H1750" s="848"/>
    </row>
    <row r="1751" spans="1:8" ht="15" customHeight="1">
      <c r="A1751" s="540" t="s">
        <v>1174</v>
      </c>
      <c r="B1751" s="545" t="s">
        <v>1505</v>
      </c>
      <c r="C1751" s="838" t="s">
        <v>89</v>
      </c>
      <c r="D1751" s="838" t="s">
        <v>344</v>
      </c>
      <c r="E1751" s="782">
        <v>1</v>
      </c>
      <c r="F1751" s="838">
        <v>1.54</v>
      </c>
      <c r="G1751" s="496">
        <f t="shared" si="100"/>
        <v>1.54</v>
      </c>
      <c r="H1751" s="848"/>
    </row>
    <row r="1752" spans="1:8" ht="25.5" customHeight="1">
      <c r="A1752" s="540" t="s">
        <v>1506</v>
      </c>
      <c r="B1752" s="545" t="s">
        <v>1507</v>
      </c>
      <c r="C1752" s="838" t="s">
        <v>89</v>
      </c>
      <c r="D1752" s="838" t="s">
        <v>344</v>
      </c>
      <c r="E1752" s="782">
        <v>1</v>
      </c>
      <c r="F1752" s="838">
        <v>2.42</v>
      </c>
      <c r="G1752" s="496">
        <f t="shared" si="100"/>
        <v>2.42</v>
      </c>
      <c r="H1752" s="848"/>
    </row>
    <row r="1753" spans="1:8" ht="33.75">
      <c r="A1753" s="540" t="s">
        <v>1508</v>
      </c>
      <c r="B1753" s="545" t="s">
        <v>1509</v>
      </c>
      <c r="C1753" s="838" t="s">
        <v>89</v>
      </c>
      <c r="D1753" s="838" t="s">
        <v>344</v>
      </c>
      <c r="E1753" s="782">
        <v>1</v>
      </c>
      <c r="F1753" s="838">
        <v>7.31</v>
      </c>
      <c r="G1753" s="496">
        <f t="shared" si="100"/>
        <v>7.31</v>
      </c>
      <c r="H1753" s="848"/>
    </row>
    <row r="1754" spans="1:8" ht="15" customHeight="1">
      <c r="A1754" s="540" t="s">
        <v>1510</v>
      </c>
      <c r="B1754" s="545" t="s">
        <v>1511</v>
      </c>
      <c r="C1754" s="838" t="s">
        <v>89</v>
      </c>
      <c r="D1754" s="838" t="s">
        <v>344</v>
      </c>
      <c r="E1754" s="782">
        <v>1</v>
      </c>
      <c r="F1754" s="838">
        <v>47.35</v>
      </c>
      <c r="G1754" s="496">
        <f t="shared" si="100"/>
        <v>47.35</v>
      </c>
      <c r="H1754" s="848"/>
    </row>
    <row r="1755" spans="1:8" ht="15" customHeight="1">
      <c r="A1755" s="540" t="s">
        <v>1512</v>
      </c>
      <c r="B1755" s="545" t="s">
        <v>1513</v>
      </c>
      <c r="C1755" s="838" t="s">
        <v>89</v>
      </c>
      <c r="D1755" s="838" t="s">
        <v>344</v>
      </c>
      <c r="E1755" s="782">
        <v>1</v>
      </c>
      <c r="F1755" s="838">
        <v>247.76</v>
      </c>
      <c r="G1755" s="496">
        <f t="shared" si="100"/>
        <v>247.76</v>
      </c>
      <c r="H1755" s="848"/>
    </row>
    <row r="1756" spans="1:8" ht="33.75">
      <c r="A1756" s="540" t="s">
        <v>1514</v>
      </c>
      <c r="B1756" s="545" t="s">
        <v>1515</v>
      </c>
      <c r="C1756" s="838" t="s">
        <v>89</v>
      </c>
      <c r="D1756" s="838" t="s">
        <v>344</v>
      </c>
      <c r="E1756" s="782">
        <v>2</v>
      </c>
      <c r="F1756" s="838">
        <v>2.35</v>
      </c>
      <c r="G1756" s="496">
        <f t="shared" si="100"/>
        <v>4.7</v>
      </c>
      <c r="H1756" s="848"/>
    </row>
    <row r="1757" spans="1:8" ht="15" customHeight="1">
      <c r="A1757" s="1327">
        <v>88267</v>
      </c>
      <c r="B1757" s="1329" t="s">
        <v>245</v>
      </c>
      <c r="C1757" s="838" t="s">
        <v>102</v>
      </c>
      <c r="D1757" s="1331" t="s">
        <v>345</v>
      </c>
      <c r="E1757" s="1333">
        <v>0.1</v>
      </c>
      <c r="F1757" s="497">
        <f>'COMP AUX'!G338</f>
        <v>15.41</v>
      </c>
      <c r="G1757" s="533">
        <f t="shared" si="100"/>
        <v>1.54</v>
      </c>
      <c r="H1757" s="848"/>
    </row>
    <row r="1758" spans="1:8" ht="15" customHeight="1">
      <c r="A1758" s="1328"/>
      <c r="B1758" s="1330"/>
      <c r="C1758" s="838" t="s">
        <v>89</v>
      </c>
      <c r="D1758" s="1332"/>
      <c r="E1758" s="1334"/>
      <c r="F1758" s="497">
        <f>'COMP AUX'!G339</f>
        <v>4.5600000000000005</v>
      </c>
      <c r="G1758" s="533">
        <f>TRUNC(E1757*F1758,2)</f>
        <v>0.45</v>
      </c>
      <c r="H1758" s="848"/>
    </row>
    <row r="1759" spans="1:8" ht="15" customHeight="1">
      <c r="A1759" s="1327">
        <v>88316</v>
      </c>
      <c r="B1759" s="1329" t="s">
        <v>106</v>
      </c>
      <c r="C1759" s="838" t="s">
        <v>102</v>
      </c>
      <c r="D1759" s="1331" t="s">
        <v>345</v>
      </c>
      <c r="E1759" s="1333">
        <v>0.03</v>
      </c>
      <c r="F1759" s="497">
        <f>'COMP AUX'!G104</f>
        <v>11.1</v>
      </c>
      <c r="G1759" s="533">
        <f t="shared" ref="G1759" si="101">TRUNC(E1759*F1759,2)</f>
        <v>0.33</v>
      </c>
      <c r="H1759" s="848"/>
    </row>
    <row r="1760" spans="1:8" ht="15" customHeight="1">
      <c r="A1760" s="1328"/>
      <c r="B1760" s="1330"/>
      <c r="C1760" s="838" t="s">
        <v>89</v>
      </c>
      <c r="D1760" s="1332"/>
      <c r="E1760" s="1334"/>
      <c r="F1760" s="497">
        <f>'COMP AUX'!G105</f>
        <v>4.5600000000000005</v>
      </c>
      <c r="G1760" s="533">
        <f>TRUNC(E1759*F1760,2)</f>
        <v>0.13</v>
      </c>
      <c r="H1760" s="848"/>
    </row>
    <row r="1761" spans="1:10" ht="15" customHeight="1">
      <c r="A1761" s="848"/>
      <c r="B1761" s="848"/>
      <c r="C1761" s="848"/>
      <c r="D1761" s="848"/>
      <c r="E1761" s="848"/>
      <c r="F1761" s="498" t="s">
        <v>92</v>
      </c>
      <c r="G1761" s="533">
        <f>G1757+G1759</f>
        <v>1.87</v>
      </c>
      <c r="H1761" s="848"/>
    </row>
    <row r="1762" spans="1:10" ht="15" customHeight="1">
      <c r="A1762" s="848"/>
      <c r="B1762" s="848"/>
      <c r="C1762" s="848"/>
      <c r="D1762" s="848"/>
      <c r="E1762" s="848"/>
      <c r="F1762" s="498" t="s">
        <v>94</v>
      </c>
      <c r="G1762" s="496">
        <f>G1750+G1751+G1752+G1753+G1754+G1755+G1756+G1758+G1760</f>
        <v>312.39</v>
      </c>
      <c r="H1762" s="848"/>
    </row>
    <row r="1763" spans="1:10" ht="15" customHeight="1">
      <c r="A1763" s="495" t="s">
        <v>96</v>
      </c>
      <c r="B1763" s="850"/>
      <c r="C1763" s="848"/>
      <c r="D1763" s="848"/>
      <c r="E1763" s="848"/>
      <c r="F1763" s="498" t="s">
        <v>95</v>
      </c>
      <c r="G1763" s="499">
        <f>SUM(G1761:G1762)</f>
        <v>314.26</v>
      </c>
      <c r="H1763" s="848"/>
    </row>
    <row r="1764" spans="1:10" ht="15" customHeight="1">
      <c r="A1764" s="428" t="s">
        <v>97</v>
      </c>
      <c r="B1764" s="461">
        <f>G1763</f>
        <v>314.26</v>
      </c>
      <c r="C1764" s="848"/>
      <c r="D1764" s="848"/>
      <c r="E1764" s="848"/>
      <c r="F1764" s="134"/>
      <c r="G1764" s="134"/>
      <c r="H1764" s="848"/>
    </row>
    <row r="1765" spans="1:10" ht="15" customHeight="1">
      <c r="A1765" s="455" t="s">
        <v>1936</v>
      </c>
      <c r="B1765" s="454"/>
      <c r="C1765" s="848"/>
      <c r="D1765" s="848"/>
      <c r="E1765" s="848"/>
      <c r="F1765" s="134"/>
      <c r="G1765" s="134"/>
      <c r="H1765" s="848"/>
    </row>
    <row r="1766" spans="1:10" ht="15" customHeight="1">
      <c r="A1766" s="535" t="s">
        <v>1995</v>
      </c>
      <c r="B1766" s="454">
        <f>(B1764+B1765)*0.245</f>
        <v>76.99369999999999</v>
      </c>
      <c r="C1766" s="848"/>
      <c r="D1766" s="848"/>
      <c r="E1766" s="848"/>
      <c r="F1766" s="134"/>
      <c r="G1766" s="134"/>
      <c r="H1766" s="848"/>
    </row>
    <row r="1767" spans="1:10" ht="15" customHeight="1">
      <c r="A1767" s="428" t="s">
        <v>98</v>
      </c>
      <c r="B1767" s="462">
        <f>SUM(B1764:B1766)</f>
        <v>391.25369999999998</v>
      </c>
      <c r="C1767" s="848"/>
      <c r="D1767" s="848"/>
      <c r="E1767" s="848"/>
      <c r="F1767" s="134"/>
      <c r="G1767" s="134"/>
      <c r="H1767" s="502"/>
    </row>
    <row r="1768" spans="1:10">
      <c r="A1768" s="429"/>
      <c r="B1768" s="430"/>
      <c r="C1768" s="431"/>
      <c r="D1768" s="429"/>
      <c r="E1768" s="430"/>
      <c r="F1768" s="430"/>
      <c r="G1768" s="430"/>
      <c r="H1768" s="429"/>
    </row>
    <row r="1769" spans="1:10">
      <c r="A1769" s="337"/>
      <c r="B1769" s="334"/>
      <c r="C1769" s="336"/>
      <c r="D1769" s="337"/>
      <c r="E1769" s="334"/>
      <c r="F1769" s="334"/>
      <c r="G1769" s="334"/>
      <c r="H1769" s="337"/>
    </row>
    <row r="1770" spans="1:10">
      <c r="A1770" s="130" t="s">
        <v>653</v>
      </c>
    </row>
    <row r="1771" spans="1:10">
      <c r="A1771" s="467" t="s">
        <v>2169</v>
      </c>
      <c r="B1771" s="467"/>
      <c r="C1771" s="467"/>
      <c r="D1771" s="467"/>
      <c r="E1771" s="467"/>
      <c r="F1771" s="467"/>
      <c r="G1771" s="467"/>
      <c r="H1771" s="467"/>
    </row>
    <row r="1772" spans="1:10" ht="15.75" customHeight="1">
      <c r="A1772" s="544" t="s">
        <v>924</v>
      </c>
      <c r="B1772" s="544" t="s">
        <v>2088</v>
      </c>
      <c r="C1772" s="528" t="s">
        <v>822</v>
      </c>
      <c r="D1772" s="544"/>
      <c r="E1772" s="130"/>
      <c r="F1772" s="468"/>
      <c r="G1772" s="468"/>
      <c r="H1772" s="468"/>
      <c r="I1772" s="130">
        <v>9535</v>
      </c>
    </row>
    <row r="1773" spans="1:10" ht="22.5">
      <c r="A1773" s="1027" t="s">
        <v>30</v>
      </c>
      <c r="B1773" s="420" t="s">
        <v>19</v>
      </c>
      <c r="C1773" s="343" t="s">
        <v>82</v>
      </c>
      <c r="D1773" s="1028" t="s">
        <v>79</v>
      </c>
      <c r="E1773" s="1028" t="s">
        <v>83</v>
      </c>
      <c r="F1773" s="345" t="s">
        <v>84</v>
      </c>
      <c r="G1773" s="421" t="s">
        <v>85</v>
      </c>
      <c r="H1773" s="1030"/>
    </row>
    <row r="1774" spans="1:10" ht="15" customHeight="1">
      <c r="A1774" s="1024" t="s">
        <v>81</v>
      </c>
      <c r="B1774" s="1023" t="s">
        <v>2088</v>
      </c>
      <c r="C1774" s="1031" t="s">
        <v>89</v>
      </c>
      <c r="D1774" s="1026" t="s">
        <v>344</v>
      </c>
      <c r="E1774" s="1025">
        <v>1</v>
      </c>
      <c r="F1774" s="1040">
        <v>2134.4299999999998</v>
      </c>
      <c r="G1774" s="1041">
        <f>TRUNC(E1774*F1774,2)</f>
        <v>2134.4299999999998</v>
      </c>
      <c r="H1774" s="1030"/>
      <c r="J1774" s="130" t="s">
        <v>2089</v>
      </c>
    </row>
    <row r="1775" spans="1:10" ht="15" customHeight="1">
      <c r="A1775" s="1024" t="s">
        <v>2086</v>
      </c>
      <c r="B1775" s="641" t="s">
        <v>2087</v>
      </c>
      <c r="C1775" s="1031" t="s">
        <v>89</v>
      </c>
      <c r="D1775" s="1026" t="s">
        <v>344</v>
      </c>
      <c r="E1775" s="1025">
        <v>0.01</v>
      </c>
      <c r="F1775" s="414">
        <v>12.5</v>
      </c>
      <c r="G1775" s="424">
        <f>TRUNC(E1775*F1775,2)</f>
        <v>0.12</v>
      </c>
      <c r="H1775" s="1030"/>
    </row>
    <row r="1776" spans="1:10" ht="15" customHeight="1">
      <c r="A1776" s="1347">
        <v>88264</v>
      </c>
      <c r="B1776" s="1338" t="s">
        <v>249</v>
      </c>
      <c r="C1776" s="1031" t="s">
        <v>102</v>
      </c>
      <c r="D1776" s="1343" t="s">
        <v>344</v>
      </c>
      <c r="E1776" s="1345">
        <v>0.45</v>
      </c>
      <c r="F1776" s="414">
        <f>'COMP AUX'!G253</f>
        <v>15.639999999999999</v>
      </c>
      <c r="G1776" s="424">
        <f>TRUNC(E1776*F1776,2)</f>
        <v>7.03</v>
      </c>
      <c r="H1776" s="1030"/>
    </row>
    <row r="1777" spans="1:8" ht="15" customHeight="1">
      <c r="A1777" s="1348"/>
      <c r="B1777" s="1339"/>
      <c r="C1777" s="1031" t="s">
        <v>89</v>
      </c>
      <c r="D1777" s="1344"/>
      <c r="E1777" s="1346"/>
      <c r="F1777" s="414">
        <f>'COMP AUX'!G254</f>
        <v>4.5600000000000005</v>
      </c>
      <c r="G1777" s="424">
        <f>TRUNC(E1776*F1777,2)</f>
        <v>2.0499999999999998</v>
      </c>
      <c r="H1777" s="1030"/>
    </row>
    <row r="1778" spans="1:8" ht="15" customHeight="1">
      <c r="A1778" s="1340">
        <v>88316</v>
      </c>
      <c r="B1778" s="1338" t="s">
        <v>106</v>
      </c>
      <c r="C1778" s="1029" t="s">
        <v>102</v>
      </c>
      <c r="D1778" s="1343" t="s">
        <v>344</v>
      </c>
      <c r="E1778" s="1345">
        <v>0.3</v>
      </c>
      <c r="F1778" s="486">
        <f>'COMP AUX'!G104</f>
        <v>11.1</v>
      </c>
      <c r="G1778" s="476">
        <f>TRUNC(E1778*F1778,2)</f>
        <v>3.33</v>
      </c>
      <c r="H1778" s="1030"/>
    </row>
    <row r="1779" spans="1:8" ht="15" customHeight="1">
      <c r="A1779" s="1341"/>
      <c r="B1779" s="1339"/>
      <c r="C1779" s="1029" t="s">
        <v>89</v>
      </c>
      <c r="D1779" s="1344"/>
      <c r="E1779" s="1346"/>
      <c r="F1779" s="486">
        <f>'COMP AUX'!G105</f>
        <v>4.5600000000000005</v>
      </c>
      <c r="G1779" s="476">
        <f>TRUNC(E1778*F1779,2)</f>
        <v>1.36</v>
      </c>
      <c r="H1779" s="1030"/>
    </row>
    <row r="1780" spans="1:8" ht="15" customHeight="1">
      <c r="A1780" s="1030"/>
      <c r="B1780" s="1030"/>
      <c r="C1780" s="1030"/>
      <c r="D1780" s="1030"/>
      <c r="E1780" s="1030"/>
      <c r="F1780" s="494" t="s">
        <v>92</v>
      </c>
      <c r="G1780" s="519">
        <f>G1776+G1778</f>
        <v>10.36</v>
      </c>
      <c r="H1780" s="1030"/>
    </row>
    <row r="1781" spans="1:8" ht="15" customHeight="1">
      <c r="A1781" s="1030"/>
      <c r="B1781" s="1030"/>
      <c r="C1781" s="1030"/>
      <c r="D1781" s="1030"/>
      <c r="E1781" s="1030"/>
      <c r="F1781" s="494" t="s">
        <v>94</v>
      </c>
      <c r="G1781" s="519">
        <f>G1774+G1775+G1777+G1779</f>
        <v>2137.96</v>
      </c>
      <c r="H1781" s="1030"/>
    </row>
    <row r="1782" spans="1:8" ht="15" customHeight="1">
      <c r="A1782" s="495" t="s">
        <v>96</v>
      </c>
      <c r="B1782" s="1030"/>
      <c r="C1782" s="1030"/>
      <c r="D1782" s="1030"/>
      <c r="E1782" s="1030"/>
      <c r="F1782" s="494" t="s">
        <v>95</v>
      </c>
      <c r="G1782" s="521">
        <f>SUM(G1780:G1781)</f>
        <v>2148.3200000000002</v>
      </c>
      <c r="H1782" s="1030"/>
    </row>
    <row r="1783" spans="1:8" ht="15" customHeight="1">
      <c r="A1783" s="428" t="s">
        <v>97</v>
      </c>
      <c r="B1783" s="569">
        <f>G1782</f>
        <v>2148.3200000000002</v>
      </c>
      <c r="C1783" s="1030"/>
      <c r="D1783" s="1030"/>
      <c r="E1783" s="1030"/>
      <c r="F1783" s="139"/>
      <c r="G1783" s="139"/>
      <c r="H1783" s="1030"/>
    </row>
    <row r="1784" spans="1:8" ht="15" customHeight="1">
      <c r="A1784" s="455" t="s">
        <v>1936</v>
      </c>
      <c r="B1784" s="1021"/>
      <c r="C1784" s="1030"/>
      <c r="D1784" s="1030"/>
      <c r="E1784" s="1030"/>
      <c r="F1784" s="139"/>
      <c r="G1784" s="139"/>
      <c r="H1784" s="1030"/>
    </row>
    <row r="1785" spans="1:8" ht="15" customHeight="1">
      <c r="A1785" s="535" t="s">
        <v>1995</v>
      </c>
      <c r="B1785" s="1021">
        <f>(B1783+B1784)*0.245</f>
        <v>526.33839999999998</v>
      </c>
      <c r="C1785" s="1030"/>
      <c r="D1785" s="1030"/>
      <c r="E1785" s="1030"/>
      <c r="F1785" s="139"/>
      <c r="G1785" s="139"/>
      <c r="H1785" s="1030"/>
    </row>
    <row r="1786" spans="1:8" ht="15" customHeight="1">
      <c r="A1786" s="428" t="s">
        <v>98</v>
      </c>
      <c r="B1786" s="570">
        <f>SUM(B1783:B1785)</f>
        <v>2674.6584000000003</v>
      </c>
      <c r="C1786" s="1030"/>
      <c r="D1786" s="1030"/>
      <c r="E1786" s="1030"/>
      <c r="F1786" s="139"/>
      <c r="G1786" s="139"/>
      <c r="H1786" s="490"/>
    </row>
    <row r="1787" spans="1:8">
      <c r="A1787" s="429"/>
      <c r="B1787" s="430"/>
      <c r="C1787" s="431"/>
      <c r="D1787" s="429"/>
      <c r="E1787" s="430"/>
      <c r="F1787" s="430"/>
      <c r="G1787" s="430"/>
      <c r="H1787" s="429"/>
    </row>
    <row r="1788" spans="1:8">
      <c r="A1788" s="337"/>
      <c r="B1788" s="334"/>
      <c r="C1788" s="336"/>
      <c r="D1788" s="337"/>
      <c r="E1788" s="334"/>
      <c r="F1788" s="334"/>
      <c r="G1788" s="334"/>
      <c r="H1788" s="337"/>
    </row>
    <row r="1789" spans="1:8">
      <c r="A1789" s="130" t="s">
        <v>653</v>
      </c>
    </row>
    <row r="1790" spans="1:8" ht="14.25" customHeight="1">
      <c r="A1790" s="467" t="s">
        <v>1240</v>
      </c>
      <c r="B1790" s="467"/>
      <c r="C1790" s="467"/>
      <c r="D1790" s="467"/>
      <c r="E1790" s="467"/>
      <c r="F1790" s="467"/>
      <c r="G1790" s="467"/>
      <c r="H1790" s="467"/>
    </row>
    <row r="1791" spans="1:8" ht="17.25" customHeight="1">
      <c r="A1791" s="544" t="s">
        <v>924</v>
      </c>
      <c r="B1791" s="1337" t="s">
        <v>1241</v>
      </c>
      <c r="C1791" s="1337"/>
      <c r="D1791" s="1337"/>
      <c r="E1791" s="493" t="s">
        <v>822</v>
      </c>
      <c r="F1791" s="468"/>
      <c r="G1791" s="468"/>
      <c r="H1791" s="468"/>
    </row>
    <row r="1792" spans="1:8" ht="22.5">
      <c r="A1792" s="761" t="s">
        <v>30</v>
      </c>
      <c r="B1792" s="420" t="s">
        <v>19</v>
      </c>
      <c r="C1792" s="343" t="s">
        <v>82</v>
      </c>
      <c r="D1792" s="756" t="s">
        <v>79</v>
      </c>
      <c r="E1792" s="756" t="s">
        <v>83</v>
      </c>
      <c r="F1792" s="345" t="s">
        <v>84</v>
      </c>
      <c r="G1792" s="421" t="s">
        <v>85</v>
      </c>
      <c r="H1792" s="763"/>
    </row>
    <row r="1793" spans="1:13" ht="26.25" customHeight="1">
      <c r="A1793" s="760">
        <v>38190</v>
      </c>
      <c r="B1793" s="1023" t="s">
        <v>2090</v>
      </c>
      <c r="C1793" s="767" t="s">
        <v>89</v>
      </c>
      <c r="D1793" s="757" t="s">
        <v>344</v>
      </c>
      <c r="E1793" s="758">
        <v>1</v>
      </c>
      <c r="F1793" s="345">
        <v>401.45</v>
      </c>
      <c r="G1793" s="424">
        <f>TRUNC(E1793*F1793,2)</f>
        <v>401.45</v>
      </c>
      <c r="H1793" s="763"/>
    </row>
    <row r="1794" spans="1:13" ht="15" customHeight="1">
      <c r="A1794" s="1347">
        <v>88267</v>
      </c>
      <c r="B1794" s="1338" t="s">
        <v>873</v>
      </c>
      <c r="C1794" s="767" t="s">
        <v>102</v>
      </c>
      <c r="D1794" s="1343" t="s">
        <v>344</v>
      </c>
      <c r="E1794" s="1345">
        <v>0.5</v>
      </c>
      <c r="F1794" s="414">
        <f>'COMP AUX'!G338</f>
        <v>15.41</v>
      </c>
      <c r="G1794" s="424">
        <f>TRUNC(E1794*F1794,2)</f>
        <v>7.7</v>
      </c>
      <c r="H1794" s="763"/>
    </row>
    <row r="1795" spans="1:13" ht="15" customHeight="1">
      <c r="A1795" s="1348"/>
      <c r="B1795" s="1339"/>
      <c r="C1795" s="767" t="s">
        <v>89</v>
      </c>
      <c r="D1795" s="1344"/>
      <c r="E1795" s="1346"/>
      <c r="F1795" s="414">
        <f>'COMP AUX'!G339</f>
        <v>4.5600000000000005</v>
      </c>
      <c r="G1795" s="424">
        <f>TRUNC(E1794*F1795,2)</f>
        <v>2.2799999999999998</v>
      </c>
      <c r="H1795" s="763"/>
    </row>
    <row r="1796" spans="1:13" ht="15" customHeight="1">
      <c r="A1796" s="1340">
        <v>88248</v>
      </c>
      <c r="B1796" s="1338" t="s">
        <v>274</v>
      </c>
      <c r="C1796" s="765" t="s">
        <v>102</v>
      </c>
      <c r="D1796" s="1343" t="s">
        <v>344</v>
      </c>
      <c r="E1796" s="1345">
        <v>0.5</v>
      </c>
      <c r="F1796" s="486">
        <f>'COMP AUX'!G338</f>
        <v>15.41</v>
      </c>
      <c r="G1796" s="476">
        <f>TRUNC(E1796*F1796,2)</f>
        <v>7.7</v>
      </c>
      <c r="H1796" s="763"/>
    </row>
    <row r="1797" spans="1:13" ht="15" customHeight="1">
      <c r="A1797" s="1341"/>
      <c r="B1797" s="1339"/>
      <c r="C1797" s="765" t="s">
        <v>89</v>
      </c>
      <c r="D1797" s="1344"/>
      <c r="E1797" s="1346"/>
      <c r="F1797" s="486">
        <f>'COMP AUX'!G339</f>
        <v>4.5600000000000005</v>
      </c>
      <c r="G1797" s="476">
        <f>TRUNC(E1796*F1797,2)</f>
        <v>2.2799999999999998</v>
      </c>
      <c r="H1797" s="763"/>
    </row>
    <row r="1798" spans="1:13" ht="15" customHeight="1">
      <c r="A1798" s="763"/>
      <c r="B1798" s="763"/>
      <c r="C1798" s="763"/>
      <c r="D1798" s="763"/>
      <c r="E1798" s="763"/>
      <c r="F1798" s="494" t="s">
        <v>92</v>
      </c>
      <c r="G1798" s="476">
        <f>G1794+G1796</f>
        <v>15.4</v>
      </c>
      <c r="H1798" s="763"/>
    </row>
    <row r="1799" spans="1:13" ht="15" customHeight="1">
      <c r="A1799" s="763"/>
      <c r="B1799" s="763"/>
      <c r="C1799" s="763"/>
      <c r="D1799" s="763"/>
      <c r="E1799" s="763"/>
      <c r="F1799" s="494" t="s">
        <v>94</v>
      </c>
      <c r="G1799" s="476">
        <f>G1793+G1795+G1797</f>
        <v>406.00999999999993</v>
      </c>
      <c r="H1799" s="763"/>
    </row>
    <row r="1800" spans="1:13" ht="15" customHeight="1">
      <c r="A1800" s="495" t="s">
        <v>96</v>
      </c>
      <c r="B1800" s="763"/>
      <c r="C1800" s="763"/>
      <c r="D1800" s="763"/>
      <c r="E1800" s="763"/>
      <c r="F1800" s="494" t="s">
        <v>95</v>
      </c>
      <c r="G1800" s="672">
        <f>SUM(G1798:G1799)</f>
        <v>421.40999999999991</v>
      </c>
      <c r="H1800" s="763"/>
    </row>
    <row r="1801" spans="1:13" ht="15" customHeight="1">
      <c r="A1801" s="428" t="s">
        <v>97</v>
      </c>
      <c r="B1801" s="461">
        <f>G1800</f>
        <v>421.40999999999991</v>
      </c>
      <c r="C1801" s="763"/>
      <c r="D1801" s="763"/>
      <c r="E1801" s="763"/>
      <c r="F1801" s="139"/>
      <c r="G1801" s="139"/>
      <c r="H1801" s="763"/>
    </row>
    <row r="1802" spans="1:13" ht="15" customHeight="1">
      <c r="A1802" s="455" t="s">
        <v>1936</v>
      </c>
      <c r="B1802" s="454"/>
      <c r="C1802" s="763"/>
      <c r="D1802" s="763"/>
      <c r="E1802" s="763"/>
      <c r="F1802" s="139"/>
      <c r="G1802" s="139"/>
      <c r="H1802" s="763"/>
    </row>
    <row r="1803" spans="1:13" ht="15" customHeight="1">
      <c r="A1803" s="535" t="s">
        <v>1995</v>
      </c>
      <c r="B1803" s="454">
        <f>(B1801+B1802)*0.245</f>
        <v>103.24544999999998</v>
      </c>
      <c r="C1803" s="763"/>
      <c r="D1803" s="763"/>
      <c r="E1803" s="763"/>
      <c r="F1803" s="139"/>
      <c r="G1803" s="139"/>
      <c r="H1803" s="763"/>
    </row>
    <row r="1804" spans="1:13" ht="15" customHeight="1">
      <c r="A1804" s="428" t="s">
        <v>98</v>
      </c>
      <c r="B1804" s="462">
        <f>SUM(B1801:B1803)</f>
        <v>524.65544999999986</v>
      </c>
      <c r="C1804" s="763"/>
      <c r="D1804" s="763"/>
      <c r="E1804" s="763"/>
      <c r="F1804" s="139"/>
      <c r="G1804" s="139"/>
      <c r="H1804" s="490"/>
    </row>
    <row r="1805" spans="1:13">
      <c r="A1805" s="429"/>
      <c r="B1805" s="430"/>
      <c r="C1805" s="431"/>
      <c r="D1805" s="429"/>
      <c r="E1805" s="430"/>
      <c r="F1805" s="430"/>
      <c r="G1805" s="430"/>
      <c r="H1805" s="429"/>
    </row>
    <row r="1806" spans="1:13">
      <c r="A1806" s="337"/>
      <c r="B1806" s="334"/>
      <c r="C1806" s="336"/>
      <c r="D1806" s="337"/>
      <c r="E1806" s="334"/>
      <c r="F1806" s="334"/>
      <c r="G1806" s="334"/>
      <c r="H1806" s="337"/>
    </row>
    <row r="1807" spans="1:13">
      <c r="A1807" s="130" t="s">
        <v>653</v>
      </c>
      <c r="J1807" s="130" t="s">
        <v>1254</v>
      </c>
    </row>
    <row r="1808" spans="1:13" ht="15.75" customHeight="1">
      <c r="A1808" s="1049" t="s">
        <v>2161</v>
      </c>
      <c r="B1808" s="1050"/>
      <c r="C1808" s="1050"/>
      <c r="D1808" s="1050"/>
      <c r="E1808" s="1050"/>
      <c r="F1808" s="1050"/>
      <c r="G1808" s="1050"/>
      <c r="H1808" s="1050"/>
      <c r="J1808" s="130">
        <v>86895</v>
      </c>
      <c r="K1808" s="780" t="s">
        <v>1255</v>
      </c>
      <c r="M1808" s="780" t="s">
        <v>1255</v>
      </c>
    </row>
    <row r="1809" spans="1:13" ht="30" customHeight="1">
      <c r="A1809" s="544" t="s">
        <v>924</v>
      </c>
      <c r="B1809" s="1337" t="s">
        <v>2057</v>
      </c>
      <c r="C1809" s="1337"/>
      <c r="D1809" s="544" t="s">
        <v>822</v>
      </c>
      <c r="E1809" s="468"/>
      <c r="F1809" s="468"/>
      <c r="G1809" s="468"/>
      <c r="H1809" s="468"/>
      <c r="J1809" s="780" t="s">
        <v>1253</v>
      </c>
      <c r="K1809" s="780" t="s">
        <v>2058</v>
      </c>
      <c r="M1809" s="780" t="s">
        <v>2028</v>
      </c>
    </row>
    <row r="1810" spans="1:13" ht="28.5" customHeight="1">
      <c r="A1810" s="415" t="s">
        <v>30</v>
      </c>
      <c r="B1810" s="420" t="s">
        <v>19</v>
      </c>
      <c r="C1810" s="343" t="s">
        <v>82</v>
      </c>
      <c r="D1810" s="525" t="s">
        <v>79</v>
      </c>
      <c r="E1810" s="525" t="s">
        <v>83</v>
      </c>
      <c r="F1810" s="345" t="s">
        <v>84</v>
      </c>
      <c r="G1810" s="421" t="s">
        <v>85</v>
      </c>
      <c r="H1810" s="141"/>
      <c r="J1810" s="777">
        <f>0.5*0.6</f>
        <v>0.3</v>
      </c>
      <c r="K1810" s="1037">
        <v>3.9125000000000001</v>
      </c>
      <c r="L1810" s="130" t="s">
        <v>99</v>
      </c>
      <c r="M1810" s="777">
        <f>2.38*0.4</f>
        <v>0.95199999999999996</v>
      </c>
    </row>
    <row r="1811" spans="1:13" ht="42" customHeight="1">
      <c r="A1811" s="541" t="s">
        <v>209</v>
      </c>
      <c r="B1811" s="543" t="s">
        <v>1242</v>
      </c>
      <c r="C1811" s="524" t="s">
        <v>89</v>
      </c>
      <c r="D1811" s="524" t="s">
        <v>99</v>
      </c>
      <c r="E1811" s="1034">
        <f>15.65/4</f>
        <v>3.9125000000000001</v>
      </c>
      <c r="F1811" s="969">
        <v>586.45000000000005</v>
      </c>
      <c r="G1811" s="519">
        <f t="shared" ref="G1811:G1820" si="102">TRUNC(E1811*F1811,2)</f>
        <v>2294.48</v>
      </c>
      <c r="H1811" s="141"/>
      <c r="J1811" s="780">
        <v>0.377</v>
      </c>
      <c r="K1811" s="781">
        <v>2.0015000000000001</v>
      </c>
      <c r="M1811" s="781">
        <f>($M$1810*J1811)/$J$1810</f>
        <v>1.1963466666666667</v>
      </c>
    </row>
    <row r="1812" spans="1:13" ht="15" customHeight="1">
      <c r="A1812" s="541" t="s">
        <v>210</v>
      </c>
      <c r="B1812" s="543" t="s">
        <v>211</v>
      </c>
      <c r="C1812" s="524" t="s">
        <v>89</v>
      </c>
      <c r="D1812" s="524" t="s">
        <v>101</v>
      </c>
      <c r="E1812" s="524">
        <v>0.33500000000000002</v>
      </c>
      <c r="F1812" s="486">
        <v>44.3</v>
      </c>
      <c r="G1812" s="519">
        <f t="shared" si="102"/>
        <v>14.84</v>
      </c>
      <c r="H1812" s="141"/>
      <c r="J1812" s="778" t="s">
        <v>212</v>
      </c>
      <c r="K1812" s="781">
        <f t="shared" ref="K1812:K1822" si="103">($K$1810*J1812)/$J$1810</f>
        <v>0.33517083333333336</v>
      </c>
      <c r="M1812" s="781">
        <f>($M$1810*J1812)/$J$1810</f>
        <v>8.1554666666666664E-2</v>
      </c>
    </row>
    <row r="1813" spans="1:13" ht="24.75" customHeight="1">
      <c r="A1813" s="541" t="s">
        <v>213</v>
      </c>
      <c r="B1813" s="543" t="s">
        <v>214</v>
      </c>
      <c r="C1813" s="524" t="s">
        <v>89</v>
      </c>
      <c r="D1813" s="524" t="s">
        <v>5</v>
      </c>
      <c r="E1813" s="486">
        <v>6</v>
      </c>
      <c r="F1813" s="524">
        <v>28.07</v>
      </c>
      <c r="G1813" s="519">
        <f t="shared" si="102"/>
        <v>168.42</v>
      </c>
      <c r="H1813" s="141"/>
      <c r="J1813" s="779">
        <v>2</v>
      </c>
      <c r="K1813" s="781">
        <f t="shared" si="103"/>
        <v>26.083333333333336</v>
      </c>
      <c r="M1813" s="781">
        <f>($M$1810*J1813)/$J$1810</f>
        <v>6.3466666666666667</v>
      </c>
    </row>
    <row r="1814" spans="1:13" ht="16.5" customHeight="1">
      <c r="A1814" s="541" t="s">
        <v>215</v>
      </c>
      <c r="B1814" s="543" t="s">
        <v>216</v>
      </c>
      <c r="C1814" s="524" t="s">
        <v>89</v>
      </c>
      <c r="D1814" s="524" t="s">
        <v>101</v>
      </c>
      <c r="E1814" s="524">
        <v>5.0129999999999999</v>
      </c>
      <c r="F1814" s="524">
        <v>28.09</v>
      </c>
      <c r="G1814" s="519">
        <f t="shared" si="102"/>
        <v>140.81</v>
      </c>
      <c r="H1814" s="141"/>
      <c r="J1814" s="778" t="s">
        <v>217</v>
      </c>
      <c r="K1814" s="781">
        <f t="shared" si="103"/>
        <v>5.0132166666666675</v>
      </c>
      <c r="M1814" s="781">
        <f>($M$1810*J1814)/$J$1810</f>
        <v>1.2198293333333334</v>
      </c>
    </row>
    <row r="1815" spans="1:13" ht="36.75" customHeight="1">
      <c r="A1815" s="541" t="s">
        <v>218</v>
      </c>
      <c r="B1815" s="538" t="s">
        <v>219</v>
      </c>
      <c r="C1815" s="524" t="s">
        <v>89</v>
      </c>
      <c r="D1815" s="524" t="s">
        <v>822</v>
      </c>
      <c r="E1815" s="486">
        <v>18</v>
      </c>
      <c r="F1815" s="524">
        <v>0.61</v>
      </c>
      <c r="G1815" s="519">
        <f t="shared" si="102"/>
        <v>10.98</v>
      </c>
      <c r="H1815" s="141"/>
      <c r="J1815" s="779">
        <v>6</v>
      </c>
      <c r="K1815" s="781">
        <f t="shared" si="103"/>
        <v>78.250000000000014</v>
      </c>
      <c r="M1815" s="781">
        <f>($M$1810*J1815)/$J$1810</f>
        <v>19.04</v>
      </c>
    </row>
    <row r="1816" spans="1:13" ht="15" customHeight="1">
      <c r="A1816" s="1340" t="s">
        <v>2029</v>
      </c>
      <c r="B1816" s="1338" t="s">
        <v>2030</v>
      </c>
      <c r="C1816" s="1016" t="s">
        <v>102</v>
      </c>
      <c r="D1816" s="1343" t="s">
        <v>822</v>
      </c>
      <c r="E1816" s="1323">
        <v>1</v>
      </c>
      <c r="F1816" s="486">
        <f>'COMP AUX'!G1952</f>
        <v>3.16</v>
      </c>
      <c r="G1816" s="519">
        <f t="shared" si="102"/>
        <v>3.16</v>
      </c>
      <c r="H1816" s="1015"/>
      <c r="J1816" s="779"/>
      <c r="K1816" s="781"/>
      <c r="M1816" s="781"/>
    </row>
    <row r="1817" spans="1:13" ht="15" customHeight="1">
      <c r="A1817" s="1341"/>
      <c r="B1817" s="1339"/>
      <c r="C1817" s="1016" t="s">
        <v>89</v>
      </c>
      <c r="D1817" s="1344"/>
      <c r="E1817" s="1324"/>
      <c r="F1817" s="486">
        <f>'COMP AUX'!G1953</f>
        <v>3</v>
      </c>
      <c r="G1817" s="519">
        <f>TRUNC(E1816*F1817,2)</f>
        <v>3</v>
      </c>
      <c r="H1817" s="1015"/>
      <c r="J1817" s="779"/>
      <c r="K1817" s="781"/>
      <c r="M1817" s="781"/>
    </row>
    <row r="1818" spans="1:13" ht="15" customHeight="1">
      <c r="A1818" s="1340" t="s">
        <v>2031</v>
      </c>
      <c r="B1818" s="1338" t="s">
        <v>2032</v>
      </c>
      <c r="C1818" s="1016" t="s">
        <v>102</v>
      </c>
      <c r="D1818" s="1343" t="s">
        <v>822</v>
      </c>
      <c r="E1818" s="1323">
        <v>1</v>
      </c>
      <c r="F1818" s="486">
        <f>'COMP AUX'!G1967</f>
        <v>1.56</v>
      </c>
      <c r="G1818" s="519">
        <f t="shared" si="102"/>
        <v>1.56</v>
      </c>
      <c r="H1818" s="1015"/>
      <c r="J1818" s="779"/>
      <c r="K1818" s="781"/>
      <c r="M1818" s="781"/>
    </row>
    <row r="1819" spans="1:13" ht="15" customHeight="1">
      <c r="A1819" s="1341"/>
      <c r="B1819" s="1339"/>
      <c r="C1819" s="1016" t="s">
        <v>89</v>
      </c>
      <c r="D1819" s="1344"/>
      <c r="E1819" s="1324"/>
      <c r="F1819" s="486">
        <f>'COMP AUX'!G1968</f>
        <v>7.5</v>
      </c>
      <c r="G1819" s="519">
        <f>TRUNC(E1818*F1819,2)</f>
        <v>7.5</v>
      </c>
      <c r="H1819" s="1015"/>
      <c r="J1819" s="779"/>
      <c r="K1819" s="781"/>
      <c r="M1819" s="781"/>
    </row>
    <row r="1820" spans="1:13" ht="15" customHeight="1">
      <c r="A1820" s="1340">
        <v>88274</v>
      </c>
      <c r="B1820" s="1338" t="s">
        <v>221</v>
      </c>
      <c r="C1820" s="765" t="s">
        <v>102</v>
      </c>
      <c r="D1820" s="1343" t="s">
        <v>345</v>
      </c>
      <c r="E1820" s="1323">
        <v>9.6</v>
      </c>
      <c r="F1820" s="486">
        <f>'COMP AUX'!G406</f>
        <v>15.18</v>
      </c>
      <c r="G1820" s="519">
        <f t="shared" si="102"/>
        <v>145.72</v>
      </c>
      <c r="H1820" s="763"/>
      <c r="J1820" s="778" t="s">
        <v>222</v>
      </c>
      <c r="K1820" s="781">
        <f t="shared" si="103"/>
        <v>25.04</v>
      </c>
      <c r="M1820" s="781">
        <f>($M$1810*J1820)/$J$1810</f>
        <v>6.0927999999999995</v>
      </c>
    </row>
    <row r="1821" spans="1:13" ht="15" customHeight="1">
      <c r="A1821" s="1341"/>
      <c r="B1821" s="1339"/>
      <c r="C1821" s="524" t="s">
        <v>89</v>
      </c>
      <c r="D1821" s="1344"/>
      <c r="E1821" s="1324"/>
      <c r="F1821" s="486">
        <f>'COMP AUX'!G407</f>
        <v>4.5600000000000005</v>
      </c>
      <c r="G1821" s="519">
        <f>TRUNC(E1820*F1821,2)</f>
        <v>43.77</v>
      </c>
      <c r="H1821" s="141"/>
      <c r="J1821" s="778"/>
      <c r="K1821" s="781"/>
      <c r="M1821" s="781"/>
    </row>
    <row r="1822" spans="1:13" ht="15" customHeight="1">
      <c r="A1822" s="1340">
        <v>88316</v>
      </c>
      <c r="B1822" s="1338" t="s">
        <v>106</v>
      </c>
      <c r="C1822" s="765" t="s">
        <v>102</v>
      </c>
      <c r="D1822" s="1343" t="s">
        <v>345</v>
      </c>
      <c r="E1822" s="1323">
        <v>4.9000000000000004</v>
      </c>
      <c r="F1822" s="486">
        <f>'COMP AUX'!G104</f>
        <v>11.1</v>
      </c>
      <c r="G1822" s="519">
        <f>TRUNC(E1822*F1822,2)</f>
        <v>54.39</v>
      </c>
      <c r="H1822" s="763"/>
      <c r="J1822" s="778" t="s">
        <v>223</v>
      </c>
      <c r="K1822" s="781">
        <f t="shared" si="103"/>
        <v>12.780833333333334</v>
      </c>
      <c r="M1822" s="781">
        <f>($M$1810*J1822)/$J$1810</f>
        <v>3.1098666666666666</v>
      </c>
    </row>
    <row r="1823" spans="1:13" ht="15" customHeight="1">
      <c r="A1823" s="1341"/>
      <c r="B1823" s="1339"/>
      <c r="C1823" s="524" t="s">
        <v>89</v>
      </c>
      <c r="D1823" s="1344"/>
      <c r="E1823" s="1324"/>
      <c r="F1823" s="486">
        <f>'COMP AUX'!G105</f>
        <v>4.5600000000000005</v>
      </c>
      <c r="G1823" s="519">
        <f>TRUNC(E1822*F1823,2)</f>
        <v>22.34</v>
      </c>
      <c r="H1823" s="141"/>
      <c r="J1823" s="778"/>
      <c r="K1823" s="781"/>
    </row>
    <row r="1824" spans="1:13" ht="15" customHeight="1">
      <c r="A1824" s="141"/>
      <c r="B1824" s="141"/>
      <c r="C1824" s="141"/>
      <c r="D1824" s="141"/>
      <c r="E1824" s="141"/>
      <c r="F1824" s="494" t="s">
        <v>92</v>
      </c>
      <c r="G1824" s="519">
        <f>G1820+G1822+G1818+G1816</f>
        <v>204.83</v>
      </c>
      <c r="H1824" s="141"/>
    </row>
    <row r="1825" spans="1:11" ht="15" customHeight="1">
      <c r="A1825" s="141"/>
      <c r="B1825" s="141"/>
      <c r="C1825" s="141"/>
      <c r="D1825" s="141"/>
      <c r="E1825" s="141"/>
      <c r="F1825" s="494" t="s">
        <v>94</v>
      </c>
      <c r="G1825" s="519">
        <f>G1811+G1812+G1813+G1814+G1815++G1817+G1819+G1821+G1823</f>
        <v>2706.1400000000003</v>
      </c>
      <c r="H1825" s="141"/>
      <c r="K1825" s="130">
        <f>2.5*0.6*4</f>
        <v>6</v>
      </c>
    </row>
    <row r="1826" spans="1:11" ht="15" customHeight="1">
      <c r="A1826" s="495" t="s">
        <v>96</v>
      </c>
      <c r="B1826" s="522"/>
      <c r="C1826" s="141"/>
      <c r="D1826" s="141"/>
      <c r="E1826" s="141"/>
      <c r="F1826" s="494" t="s">
        <v>95</v>
      </c>
      <c r="G1826" s="521">
        <f>SUM(G1824:G1825)</f>
        <v>2910.9700000000003</v>
      </c>
      <c r="H1826" s="141"/>
      <c r="K1826" s="130">
        <f>2.38*0.4*4</f>
        <v>3.8079999999999998</v>
      </c>
    </row>
    <row r="1827" spans="1:11" ht="15" customHeight="1">
      <c r="A1827" s="428" t="s">
        <v>97</v>
      </c>
      <c r="B1827" s="569">
        <f>G1826</f>
        <v>2910.9700000000003</v>
      </c>
      <c r="C1827" s="141"/>
      <c r="D1827" s="141"/>
      <c r="E1827" s="141"/>
      <c r="F1827" s="139"/>
      <c r="G1827" s="139"/>
      <c r="H1827" s="141"/>
    </row>
    <row r="1828" spans="1:11" ht="15" customHeight="1">
      <c r="A1828" s="455" t="s">
        <v>1936</v>
      </c>
      <c r="B1828" s="454"/>
      <c r="C1828" s="141"/>
      <c r="D1828" s="141"/>
      <c r="E1828" s="141"/>
      <c r="F1828" s="139"/>
      <c r="G1828" s="139"/>
      <c r="H1828" s="141"/>
    </row>
    <row r="1829" spans="1:11" ht="15" customHeight="1">
      <c r="A1829" s="535" t="s">
        <v>1995</v>
      </c>
      <c r="B1829" s="454">
        <f>(B1827+B1828)*0.245</f>
        <v>713.18765000000008</v>
      </c>
      <c r="C1829" s="141"/>
      <c r="D1829" s="141"/>
      <c r="E1829" s="141"/>
      <c r="F1829" s="139">
        <f>9177.78/15.65</f>
        <v>586.43961661341859</v>
      </c>
      <c r="G1829" s="139"/>
      <c r="H1829" s="141"/>
    </row>
    <row r="1830" spans="1:11" ht="15" customHeight="1">
      <c r="A1830" s="428" t="s">
        <v>98</v>
      </c>
      <c r="B1830" s="570">
        <f>SUM(B1827:B1829)</f>
        <v>3624.1576500000001</v>
      </c>
      <c r="C1830" s="141"/>
      <c r="D1830" s="141"/>
      <c r="E1830" s="141"/>
      <c r="F1830" s="139"/>
      <c r="G1830" s="139"/>
      <c r="H1830" s="490"/>
      <c r="I1830" s="130" t="s">
        <v>1937</v>
      </c>
    </row>
    <row r="1831" spans="1:11">
      <c r="A1831" s="429"/>
      <c r="B1831" s="430"/>
      <c r="C1831" s="431"/>
      <c r="D1831" s="429"/>
      <c r="E1831" s="430"/>
      <c r="F1831" s="430"/>
      <c r="G1831" s="430"/>
      <c r="H1831" s="429"/>
    </row>
    <row r="1833" spans="1:11">
      <c r="A1833" s="130" t="s">
        <v>653</v>
      </c>
    </row>
    <row r="1834" spans="1:11">
      <c r="A1834" s="1325" t="s">
        <v>2050</v>
      </c>
      <c r="B1834" s="1326"/>
      <c r="C1834" s="1326"/>
      <c r="D1834" s="1326"/>
      <c r="E1834" s="1326"/>
      <c r="F1834" s="1326"/>
      <c r="G1834" s="1326"/>
      <c r="H1834" s="1326"/>
    </row>
    <row r="1835" spans="1:11" ht="22.5" customHeight="1">
      <c r="A1835" s="544" t="s">
        <v>924</v>
      </c>
      <c r="B1835" s="1032" t="s">
        <v>2040</v>
      </c>
      <c r="C1835" s="1033" t="s">
        <v>858</v>
      </c>
      <c r="E1835" s="468"/>
      <c r="F1835" s="468"/>
      <c r="G1835" s="468"/>
      <c r="H1835" s="468"/>
    </row>
    <row r="1836" spans="1:11" ht="25.5" customHeight="1">
      <c r="A1836" s="1013" t="s">
        <v>30</v>
      </c>
      <c r="B1836" s="420" t="s">
        <v>19</v>
      </c>
      <c r="C1836" s="343" t="s">
        <v>82</v>
      </c>
      <c r="D1836" s="1004" t="s">
        <v>79</v>
      </c>
      <c r="E1836" s="1004" t="s">
        <v>83</v>
      </c>
      <c r="F1836" s="345" t="s">
        <v>84</v>
      </c>
      <c r="G1836" s="421" t="s">
        <v>85</v>
      </c>
      <c r="H1836" s="1015"/>
      <c r="J1836" s="130">
        <v>86895</v>
      </c>
    </row>
    <row r="1837" spans="1:11" ht="36.75" customHeight="1">
      <c r="A1837" s="764">
        <v>4350</v>
      </c>
      <c r="B1837" s="543" t="s">
        <v>2044</v>
      </c>
      <c r="C1837" s="1016" t="s">
        <v>89</v>
      </c>
      <c r="D1837" s="1016" t="s">
        <v>344</v>
      </c>
      <c r="E1837" s="486">
        <v>4</v>
      </c>
      <c r="F1837" s="1016">
        <v>0.34</v>
      </c>
      <c r="G1837" s="519">
        <f t="shared" ref="G1837:G1839" si="104">TRUNC(E1837*F1837,2)</f>
        <v>1.36</v>
      </c>
      <c r="H1837" s="1015"/>
    </row>
    <row r="1838" spans="1:11" ht="21.75" customHeight="1">
      <c r="A1838" s="764">
        <v>34666</v>
      </c>
      <c r="B1838" s="543" t="s">
        <v>2049</v>
      </c>
      <c r="C1838" s="1016" t="s">
        <v>89</v>
      </c>
      <c r="D1838" s="1016" t="s">
        <v>858</v>
      </c>
      <c r="E1838" s="1016">
        <v>1.05</v>
      </c>
      <c r="F1838" s="486">
        <v>42.31</v>
      </c>
      <c r="G1838" s="519">
        <f t="shared" si="104"/>
        <v>44.42</v>
      </c>
      <c r="H1838" s="1015"/>
    </row>
    <row r="1839" spans="1:11" ht="14.1" customHeight="1">
      <c r="A1839" s="1427">
        <v>88262</v>
      </c>
      <c r="B1839" s="1338" t="s">
        <v>1165</v>
      </c>
      <c r="C1839" s="1016" t="s">
        <v>102</v>
      </c>
      <c r="D1839" s="1343" t="s">
        <v>345</v>
      </c>
      <c r="E1839" s="1442">
        <v>1.35</v>
      </c>
      <c r="F1839" s="486">
        <f>'COMP AUX'!G87</f>
        <v>14.81</v>
      </c>
      <c r="G1839" s="519">
        <f t="shared" si="104"/>
        <v>19.989999999999998</v>
      </c>
      <c r="H1839" s="1015"/>
    </row>
    <row r="1840" spans="1:11" ht="14.1" customHeight="1">
      <c r="A1840" s="1428"/>
      <c r="B1840" s="1339"/>
      <c r="C1840" s="1016" t="s">
        <v>89</v>
      </c>
      <c r="D1840" s="1344"/>
      <c r="E1840" s="1443"/>
      <c r="F1840" s="486">
        <f>'COMP AUX'!G88</f>
        <v>4.5600000000000005</v>
      </c>
      <c r="G1840" s="519">
        <f>TRUNC(E1839*F1840,2)</f>
        <v>6.15</v>
      </c>
      <c r="H1840" s="1015"/>
    </row>
    <row r="1841" spans="1:8" ht="14.1" customHeight="1">
      <c r="A1841" s="1427">
        <v>88241</v>
      </c>
      <c r="B1841" s="1338" t="s">
        <v>2025</v>
      </c>
      <c r="C1841" s="1016" t="s">
        <v>102</v>
      </c>
      <c r="D1841" s="1343" t="s">
        <v>345</v>
      </c>
      <c r="E1841" s="1323">
        <v>1.35</v>
      </c>
      <c r="F1841" s="486">
        <f>'COMP AUX'!G53</f>
        <v>10.74</v>
      </c>
      <c r="G1841" s="519">
        <f>TRUNC(E1841*F1841,2)</f>
        <v>14.49</v>
      </c>
      <c r="H1841" s="1015"/>
    </row>
    <row r="1842" spans="1:8" ht="14.1" customHeight="1">
      <c r="A1842" s="1428"/>
      <c r="B1842" s="1339"/>
      <c r="C1842" s="1016" t="s">
        <v>89</v>
      </c>
      <c r="D1842" s="1344"/>
      <c r="E1842" s="1324"/>
      <c r="F1842" s="486">
        <f>'COMP AUX'!G54</f>
        <v>4.5600000000000005</v>
      </c>
      <c r="G1842" s="519">
        <f>TRUNC(E1841*F1842,2)</f>
        <v>6.15</v>
      </c>
      <c r="H1842" s="1015"/>
    </row>
    <row r="1843" spans="1:8" ht="14.1" customHeight="1">
      <c r="A1843" s="1015"/>
      <c r="B1843" s="1015"/>
      <c r="C1843" s="1015"/>
      <c r="D1843" s="1015"/>
      <c r="E1843" s="1015"/>
      <c r="F1843" s="494" t="s">
        <v>92</v>
      </c>
      <c r="G1843" s="519">
        <f>G1839+G1841</f>
        <v>34.479999999999997</v>
      </c>
      <c r="H1843" s="1015"/>
    </row>
    <row r="1844" spans="1:8" ht="14.1" customHeight="1">
      <c r="A1844" s="1015"/>
      <c r="B1844" s="1015"/>
      <c r="C1844" s="1015"/>
      <c r="D1844" s="1015"/>
      <c r="E1844" s="1015"/>
      <c r="F1844" s="494" t="s">
        <v>94</v>
      </c>
      <c r="G1844" s="519">
        <f>G1837+G1838+G1840+G1842</f>
        <v>58.08</v>
      </c>
      <c r="H1844" s="1015"/>
    </row>
    <row r="1845" spans="1:8" ht="14.1" customHeight="1">
      <c r="A1845" s="495" t="s">
        <v>96</v>
      </c>
      <c r="B1845" s="1015"/>
      <c r="C1845" s="1015"/>
      <c r="D1845" s="1015"/>
      <c r="E1845" s="1015"/>
      <c r="F1845" s="494" t="s">
        <v>95</v>
      </c>
      <c r="G1845" s="521">
        <f>SUM(G1843:G1844)</f>
        <v>92.56</v>
      </c>
      <c r="H1845" s="1015"/>
    </row>
    <row r="1846" spans="1:8" ht="14.1" customHeight="1">
      <c r="A1846" s="428" t="s">
        <v>97</v>
      </c>
      <c r="B1846" s="569">
        <f>G1845</f>
        <v>92.56</v>
      </c>
      <c r="C1846" s="1015"/>
      <c r="D1846" s="1015"/>
      <c r="E1846" s="1015"/>
      <c r="F1846" s="139"/>
      <c r="G1846" s="139"/>
      <c r="H1846" s="1015"/>
    </row>
    <row r="1847" spans="1:8" ht="14.1" customHeight="1">
      <c r="A1847" s="455" t="s">
        <v>1936</v>
      </c>
      <c r="B1847" s="454"/>
      <c r="C1847" s="1015"/>
      <c r="D1847" s="1015"/>
      <c r="E1847" s="1015"/>
      <c r="F1847" s="139"/>
      <c r="G1847" s="139"/>
      <c r="H1847" s="1015"/>
    </row>
    <row r="1848" spans="1:8" ht="14.1" customHeight="1">
      <c r="A1848" s="535" t="s">
        <v>1995</v>
      </c>
      <c r="B1848" s="454">
        <f>(B1846+B1847)*0.245</f>
        <v>22.677199999999999</v>
      </c>
      <c r="C1848" s="1015"/>
      <c r="D1848" s="1015"/>
      <c r="E1848" s="1015"/>
      <c r="F1848" s="139"/>
      <c r="G1848" s="139"/>
      <c r="H1848" s="1015"/>
    </row>
    <row r="1849" spans="1:8" ht="14.1" customHeight="1">
      <c r="A1849" s="428" t="s">
        <v>98</v>
      </c>
      <c r="B1849" s="570">
        <f>SUM(B1846:B1848)</f>
        <v>115.2372</v>
      </c>
      <c r="C1849" s="1015"/>
      <c r="D1849" s="1015"/>
      <c r="E1849" s="1015"/>
      <c r="F1849" s="139"/>
      <c r="G1849" s="139"/>
      <c r="H1849" s="490"/>
    </row>
    <row r="1850" spans="1:8">
      <c r="A1850" s="429"/>
      <c r="B1850" s="430"/>
      <c r="C1850" s="431"/>
      <c r="D1850" s="429"/>
      <c r="E1850" s="430"/>
      <c r="F1850" s="430"/>
      <c r="G1850" s="430"/>
      <c r="H1850" s="429"/>
    </row>
    <row r="1852" spans="1:8">
      <c r="A1852" s="130" t="s">
        <v>653</v>
      </c>
    </row>
    <row r="1853" spans="1:8">
      <c r="A1853" s="1325" t="s">
        <v>2163</v>
      </c>
      <c r="B1853" s="1326"/>
      <c r="C1853" s="1326"/>
      <c r="D1853" s="1326"/>
      <c r="E1853" s="1326"/>
      <c r="F1853" s="1326"/>
      <c r="G1853" s="1326"/>
      <c r="H1853" s="1326"/>
    </row>
    <row r="1854" spans="1:8" ht="35.25" customHeight="1">
      <c r="A1854" s="544" t="s">
        <v>924</v>
      </c>
      <c r="B1854" s="1450" t="s">
        <v>2052</v>
      </c>
      <c r="C1854" s="1450"/>
      <c r="D1854" s="1014" t="s">
        <v>822</v>
      </c>
      <c r="E1854" s="468"/>
      <c r="F1854" s="468"/>
      <c r="G1854" s="468"/>
      <c r="H1854" s="468"/>
    </row>
    <row r="1855" spans="1:8" ht="22.5">
      <c r="A1855" s="1013" t="s">
        <v>30</v>
      </c>
      <c r="B1855" s="420" t="s">
        <v>19</v>
      </c>
      <c r="C1855" s="343" t="s">
        <v>82</v>
      </c>
      <c r="D1855" s="1004" t="s">
        <v>79</v>
      </c>
      <c r="E1855" s="1004" t="s">
        <v>83</v>
      </c>
      <c r="F1855" s="345" t="s">
        <v>84</v>
      </c>
      <c r="G1855" s="421" t="s">
        <v>85</v>
      </c>
      <c r="H1855" s="1015"/>
    </row>
    <row r="1856" spans="1:8" ht="15" customHeight="1">
      <c r="A1856" s="1340" t="s">
        <v>2029</v>
      </c>
      <c r="B1856" s="1338" t="s">
        <v>2030</v>
      </c>
      <c r="C1856" s="1016" t="s">
        <v>102</v>
      </c>
      <c r="D1856" s="1343" t="s">
        <v>344</v>
      </c>
      <c r="E1856" s="1442">
        <v>1</v>
      </c>
      <c r="F1856" s="486">
        <f>'COMP AUX'!G1952</f>
        <v>3.16</v>
      </c>
      <c r="G1856" s="519">
        <f t="shared" ref="G1856:G1860" si="105">TRUNC(E1856*F1856,2)</f>
        <v>3.16</v>
      </c>
      <c r="H1856" s="1015"/>
    </row>
    <row r="1857" spans="1:8" ht="15" customHeight="1">
      <c r="A1857" s="1341"/>
      <c r="B1857" s="1339"/>
      <c r="C1857" s="1016" t="s">
        <v>89</v>
      </c>
      <c r="D1857" s="1344"/>
      <c r="E1857" s="1443"/>
      <c r="F1857" s="486">
        <f>'COMP AUX'!G1953</f>
        <v>3</v>
      </c>
      <c r="G1857" s="519">
        <f>TRUNC(E1856*F1857,2)</f>
        <v>3</v>
      </c>
      <c r="H1857" s="1015"/>
    </row>
    <row r="1858" spans="1:8" ht="15" customHeight="1">
      <c r="A1858" s="1340" t="s">
        <v>2031</v>
      </c>
      <c r="B1858" s="1338" t="s">
        <v>2032</v>
      </c>
      <c r="C1858" s="1016" t="s">
        <v>102</v>
      </c>
      <c r="D1858" s="1343" t="s">
        <v>344</v>
      </c>
      <c r="E1858" s="1442">
        <v>1</v>
      </c>
      <c r="F1858" s="486">
        <f>'COMP AUX'!G1967</f>
        <v>1.56</v>
      </c>
      <c r="G1858" s="519">
        <f t="shared" si="105"/>
        <v>1.56</v>
      </c>
      <c r="H1858" s="1015"/>
    </row>
    <row r="1859" spans="1:8" ht="15" customHeight="1">
      <c r="A1859" s="1341"/>
      <c r="B1859" s="1339"/>
      <c r="C1859" s="1016" t="s">
        <v>89</v>
      </c>
      <c r="D1859" s="1344"/>
      <c r="E1859" s="1443"/>
      <c r="F1859" s="486">
        <f>'COMP AUX'!G1968</f>
        <v>7.5</v>
      </c>
      <c r="G1859" s="519">
        <f>TRUNC(E1858*F1859,2)</f>
        <v>7.5</v>
      </c>
      <c r="H1859" s="1015"/>
    </row>
    <row r="1860" spans="1:8" ht="15" customHeight="1">
      <c r="A1860" s="1340" t="s">
        <v>2164</v>
      </c>
      <c r="B1860" s="1338" t="s">
        <v>2053</v>
      </c>
      <c r="C1860" s="1016" t="s">
        <v>102</v>
      </c>
      <c r="D1860" s="1343" t="s">
        <v>344</v>
      </c>
      <c r="E1860" s="1442">
        <v>1</v>
      </c>
      <c r="F1860" s="486">
        <f>'COMP AUX'!G1982</f>
        <v>1.56</v>
      </c>
      <c r="G1860" s="519">
        <f t="shared" si="105"/>
        <v>1.56</v>
      </c>
      <c r="H1860" s="1015"/>
    </row>
    <row r="1861" spans="1:8" ht="15" customHeight="1">
      <c r="A1861" s="1341"/>
      <c r="B1861" s="1339"/>
      <c r="C1861" s="1016" t="s">
        <v>89</v>
      </c>
      <c r="D1861" s="1344"/>
      <c r="E1861" s="1443"/>
      <c r="F1861" s="486">
        <f>'COMP AUX'!G1983</f>
        <v>615.18999999999994</v>
      </c>
      <c r="G1861" s="519">
        <f>TRUNC(E1860*F1861,2)</f>
        <v>615.19000000000005</v>
      </c>
      <c r="H1861" s="1015"/>
    </row>
    <row r="1862" spans="1:8" ht="15" customHeight="1">
      <c r="A1862" s="1015"/>
      <c r="B1862" s="1015"/>
      <c r="C1862" s="1015"/>
      <c r="D1862" s="1015"/>
      <c r="E1862" s="1015"/>
      <c r="F1862" s="494" t="s">
        <v>92</v>
      </c>
      <c r="G1862" s="519">
        <f>G1856+G1858+G1860</f>
        <v>6.2800000000000011</v>
      </c>
      <c r="H1862" s="1015"/>
    </row>
    <row r="1863" spans="1:8" ht="15" customHeight="1">
      <c r="A1863" s="1015"/>
      <c r="B1863" s="1015"/>
      <c r="C1863" s="1015"/>
      <c r="D1863" s="1015"/>
      <c r="E1863" s="1015"/>
      <c r="F1863" s="494" t="s">
        <v>94</v>
      </c>
      <c r="G1863" s="519">
        <f>G1857+G1859+G1861</f>
        <v>625.69000000000005</v>
      </c>
      <c r="H1863" s="1015"/>
    </row>
    <row r="1864" spans="1:8" ht="15" customHeight="1">
      <c r="A1864" s="495" t="s">
        <v>96</v>
      </c>
      <c r="B1864" s="1015"/>
      <c r="C1864" s="1015"/>
      <c r="D1864" s="1015"/>
      <c r="E1864" s="1015"/>
      <c r="F1864" s="494" t="s">
        <v>95</v>
      </c>
      <c r="G1864" s="521">
        <f>SUM(G1862:G1863)</f>
        <v>631.97</v>
      </c>
      <c r="H1864" s="1015"/>
    </row>
    <row r="1865" spans="1:8" ht="15" customHeight="1">
      <c r="A1865" s="428" t="s">
        <v>97</v>
      </c>
      <c r="B1865" s="569">
        <f>G1864</f>
        <v>631.97</v>
      </c>
      <c r="C1865" s="1015"/>
      <c r="D1865" s="1015"/>
      <c r="E1865" s="1015"/>
      <c r="F1865" s="139"/>
      <c r="G1865" s="139"/>
      <c r="H1865" s="1015"/>
    </row>
    <row r="1866" spans="1:8" ht="15" customHeight="1">
      <c r="A1866" s="455" t="s">
        <v>1936</v>
      </c>
      <c r="B1866" s="454"/>
      <c r="C1866" s="1015"/>
      <c r="D1866" s="1015"/>
      <c r="E1866" s="1015"/>
      <c r="F1866" s="139"/>
      <c r="G1866" s="139"/>
      <c r="H1866" s="1015"/>
    </row>
    <row r="1867" spans="1:8" ht="15" customHeight="1">
      <c r="A1867" s="535" t="s">
        <v>1995</v>
      </c>
      <c r="B1867" s="454">
        <f>(B1865+B1866)*0.245</f>
        <v>154.83265</v>
      </c>
      <c r="C1867" s="1015"/>
      <c r="D1867" s="1015"/>
      <c r="E1867" s="1015"/>
      <c r="F1867" s="139"/>
      <c r="G1867" s="139"/>
      <c r="H1867" s="1015"/>
    </row>
    <row r="1868" spans="1:8" ht="15" customHeight="1">
      <c r="A1868" s="428" t="s">
        <v>98</v>
      </c>
      <c r="B1868" s="570">
        <f>SUM(B1865:B1867)</f>
        <v>786.80265000000009</v>
      </c>
      <c r="C1868" s="1015"/>
      <c r="D1868" s="1015"/>
      <c r="E1868" s="1015"/>
      <c r="F1868" s="139"/>
      <c r="G1868" s="139"/>
      <c r="H1868" s="490"/>
    </row>
    <row r="1869" spans="1:8">
      <c r="A1869" s="429"/>
      <c r="B1869" s="430"/>
      <c r="C1869" s="431"/>
      <c r="D1869" s="429"/>
      <c r="E1869" s="430"/>
      <c r="F1869" s="430"/>
      <c r="G1869" s="430"/>
      <c r="H1869" s="429"/>
    </row>
    <row r="1871" spans="1:8" ht="14.25" customHeight="1">
      <c r="A1871" s="130" t="s">
        <v>653</v>
      </c>
    </row>
    <row r="1872" spans="1:8" ht="15" customHeight="1">
      <c r="A1872" s="942" t="s">
        <v>1976</v>
      </c>
      <c r="B1872" s="943"/>
      <c r="C1872" s="943"/>
      <c r="D1872" s="943"/>
      <c r="E1872" s="943"/>
      <c r="F1872" s="943"/>
      <c r="G1872" s="943"/>
      <c r="H1872" s="943"/>
    </row>
    <row r="1873" spans="1:8" ht="49.5" customHeight="1">
      <c r="A1873" s="544" t="s">
        <v>924</v>
      </c>
      <c r="B1873" s="1337" t="s">
        <v>1256</v>
      </c>
      <c r="C1873" s="1337"/>
      <c r="D1873" s="1337"/>
      <c r="E1873" s="493" t="s">
        <v>822</v>
      </c>
      <c r="F1873" s="468"/>
      <c r="G1873" s="468"/>
      <c r="H1873" s="468"/>
    </row>
    <row r="1874" spans="1:8" ht="22.5">
      <c r="A1874" s="415" t="s">
        <v>30</v>
      </c>
      <c r="B1874" s="420" t="s">
        <v>19</v>
      </c>
      <c r="C1874" s="343" t="s">
        <v>82</v>
      </c>
      <c r="D1874" s="525" t="s">
        <v>79</v>
      </c>
      <c r="E1874" s="525" t="s">
        <v>83</v>
      </c>
      <c r="F1874" s="345" t="s">
        <v>84</v>
      </c>
      <c r="G1874" s="421" t="s">
        <v>85</v>
      </c>
      <c r="H1874" s="141"/>
    </row>
    <row r="1875" spans="1:8" ht="22.5">
      <c r="A1875" s="541" t="s">
        <v>224</v>
      </c>
      <c r="B1875" s="543" t="s">
        <v>225</v>
      </c>
      <c r="C1875" s="524" t="s">
        <v>104</v>
      </c>
      <c r="D1875" s="524" t="s">
        <v>5</v>
      </c>
      <c r="E1875" s="524" t="s">
        <v>100</v>
      </c>
      <c r="F1875" s="524" t="s">
        <v>226</v>
      </c>
      <c r="G1875" s="537">
        <f t="shared" ref="G1875:G1879" si="106">TRUNC(E1875*F1875,2)</f>
        <v>5.35</v>
      </c>
      <c r="H1875" s="141"/>
    </row>
    <row r="1876" spans="1:8" ht="22.5">
      <c r="A1876" s="541" t="s">
        <v>227</v>
      </c>
      <c r="B1876" s="543" t="s">
        <v>228</v>
      </c>
      <c r="C1876" s="524" t="s">
        <v>104</v>
      </c>
      <c r="D1876" s="524" t="s">
        <v>5</v>
      </c>
      <c r="E1876" s="524" t="s">
        <v>100</v>
      </c>
      <c r="F1876" s="524" t="s">
        <v>229</v>
      </c>
      <c r="G1876" s="537">
        <f t="shared" si="106"/>
        <v>10.25</v>
      </c>
      <c r="H1876" s="141"/>
    </row>
    <row r="1877" spans="1:8" ht="22.5">
      <c r="A1877" s="541" t="s">
        <v>230</v>
      </c>
      <c r="B1877" s="543" t="s">
        <v>231</v>
      </c>
      <c r="C1877" s="524" t="s">
        <v>104</v>
      </c>
      <c r="D1877" s="524" t="s">
        <v>5</v>
      </c>
      <c r="E1877" s="524" t="s">
        <v>100</v>
      </c>
      <c r="F1877" s="524" t="s">
        <v>232</v>
      </c>
      <c r="G1877" s="537">
        <f t="shared" si="106"/>
        <v>6.64</v>
      </c>
      <c r="H1877" s="141"/>
    </row>
    <row r="1878" spans="1:8" ht="33.75">
      <c r="A1878" s="541" t="s">
        <v>233</v>
      </c>
      <c r="B1878" s="543" t="s">
        <v>234</v>
      </c>
      <c r="C1878" s="524" t="s">
        <v>104</v>
      </c>
      <c r="D1878" s="524" t="s">
        <v>5</v>
      </c>
      <c r="E1878" s="524" t="s">
        <v>100</v>
      </c>
      <c r="F1878" s="524" t="s">
        <v>235</v>
      </c>
      <c r="G1878" s="537">
        <f t="shared" si="106"/>
        <v>113.01</v>
      </c>
      <c r="H1878" s="141"/>
    </row>
    <row r="1879" spans="1:8" ht="22.5">
      <c r="A1879" s="764">
        <v>86906</v>
      </c>
      <c r="B1879" s="543" t="s">
        <v>236</v>
      </c>
      <c r="C1879" s="524" t="s">
        <v>104</v>
      </c>
      <c r="D1879" s="524" t="s">
        <v>5</v>
      </c>
      <c r="E1879" s="524" t="s">
        <v>100</v>
      </c>
      <c r="F1879" s="524" t="s">
        <v>237</v>
      </c>
      <c r="G1879" s="537">
        <f t="shared" si="106"/>
        <v>36.01</v>
      </c>
      <c r="H1879" s="141"/>
    </row>
    <row r="1880" spans="1:8" ht="14.1" customHeight="1">
      <c r="A1880" s="141"/>
      <c r="B1880" s="141"/>
      <c r="C1880" s="141"/>
      <c r="D1880" s="141"/>
      <c r="E1880" s="141"/>
      <c r="F1880" s="539" t="s">
        <v>92</v>
      </c>
      <c r="G1880" s="536" t="s">
        <v>238</v>
      </c>
      <c r="H1880" s="141"/>
    </row>
    <row r="1881" spans="1:8" ht="14.1" customHeight="1">
      <c r="A1881" s="141"/>
      <c r="B1881" s="141"/>
      <c r="C1881" s="141"/>
      <c r="D1881" s="141"/>
      <c r="E1881" s="141"/>
      <c r="F1881" s="539" t="s">
        <v>94</v>
      </c>
      <c r="G1881" s="536" t="s">
        <v>239</v>
      </c>
      <c r="H1881" s="141"/>
    </row>
    <row r="1882" spans="1:8" ht="14.1" customHeight="1">
      <c r="A1882" s="495" t="s">
        <v>96</v>
      </c>
      <c r="B1882" s="522"/>
      <c r="C1882" s="141"/>
      <c r="D1882" s="141"/>
      <c r="E1882" s="141"/>
      <c r="F1882" s="539" t="s">
        <v>95</v>
      </c>
      <c r="G1882" s="536" t="s">
        <v>240</v>
      </c>
      <c r="H1882" s="141"/>
    </row>
    <row r="1883" spans="1:8" ht="14.1" customHeight="1">
      <c r="A1883" s="428" t="s">
        <v>97</v>
      </c>
      <c r="B1883" s="461" t="str">
        <f>G1882</f>
        <v>171,26</v>
      </c>
      <c r="C1883" s="141"/>
      <c r="D1883" s="141"/>
      <c r="E1883" s="141"/>
      <c r="F1883" s="139"/>
      <c r="G1883" s="139"/>
      <c r="H1883" s="141"/>
    </row>
    <row r="1884" spans="1:8" ht="14.1" customHeight="1">
      <c r="A1884" s="455" t="s">
        <v>1936</v>
      </c>
      <c r="B1884" s="454"/>
      <c r="C1884" s="141"/>
      <c r="D1884" s="141"/>
      <c r="E1884" s="141"/>
      <c r="F1884" s="139"/>
      <c r="G1884" s="139"/>
      <c r="H1884" s="141"/>
    </row>
    <row r="1885" spans="1:8" ht="14.1" customHeight="1">
      <c r="A1885" s="535" t="s">
        <v>1995</v>
      </c>
      <c r="B1885" s="454">
        <f>(B1883+B1884)*0.245</f>
        <v>41.9587</v>
      </c>
      <c r="C1885" s="141"/>
      <c r="D1885" s="141"/>
      <c r="E1885" s="141"/>
      <c r="F1885" s="139"/>
      <c r="G1885" s="139"/>
      <c r="H1885" s="141"/>
    </row>
    <row r="1886" spans="1:8" ht="14.1" customHeight="1">
      <c r="A1886" s="428" t="s">
        <v>98</v>
      </c>
      <c r="B1886" s="462">
        <f>SUM(B1883:B1885)</f>
        <v>41.9587</v>
      </c>
      <c r="C1886" s="141"/>
      <c r="D1886" s="141"/>
      <c r="E1886" s="141"/>
      <c r="F1886" s="139"/>
      <c r="G1886" s="139"/>
      <c r="H1886" s="141"/>
    </row>
    <row r="1887" spans="1:8">
      <c r="A1887" s="429"/>
      <c r="B1887" s="430"/>
      <c r="C1887" s="431"/>
      <c r="D1887" s="429"/>
      <c r="E1887" s="430"/>
      <c r="F1887" s="430"/>
      <c r="G1887" s="430"/>
      <c r="H1887" s="429"/>
    </row>
    <row r="1889" spans="1:8" ht="12.75" customHeight="1">
      <c r="A1889" s="130" t="s">
        <v>653</v>
      </c>
    </row>
    <row r="1890" spans="1:8" ht="15.75" customHeight="1">
      <c r="A1890" s="1335" t="s">
        <v>881</v>
      </c>
      <c r="B1890" s="1336"/>
      <c r="C1890" s="1336"/>
      <c r="D1890" s="1336"/>
      <c r="E1890" s="1336"/>
      <c r="F1890" s="1336"/>
      <c r="G1890" s="1336"/>
      <c r="H1890" s="1336"/>
    </row>
    <row r="1891" spans="1:8" ht="26.25" customHeight="1">
      <c r="A1891" s="620" t="s">
        <v>924</v>
      </c>
      <c r="B1891" s="1349" t="s">
        <v>1257</v>
      </c>
      <c r="C1891" s="1349"/>
      <c r="D1891" s="1349"/>
      <c r="E1891" s="504" t="s">
        <v>822</v>
      </c>
      <c r="F1891" s="500"/>
      <c r="G1891" s="500"/>
      <c r="H1891" s="500"/>
    </row>
    <row r="1892" spans="1:8" ht="22.5">
      <c r="A1892" s="415" t="s">
        <v>30</v>
      </c>
      <c r="B1892" s="420" t="s">
        <v>19</v>
      </c>
      <c r="C1892" s="343" t="s">
        <v>82</v>
      </c>
      <c r="D1892" s="525" t="s">
        <v>79</v>
      </c>
      <c r="E1892" s="525" t="s">
        <v>83</v>
      </c>
      <c r="F1892" s="345" t="s">
        <v>84</v>
      </c>
      <c r="G1892" s="421" t="s">
        <v>85</v>
      </c>
    </row>
    <row r="1893" spans="1:8" ht="15.75" customHeight="1">
      <c r="A1893" s="540" t="s">
        <v>241</v>
      </c>
      <c r="B1893" s="545" t="s">
        <v>242</v>
      </c>
      <c r="C1893" s="526" t="s">
        <v>89</v>
      </c>
      <c r="D1893" s="526" t="s">
        <v>5</v>
      </c>
      <c r="E1893" s="526" t="s">
        <v>243</v>
      </c>
      <c r="F1893" s="526">
        <v>3.39</v>
      </c>
      <c r="G1893" s="496">
        <f t="shared" ref="G1893:G1897" si="107">TRUNC(E1893*F1893,2)</f>
        <v>0.1</v>
      </c>
      <c r="H1893" s="140"/>
    </row>
    <row r="1894" spans="1:8" ht="27.75" customHeight="1">
      <c r="A1894" s="559">
        <v>36796</v>
      </c>
      <c r="B1894" s="545" t="s">
        <v>1258</v>
      </c>
      <c r="C1894" s="526" t="s">
        <v>89</v>
      </c>
      <c r="D1894" s="526" t="s">
        <v>5</v>
      </c>
      <c r="E1894" s="782">
        <v>1</v>
      </c>
      <c r="F1894" s="526">
        <v>153.59</v>
      </c>
      <c r="G1894" s="533">
        <f t="shared" si="107"/>
        <v>153.59</v>
      </c>
      <c r="H1894" s="140"/>
    </row>
    <row r="1895" spans="1:8" ht="15" customHeight="1">
      <c r="A1895" s="1327">
        <v>88267</v>
      </c>
      <c r="B1895" s="1329" t="s">
        <v>245</v>
      </c>
      <c r="C1895" s="766" t="s">
        <v>102</v>
      </c>
      <c r="D1895" s="1331" t="s">
        <v>345</v>
      </c>
      <c r="E1895" s="1333">
        <v>0.1</v>
      </c>
      <c r="F1895" s="497">
        <f>'COMP AUX'!G338</f>
        <v>15.41</v>
      </c>
      <c r="G1895" s="533">
        <f t="shared" si="107"/>
        <v>1.54</v>
      </c>
      <c r="H1895" s="762"/>
    </row>
    <row r="1896" spans="1:8" ht="15" customHeight="1">
      <c r="A1896" s="1328"/>
      <c r="B1896" s="1330"/>
      <c r="C1896" s="526" t="s">
        <v>89</v>
      </c>
      <c r="D1896" s="1332"/>
      <c r="E1896" s="1334"/>
      <c r="F1896" s="497">
        <f>'COMP AUX'!G339</f>
        <v>4.5600000000000005</v>
      </c>
      <c r="G1896" s="533">
        <f>TRUNC(E1895*F1896,2)</f>
        <v>0.45</v>
      </c>
      <c r="H1896" s="140"/>
    </row>
    <row r="1897" spans="1:8" ht="15" customHeight="1">
      <c r="A1897" s="1327">
        <v>88316</v>
      </c>
      <c r="B1897" s="1329" t="s">
        <v>106</v>
      </c>
      <c r="C1897" s="766" t="s">
        <v>102</v>
      </c>
      <c r="D1897" s="1331" t="s">
        <v>345</v>
      </c>
      <c r="E1897" s="1333">
        <v>0.03</v>
      </c>
      <c r="F1897" s="497">
        <f>'COMP AUX'!G104</f>
        <v>11.1</v>
      </c>
      <c r="G1897" s="533">
        <f t="shared" si="107"/>
        <v>0.33</v>
      </c>
      <c r="H1897" s="762"/>
    </row>
    <row r="1898" spans="1:8" ht="15" customHeight="1">
      <c r="A1898" s="1328"/>
      <c r="B1898" s="1330"/>
      <c r="C1898" s="526" t="s">
        <v>89</v>
      </c>
      <c r="D1898" s="1332"/>
      <c r="E1898" s="1334"/>
      <c r="F1898" s="497">
        <f>'COMP AUX'!G105</f>
        <v>4.5600000000000005</v>
      </c>
      <c r="G1898" s="533">
        <f>TRUNC(E1897*F1898,2)</f>
        <v>0.13</v>
      </c>
      <c r="H1898" s="140"/>
    </row>
    <row r="1899" spans="1:8" ht="15" customHeight="1">
      <c r="A1899" s="140"/>
      <c r="B1899" s="140"/>
      <c r="C1899" s="140"/>
      <c r="D1899" s="140"/>
      <c r="E1899" s="140"/>
      <c r="F1899" s="498" t="s">
        <v>92</v>
      </c>
      <c r="G1899" s="533">
        <f>G1895+G1897</f>
        <v>1.87</v>
      </c>
      <c r="H1899" s="140"/>
    </row>
    <row r="1900" spans="1:8" ht="15" customHeight="1">
      <c r="A1900" s="140"/>
      <c r="B1900" s="140"/>
      <c r="C1900" s="140"/>
      <c r="D1900" s="140"/>
      <c r="E1900" s="140"/>
      <c r="F1900" s="498" t="s">
        <v>94</v>
      </c>
      <c r="G1900" s="496">
        <f>G1893+G1894+G1896+G1898</f>
        <v>154.26999999999998</v>
      </c>
      <c r="H1900" s="140"/>
    </row>
    <row r="1901" spans="1:8" ht="15" customHeight="1">
      <c r="A1901" s="495" t="s">
        <v>96</v>
      </c>
      <c r="B1901" s="522"/>
      <c r="C1901" s="140"/>
      <c r="D1901" s="140"/>
      <c r="E1901" s="140"/>
      <c r="F1901" s="498" t="s">
        <v>95</v>
      </c>
      <c r="G1901" s="499">
        <f>SUM(G1899:G1900)</f>
        <v>156.13999999999999</v>
      </c>
      <c r="H1901" s="140"/>
    </row>
    <row r="1902" spans="1:8" ht="15" customHeight="1">
      <c r="A1902" s="428" t="s">
        <v>97</v>
      </c>
      <c r="B1902" s="461">
        <f>G1901</f>
        <v>156.13999999999999</v>
      </c>
      <c r="C1902" s="140"/>
      <c r="D1902" s="140"/>
      <c r="E1902" s="140"/>
      <c r="F1902" s="134"/>
      <c r="G1902" s="134"/>
      <c r="H1902" s="140"/>
    </row>
    <row r="1903" spans="1:8" ht="15" customHeight="1">
      <c r="A1903" s="455" t="s">
        <v>1936</v>
      </c>
      <c r="B1903" s="454"/>
      <c r="C1903" s="140"/>
      <c r="D1903" s="140"/>
      <c r="E1903" s="140"/>
      <c r="F1903" s="134"/>
      <c r="G1903" s="134"/>
      <c r="H1903" s="140"/>
    </row>
    <row r="1904" spans="1:8" ht="15" customHeight="1">
      <c r="A1904" s="535" t="s">
        <v>1995</v>
      </c>
      <c r="B1904" s="454">
        <f>(B1902+B1903)*0.245</f>
        <v>38.254299999999994</v>
      </c>
      <c r="C1904" s="140"/>
      <c r="D1904" s="140"/>
      <c r="E1904" s="140"/>
      <c r="F1904" s="134"/>
      <c r="G1904" s="134"/>
      <c r="H1904" s="140"/>
    </row>
    <row r="1905" spans="1:8" ht="15" customHeight="1">
      <c r="A1905" s="428" t="s">
        <v>98</v>
      </c>
      <c r="B1905" s="462">
        <f>SUM(B1902:B1904)</f>
        <v>194.39429999999999</v>
      </c>
      <c r="C1905" s="140"/>
      <c r="D1905" s="140"/>
      <c r="E1905" s="140"/>
      <c r="F1905" s="134"/>
      <c r="G1905" s="134"/>
      <c r="H1905" s="502"/>
    </row>
    <row r="1906" spans="1:8">
      <c r="A1906" s="429"/>
      <c r="B1906" s="430"/>
      <c r="C1906" s="431"/>
      <c r="D1906" s="429"/>
      <c r="E1906" s="430"/>
      <c r="F1906" s="430"/>
      <c r="G1906" s="430"/>
      <c r="H1906" s="429"/>
    </row>
    <row r="1909" spans="1:8">
      <c r="A1909" s="130" t="s">
        <v>653</v>
      </c>
    </row>
    <row r="1910" spans="1:8">
      <c r="A1910" s="1335" t="s">
        <v>881</v>
      </c>
      <c r="B1910" s="1336"/>
      <c r="C1910" s="1336"/>
      <c r="D1910" s="1336"/>
      <c r="E1910" s="1336"/>
      <c r="F1910" s="1336"/>
      <c r="G1910" s="1336"/>
      <c r="H1910" s="1336"/>
    </row>
    <row r="1911" spans="1:8" ht="26.25" customHeight="1">
      <c r="A1911" s="620" t="s">
        <v>924</v>
      </c>
      <c r="B1911" s="1349" t="s">
        <v>1257</v>
      </c>
      <c r="C1911" s="1349"/>
      <c r="D1911" s="1349"/>
      <c r="E1911" s="504" t="s">
        <v>822</v>
      </c>
      <c r="F1911" s="500"/>
      <c r="G1911" s="500"/>
      <c r="H1911" s="500"/>
    </row>
    <row r="1912" spans="1:8" ht="22.5">
      <c r="A1912" s="761" t="s">
        <v>30</v>
      </c>
      <c r="B1912" s="420" t="s">
        <v>19</v>
      </c>
      <c r="C1912" s="343" t="s">
        <v>82</v>
      </c>
      <c r="D1912" s="756" t="s">
        <v>79</v>
      </c>
      <c r="E1912" s="756" t="s">
        <v>83</v>
      </c>
      <c r="F1912" s="345" t="s">
        <v>84</v>
      </c>
      <c r="G1912" s="421" t="s">
        <v>85</v>
      </c>
    </row>
    <row r="1913" spans="1:8" ht="16.5" customHeight="1">
      <c r="A1913" s="540" t="s">
        <v>241</v>
      </c>
      <c r="B1913" s="545" t="s">
        <v>242</v>
      </c>
      <c r="C1913" s="766" t="s">
        <v>89</v>
      </c>
      <c r="D1913" s="766" t="s">
        <v>5</v>
      </c>
      <c r="E1913" s="766" t="s">
        <v>243</v>
      </c>
      <c r="F1913" s="766">
        <v>3.39</v>
      </c>
      <c r="G1913" s="496">
        <f t="shared" ref="G1913:G1915" si="108">TRUNC(E1913*F1913,2)</f>
        <v>0.1</v>
      </c>
      <c r="H1913" s="762"/>
    </row>
    <row r="1914" spans="1:8" ht="22.5">
      <c r="A1914" s="559">
        <v>36795</v>
      </c>
      <c r="B1914" s="545" t="s">
        <v>1260</v>
      </c>
      <c r="C1914" s="766" t="s">
        <v>89</v>
      </c>
      <c r="D1914" s="766" t="s">
        <v>5</v>
      </c>
      <c r="E1914" s="782">
        <v>1</v>
      </c>
      <c r="F1914" s="766">
        <v>596.54999999999995</v>
      </c>
      <c r="G1914" s="533">
        <f t="shared" si="108"/>
        <v>596.54999999999995</v>
      </c>
      <c r="H1914" s="762"/>
    </row>
    <row r="1915" spans="1:8" ht="15" customHeight="1">
      <c r="A1915" s="1327">
        <v>88267</v>
      </c>
      <c r="B1915" s="1329" t="s">
        <v>245</v>
      </c>
      <c r="C1915" s="766" t="s">
        <v>102</v>
      </c>
      <c r="D1915" s="1331" t="s">
        <v>345</v>
      </c>
      <c r="E1915" s="1333">
        <v>0.1</v>
      </c>
      <c r="F1915" s="497">
        <f>'COMP AUX'!G355</f>
        <v>14.85</v>
      </c>
      <c r="G1915" s="533">
        <f t="shared" si="108"/>
        <v>1.48</v>
      </c>
      <c r="H1915" s="762"/>
    </row>
    <row r="1916" spans="1:8" ht="15" customHeight="1">
      <c r="A1916" s="1328"/>
      <c r="B1916" s="1330"/>
      <c r="C1916" s="766" t="s">
        <v>89</v>
      </c>
      <c r="D1916" s="1332"/>
      <c r="E1916" s="1334"/>
      <c r="F1916" s="497">
        <f>'COMP AUX'!G356</f>
        <v>4.5600000000000005</v>
      </c>
      <c r="G1916" s="533">
        <f>TRUNC(E1915*F1916,2)</f>
        <v>0.45</v>
      </c>
      <c r="H1916" s="762"/>
    </row>
    <row r="1917" spans="1:8" ht="15" customHeight="1">
      <c r="A1917" s="1327">
        <v>88316</v>
      </c>
      <c r="B1917" s="1329" t="s">
        <v>106</v>
      </c>
      <c r="C1917" s="766" t="s">
        <v>102</v>
      </c>
      <c r="D1917" s="1331" t="s">
        <v>345</v>
      </c>
      <c r="E1917" s="1333">
        <v>0.03</v>
      </c>
      <c r="F1917" s="497">
        <f>'COMP AUX'!G104</f>
        <v>11.1</v>
      </c>
      <c r="G1917" s="533">
        <f t="shared" ref="G1917:G1921" si="109">TRUNC(E1917*F1917,2)</f>
        <v>0.33</v>
      </c>
      <c r="H1917" s="762"/>
    </row>
    <row r="1918" spans="1:8" ht="15" customHeight="1">
      <c r="A1918" s="1328"/>
      <c r="B1918" s="1330"/>
      <c r="C1918" s="766" t="s">
        <v>89</v>
      </c>
      <c r="D1918" s="1332"/>
      <c r="E1918" s="1334"/>
      <c r="F1918" s="497">
        <f>'COMP AUX'!G105</f>
        <v>4.5600000000000005</v>
      </c>
      <c r="G1918" s="533">
        <f>TRUNC(E1917*F1918,2)</f>
        <v>0.13</v>
      </c>
      <c r="H1918" s="762"/>
    </row>
    <row r="1919" spans="1:8" ht="15" customHeight="1">
      <c r="A1919" s="1437" t="s">
        <v>1261</v>
      </c>
      <c r="B1919" s="1436" t="s">
        <v>422</v>
      </c>
      <c r="C1919" s="766" t="s">
        <v>102</v>
      </c>
      <c r="D1919" s="1438" t="s">
        <v>345</v>
      </c>
      <c r="E1919" s="1440">
        <v>0.15659999999999999</v>
      </c>
      <c r="F1919" s="497">
        <f>'COMP AUX'!G287</f>
        <v>10.98</v>
      </c>
      <c r="G1919" s="496">
        <f t="shared" si="109"/>
        <v>1.71</v>
      </c>
      <c r="H1919" s="762"/>
    </row>
    <row r="1920" spans="1:8" ht="15" customHeight="1">
      <c r="A1920" s="1437"/>
      <c r="B1920" s="1436"/>
      <c r="C1920" s="766" t="s">
        <v>89</v>
      </c>
      <c r="D1920" s="1439"/>
      <c r="E1920" s="1441"/>
      <c r="F1920" s="497">
        <f>'COMP AUX'!G288</f>
        <v>4.5600000000000005</v>
      </c>
      <c r="G1920" s="496">
        <f>TRUNC(E1919*F1920,2)</f>
        <v>0.71</v>
      </c>
      <c r="H1920" s="762"/>
    </row>
    <row r="1921" spans="1:8" ht="15" customHeight="1">
      <c r="A1921" s="1437" t="s">
        <v>1262</v>
      </c>
      <c r="B1921" s="1445" t="s">
        <v>249</v>
      </c>
      <c r="C1921" s="766" t="s">
        <v>102</v>
      </c>
      <c r="D1921" s="1438" t="s">
        <v>345</v>
      </c>
      <c r="E1921" s="1440">
        <v>0.37580000000000002</v>
      </c>
      <c r="F1921" s="497">
        <f>'COMP AUX'!G253</f>
        <v>15.639999999999999</v>
      </c>
      <c r="G1921" s="496">
        <f t="shared" si="109"/>
        <v>5.87</v>
      </c>
      <c r="H1921" s="762"/>
    </row>
    <row r="1922" spans="1:8" ht="15" customHeight="1">
      <c r="A1922" s="1369"/>
      <c r="B1922" s="1446"/>
      <c r="C1922" s="766" t="s">
        <v>89</v>
      </c>
      <c r="D1922" s="1439"/>
      <c r="E1922" s="1441"/>
      <c r="F1922" s="497">
        <f>'COMP AUX'!G254</f>
        <v>4.5600000000000005</v>
      </c>
      <c r="G1922" s="496">
        <f>TRUNC(E1921*F1922,2)</f>
        <v>1.71</v>
      </c>
      <c r="H1922" s="762"/>
    </row>
    <row r="1923" spans="1:8" ht="15" customHeight="1">
      <c r="A1923" s="762"/>
      <c r="B1923" s="762"/>
      <c r="C1923" s="762"/>
      <c r="D1923" s="762"/>
      <c r="E1923" s="762"/>
      <c r="F1923" s="783" t="s">
        <v>92</v>
      </c>
      <c r="G1923" s="784">
        <f>G1915+G1917+G1919+G1921</f>
        <v>9.39</v>
      </c>
      <c r="H1923" s="762"/>
    </row>
    <row r="1924" spans="1:8" ht="15" customHeight="1">
      <c r="A1924" s="762"/>
      <c r="B1924" s="762"/>
      <c r="C1924" s="762"/>
      <c r="D1924" s="762"/>
      <c r="E1924" s="762"/>
      <c r="F1924" s="498" t="s">
        <v>94</v>
      </c>
      <c r="G1924" s="496">
        <f>G1913+G1914+G1916+G1918+G1920+G1922</f>
        <v>599.65000000000009</v>
      </c>
      <c r="H1924" s="762"/>
    </row>
    <row r="1925" spans="1:8" ht="15" customHeight="1">
      <c r="A1925" s="495" t="s">
        <v>96</v>
      </c>
      <c r="B1925" s="763"/>
      <c r="C1925" s="762"/>
      <c r="D1925" s="762"/>
      <c r="E1925" s="762"/>
      <c r="F1925" s="498" t="s">
        <v>95</v>
      </c>
      <c r="G1925" s="499">
        <f>SUM(G1923:G1924)</f>
        <v>609.04000000000008</v>
      </c>
      <c r="H1925" s="762"/>
    </row>
    <row r="1926" spans="1:8" ht="15" customHeight="1">
      <c r="A1926" s="428" t="s">
        <v>97</v>
      </c>
      <c r="B1926" s="461">
        <f>G1925</f>
        <v>609.04000000000008</v>
      </c>
      <c r="C1926" s="762"/>
      <c r="D1926" s="762"/>
      <c r="E1926" s="762"/>
      <c r="F1926" s="134"/>
      <c r="G1926" s="134"/>
      <c r="H1926" s="762"/>
    </row>
    <row r="1927" spans="1:8" ht="15" customHeight="1">
      <c r="A1927" s="455" t="s">
        <v>1936</v>
      </c>
      <c r="B1927" s="454"/>
      <c r="C1927" s="762"/>
      <c r="D1927" s="762"/>
      <c r="E1927" s="762"/>
      <c r="F1927" s="134"/>
      <c r="G1927" s="134"/>
      <c r="H1927" s="762"/>
    </row>
    <row r="1928" spans="1:8" ht="15" customHeight="1">
      <c r="A1928" s="535" t="s">
        <v>1995</v>
      </c>
      <c r="B1928" s="454">
        <f>(B1926+B1927)*0.245</f>
        <v>149.21480000000003</v>
      </c>
      <c r="C1928" s="762"/>
      <c r="D1928" s="762"/>
      <c r="E1928" s="762"/>
      <c r="F1928" s="134"/>
      <c r="G1928" s="134"/>
      <c r="H1928" s="762"/>
    </row>
    <row r="1929" spans="1:8" ht="15" customHeight="1">
      <c r="A1929" s="428" t="s">
        <v>98</v>
      </c>
      <c r="B1929" s="462">
        <f>SUM(B1926:B1928)</f>
        <v>758.25480000000016</v>
      </c>
      <c r="C1929" s="762"/>
      <c r="D1929" s="762"/>
      <c r="E1929" s="762"/>
      <c r="F1929" s="134"/>
      <c r="G1929" s="134"/>
      <c r="H1929" s="502"/>
    </row>
    <row r="1930" spans="1:8">
      <c r="A1930" s="429"/>
      <c r="B1930" s="430"/>
      <c r="C1930" s="431"/>
      <c r="D1930" s="429"/>
      <c r="E1930" s="430"/>
      <c r="F1930" s="430"/>
      <c r="G1930" s="430"/>
      <c r="H1930" s="429"/>
    </row>
    <row r="1933" spans="1:8">
      <c r="A1933" s="130" t="s">
        <v>653</v>
      </c>
    </row>
    <row r="1934" spans="1:8">
      <c r="A1934" s="1335" t="s">
        <v>1908</v>
      </c>
      <c r="B1934" s="1336"/>
      <c r="C1934" s="1336"/>
      <c r="D1934" s="1336"/>
      <c r="E1934" s="1336"/>
      <c r="F1934" s="1336"/>
      <c r="G1934" s="1336"/>
      <c r="H1934" s="1336"/>
    </row>
    <row r="1935" spans="1:8" ht="22.5" customHeight="1">
      <c r="A1935" s="620" t="s">
        <v>924</v>
      </c>
      <c r="B1935" s="1349" t="s">
        <v>1909</v>
      </c>
      <c r="C1935" s="1349"/>
      <c r="D1935" s="1349"/>
      <c r="E1935" s="951" t="s">
        <v>822</v>
      </c>
      <c r="F1935" s="500"/>
      <c r="G1935" s="500"/>
      <c r="H1935" s="500"/>
    </row>
    <row r="1936" spans="1:8" ht="22.5">
      <c r="A1936" s="913" t="s">
        <v>30</v>
      </c>
      <c r="B1936" s="420" t="s">
        <v>19</v>
      </c>
      <c r="C1936" s="343" t="s">
        <v>82</v>
      </c>
      <c r="D1936" s="915" t="s">
        <v>79</v>
      </c>
      <c r="E1936" s="915" t="s">
        <v>83</v>
      </c>
      <c r="F1936" s="345" t="s">
        <v>84</v>
      </c>
      <c r="G1936" s="421" t="s">
        <v>85</v>
      </c>
    </row>
    <row r="1937" spans="1:8" ht="14.1" customHeight="1">
      <c r="A1937" s="540" t="s">
        <v>241</v>
      </c>
      <c r="B1937" s="545" t="s">
        <v>242</v>
      </c>
      <c r="C1937" s="921" t="s">
        <v>89</v>
      </c>
      <c r="D1937" s="921" t="s">
        <v>5</v>
      </c>
      <c r="E1937" s="921" t="s">
        <v>243</v>
      </c>
      <c r="F1937" s="921">
        <v>3.39</v>
      </c>
      <c r="G1937" s="496">
        <f t="shared" ref="G1937:G1939" si="110">TRUNC(E1937*F1937,2)</f>
        <v>0.1</v>
      </c>
      <c r="H1937" s="923"/>
    </row>
    <row r="1938" spans="1:8" ht="22.5">
      <c r="A1938" s="920" t="s">
        <v>1910</v>
      </c>
      <c r="B1938" s="545" t="s">
        <v>1911</v>
      </c>
      <c r="C1938" s="921" t="s">
        <v>89</v>
      </c>
      <c r="D1938" s="921" t="s">
        <v>5</v>
      </c>
      <c r="E1938" s="782">
        <v>1</v>
      </c>
      <c r="F1938" s="497">
        <v>33.6</v>
      </c>
      <c r="G1938" s="533">
        <f t="shared" si="110"/>
        <v>33.6</v>
      </c>
      <c r="H1938" s="923"/>
    </row>
    <row r="1939" spans="1:8" ht="14.1" customHeight="1">
      <c r="A1939" s="1327">
        <v>88267</v>
      </c>
      <c r="B1939" s="1329" t="s">
        <v>245</v>
      </c>
      <c r="C1939" s="921" t="s">
        <v>102</v>
      </c>
      <c r="D1939" s="1331" t="s">
        <v>345</v>
      </c>
      <c r="E1939" s="1333">
        <v>0.15</v>
      </c>
      <c r="F1939" s="497">
        <f>'COMP AUX'!G338</f>
        <v>15.41</v>
      </c>
      <c r="G1939" s="533">
        <f t="shared" si="110"/>
        <v>2.31</v>
      </c>
      <c r="H1939" s="923"/>
    </row>
    <row r="1940" spans="1:8" ht="14.1" customHeight="1">
      <c r="A1940" s="1328"/>
      <c r="B1940" s="1330"/>
      <c r="C1940" s="921" t="s">
        <v>89</v>
      </c>
      <c r="D1940" s="1332"/>
      <c r="E1940" s="1334"/>
      <c r="F1940" s="497">
        <f>'COMP AUX'!G339</f>
        <v>4.5600000000000005</v>
      </c>
      <c r="G1940" s="533">
        <f>TRUNC(E1939*F1940,2)</f>
        <v>0.68</v>
      </c>
      <c r="H1940" s="923"/>
    </row>
    <row r="1941" spans="1:8" ht="14.1" customHeight="1">
      <c r="A1941" s="1327">
        <v>88316</v>
      </c>
      <c r="B1941" s="1329" t="s">
        <v>106</v>
      </c>
      <c r="C1941" s="921" t="s">
        <v>102</v>
      </c>
      <c r="D1941" s="1331" t="s">
        <v>345</v>
      </c>
      <c r="E1941" s="1333">
        <v>0.05</v>
      </c>
      <c r="F1941" s="497">
        <f>'COMP AUX'!G104</f>
        <v>11.1</v>
      </c>
      <c r="G1941" s="496">
        <f t="shared" ref="G1941" si="111">TRUNC(E1941*F1941,2)</f>
        <v>0.55000000000000004</v>
      </c>
      <c r="H1941" s="923"/>
    </row>
    <row r="1942" spans="1:8" ht="14.1" customHeight="1">
      <c r="A1942" s="1328"/>
      <c r="B1942" s="1330"/>
      <c r="C1942" s="921" t="s">
        <v>89</v>
      </c>
      <c r="D1942" s="1332"/>
      <c r="E1942" s="1334"/>
      <c r="F1942" s="497">
        <f>'COMP AUX'!G105</f>
        <v>4.5600000000000005</v>
      </c>
      <c r="G1942" s="533">
        <f>TRUNC(E1941*F1942,2)</f>
        <v>0.22</v>
      </c>
      <c r="H1942" s="923"/>
    </row>
    <row r="1943" spans="1:8" ht="14.1" customHeight="1">
      <c r="A1943" s="923"/>
      <c r="B1943" s="923"/>
      <c r="C1943" s="923"/>
      <c r="D1943" s="923"/>
      <c r="E1943" s="923"/>
      <c r="F1943" s="498" t="s">
        <v>92</v>
      </c>
      <c r="G1943" s="496">
        <f>G1939+G1941</f>
        <v>2.8600000000000003</v>
      </c>
      <c r="H1943" s="923"/>
    </row>
    <row r="1944" spans="1:8" ht="14.1" customHeight="1">
      <c r="A1944" s="923"/>
      <c r="B1944" s="923"/>
      <c r="C1944" s="923"/>
      <c r="D1944" s="923"/>
      <c r="E1944" s="923"/>
      <c r="F1944" s="498" t="s">
        <v>94</v>
      </c>
      <c r="G1944" s="496">
        <f>G1937+G1938+G1940+G1942</f>
        <v>34.6</v>
      </c>
      <c r="H1944" s="923"/>
    </row>
    <row r="1945" spans="1:8" ht="14.1" customHeight="1">
      <c r="A1945" s="495" t="s">
        <v>96</v>
      </c>
      <c r="B1945" s="925"/>
      <c r="C1945" s="923"/>
      <c r="D1945" s="923"/>
      <c r="E1945" s="923"/>
      <c r="F1945" s="498" t="s">
        <v>95</v>
      </c>
      <c r="G1945" s="499">
        <f>SUM(G1943:G1944)</f>
        <v>37.46</v>
      </c>
      <c r="H1945" s="923"/>
    </row>
    <row r="1946" spans="1:8" ht="14.1" customHeight="1">
      <c r="A1946" s="428" t="s">
        <v>97</v>
      </c>
      <c r="B1946" s="461">
        <f>G1945</f>
        <v>37.46</v>
      </c>
      <c r="C1946" s="923"/>
      <c r="D1946" s="923"/>
      <c r="E1946" s="923"/>
      <c r="F1946" s="134"/>
      <c r="G1946" s="134"/>
      <c r="H1946" s="923"/>
    </row>
    <row r="1947" spans="1:8" ht="14.1" customHeight="1">
      <c r="A1947" s="455" t="s">
        <v>1936</v>
      </c>
      <c r="B1947" s="454"/>
      <c r="C1947" s="923"/>
      <c r="D1947" s="923"/>
      <c r="E1947" s="923"/>
      <c r="F1947" s="134"/>
      <c r="G1947" s="134"/>
      <c r="H1947" s="923"/>
    </row>
    <row r="1948" spans="1:8" ht="14.1" customHeight="1">
      <c r="A1948" s="535" t="s">
        <v>1995</v>
      </c>
      <c r="B1948" s="454">
        <f>(B1946+B1947)*0.245</f>
        <v>9.1776999999999997</v>
      </c>
      <c r="C1948" s="923"/>
      <c r="D1948" s="923"/>
      <c r="E1948" s="923"/>
      <c r="F1948" s="134"/>
      <c r="G1948" s="134"/>
      <c r="H1948" s="923"/>
    </row>
    <row r="1949" spans="1:8" ht="14.1" customHeight="1">
      <c r="A1949" s="428" t="s">
        <v>98</v>
      </c>
      <c r="B1949" s="462">
        <f>SUM(B1946:B1948)</f>
        <v>46.637700000000002</v>
      </c>
      <c r="C1949" s="923"/>
      <c r="D1949" s="923"/>
      <c r="E1949" s="923"/>
      <c r="F1949" s="134"/>
      <c r="G1949" s="134"/>
      <c r="H1949" s="502"/>
    </row>
    <row r="1950" spans="1:8">
      <c r="A1950" s="429"/>
      <c r="B1950" s="430"/>
      <c r="C1950" s="431"/>
      <c r="D1950" s="429"/>
      <c r="E1950" s="430"/>
      <c r="F1950" s="430"/>
      <c r="G1950" s="430"/>
      <c r="H1950" s="429"/>
    </row>
    <row r="1952" spans="1:8">
      <c r="A1952" s="130" t="s">
        <v>653</v>
      </c>
    </row>
    <row r="1953" spans="1:8">
      <c r="A1953" s="942" t="s">
        <v>1977</v>
      </c>
      <c r="B1953" s="505" t="s">
        <v>1978</v>
      </c>
      <c r="C1953" s="943"/>
      <c r="D1953" s="943"/>
      <c r="E1953" s="943"/>
      <c r="F1953" s="943"/>
      <c r="G1953" s="943"/>
      <c r="H1953" s="943"/>
    </row>
    <row r="1954" spans="1:8" ht="18" customHeight="1">
      <c r="A1954" s="544" t="s">
        <v>924</v>
      </c>
      <c r="B1954" s="973" t="s">
        <v>1981</v>
      </c>
      <c r="C1954" s="493" t="s">
        <v>822</v>
      </c>
      <c r="D1954" s="544"/>
      <c r="E1954" s="130"/>
      <c r="F1954" s="468"/>
      <c r="G1954" s="468"/>
      <c r="H1954" s="468"/>
    </row>
    <row r="1955" spans="1:8" ht="22.5">
      <c r="A1955" s="933" t="s">
        <v>30</v>
      </c>
      <c r="B1955" s="420" t="s">
        <v>19</v>
      </c>
      <c r="C1955" s="343" t="s">
        <v>82</v>
      </c>
      <c r="D1955" s="936" t="s">
        <v>79</v>
      </c>
      <c r="E1955" s="936" t="s">
        <v>83</v>
      </c>
      <c r="F1955" s="345" t="s">
        <v>84</v>
      </c>
      <c r="G1955" s="421" t="s">
        <v>85</v>
      </c>
      <c r="H1955" s="939"/>
    </row>
    <row r="1956" spans="1:8" ht="14.1" customHeight="1">
      <c r="A1956" s="1327">
        <v>88267</v>
      </c>
      <c r="B1956" s="1329" t="s">
        <v>245</v>
      </c>
      <c r="C1956" s="937" t="s">
        <v>102</v>
      </c>
      <c r="D1956" s="1331" t="s">
        <v>345</v>
      </c>
      <c r="E1956" s="1333">
        <v>3</v>
      </c>
      <c r="F1956" s="497">
        <f>'COMP AUX'!G338</f>
        <v>15.41</v>
      </c>
      <c r="G1956" s="533">
        <f t="shared" ref="G1956" si="112">TRUNC(E1956*F1956,2)</f>
        <v>46.23</v>
      </c>
      <c r="H1956" s="939"/>
    </row>
    <row r="1957" spans="1:8" ht="14.1" customHeight="1">
      <c r="A1957" s="1328"/>
      <c r="B1957" s="1330"/>
      <c r="C1957" s="937" t="s">
        <v>89</v>
      </c>
      <c r="D1957" s="1332"/>
      <c r="E1957" s="1334"/>
      <c r="F1957" s="497">
        <f>'COMP AUX'!G339</f>
        <v>4.5600000000000005</v>
      </c>
      <c r="G1957" s="533">
        <f>TRUNC(E1956*F1957,2)</f>
        <v>13.68</v>
      </c>
      <c r="H1957" s="939"/>
    </row>
    <row r="1958" spans="1:8" ht="14.1" customHeight="1">
      <c r="A1958" s="1327">
        <v>88316</v>
      </c>
      <c r="B1958" s="1329" t="s">
        <v>106</v>
      </c>
      <c r="C1958" s="937" t="s">
        <v>102</v>
      </c>
      <c r="D1958" s="1331" t="s">
        <v>345</v>
      </c>
      <c r="E1958" s="1333">
        <v>3</v>
      </c>
      <c r="F1958" s="497">
        <f>'COMP AUX'!G104</f>
        <v>11.1</v>
      </c>
      <c r="G1958" s="496">
        <f t="shared" ref="G1958" si="113">TRUNC(E1958*F1958,2)</f>
        <v>33.299999999999997</v>
      </c>
      <c r="H1958" s="939"/>
    </row>
    <row r="1959" spans="1:8" ht="14.1" customHeight="1">
      <c r="A1959" s="1328"/>
      <c r="B1959" s="1330"/>
      <c r="C1959" s="937" t="s">
        <v>89</v>
      </c>
      <c r="D1959" s="1332"/>
      <c r="E1959" s="1334"/>
      <c r="F1959" s="497">
        <f>'COMP AUX'!G105</f>
        <v>4.5600000000000005</v>
      </c>
      <c r="G1959" s="533">
        <f>TRUNC(E1958*F1959,2)</f>
        <v>13.68</v>
      </c>
      <c r="H1959" s="939"/>
    </row>
    <row r="1960" spans="1:8" ht="30" customHeight="1">
      <c r="A1960" s="945">
        <v>11688</v>
      </c>
      <c r="B1960" s="946" t="s">
        <v>1983</v>
      </c>
      <c r="C1960" s="937" t="s">
        <v>89</v>
      </c>
      <c r="D1960" s="938" t="s">
        <v>822</v>
      </c>
      <c r="E1960" s="947">
        <v>1</v>
      </c>
      <c r="F1960" s="497">
        <v>294.92</v>
      </c>
      <c r="G1960" s="533">
        <f>TRUNC(E1960*F1960,2)</f>
        <v>294.92</v>
      </c>
      <c r="H1960" s="939"/>
    </row>
    <row r="1961" spans="1:8" ht="33.75">
      <c r="A1961" s="945" t="s">
        <v>1979</v>
      </c>
      <c r="B1961" s="946" t="s">
        <v>1980</v>
      </c>
      <c r="C1961" s="937" t="s">
        <v>89</v>
      </c>
      <c r="D1961" s="938" t="s">
        <v>822</v>
      </c>
      <c r="E1961" s="947">
        <v>6</v>
      </c>
      <c r="F1961" s="497">
        <v>8.85</v>
      </c>
      <c r="G1961" s="496">
        <f>TRUNC(E1961*F1961,2)</f>
        <v>53.1</v>
      </c>
      <c r="H1961" s="939"/>
    </row>
    <row r="1962" spans="1:8" ht="14.1" customHeight="1">
      <c r="A1962" s="540" t="s">
        <v>241</v>
      </c>
      <c r="B1962" s="545" t="s">
        <v>242</v>
      </c>
      <c r="C1962" s="937" t="s">
        <v>89</v>
      </c>
      <c r="D1962" s="938" t="s">
        <v>822</v>
      </c>
      <c r="E1962" s="947">
        <v>0.75</v>
      </c>
      <c r="F1962" s="497">
        <v>3.39</v>
      </c>
      <c r="G1962" s="496">
        <f t="shared" ref="G1962:G1963" si="114">TRUNC(E1962*F1962,2)</f>
        <v>2.54</v>
      </c>
      <c r="H1962" s="939"/>
    </row>
    <row r="1963" spans="1:8" ht="14.1" customHeight="1">
      <c r="A1963" s="764">
        <v>38638</v>
      </c>
      <c r="B1963" s="543" t="s">
        <v>1982</v>
      </c>
      <c r="C1963" s="935" t="s">
        <v>89</v>
      </c>
      <c r="D1963" s="935" t="s">
        <v>822</v>
      </c>
      <c r="E1963" s="486">
        <v>1</v>
      </c>
      <c r="F1963" s="935">
        <v>138.74</v>
      </c>
      <c r="G1963" s="496">
        <f t="shared" si="114"/>
        <v>138.74</v>
      </c>
      <c r="H1963" s="939"/>
    </row>
    <row r="1964" spans="1:8" ht="14.1" customHeight="1">
      <c r="A1964" s="939"/>
      <c r="B1964" s="939"/>
      <c r="C1964" s="939"/>
      <c r="D1964" s="939"/>
      <c r="E1964" s="939"/>
      <c r="F1964" s="539" t="s">
        <v>92</v>
      </c>
      <c r="G1964" s="974">
        <f>G1956+G1958</f>
        <v>79.53</v>
      </c>
      <c r="H1964" s="939"/>
    </row>
    <row r="1965" spans="1:8" ht="14.1" customHeight="1">
      <c r="A1965" s="939"/>
      <c r="B1965" s="939"/>
      <c r="C1965" s="939"/>
      <c r="D1965" s="939"/>
      <c r="E1965" s="939"/>
      <c r="F1965" s="539" t="s">
        <v>94</v>
      </c>
      <c r="G1965" s="974">
        <f>G1957+G1959+G1960+G1961+G1962+G1963</f>
        <v>516.66000000000008</v>
      </c>
      <c r="H1965" s="939"/>
    </row>
    <row r="1966" spans="1:8" ht="14.1" customHeight="1">
      <c r="A1966" s="495" t="s">
        <v>96</v>
      </c>
      <c r="B1966" s="939"/>
      <c r="C1966" s="939"/>
      <c r="D1966" s="939"/>
      <c r="E1966" s="939"/>
      <c r="F1966" s="539" t="s">
        <v>95</v>
      </c>
      <c r="G1966" s="975">
        <f>SUM(G1964:G1965)</f>
        <v>596.19000000000005</v>
      </c>
      <c r="H1966" s="939"/>
    </row>
    <row r="1967" spans="1:8" ht="14.1" customHeight="1">
      <c r="A1967" s="428" t="s">
        <v>97</v>
      </c>
      <c r="B1967" s="461">
        <f>G1966</f>
        <v>596.19000000000005</v>
      </c>
      <c r="C1967" s="939"/>
      <c r="D1967" s="939"/>
      <c r="E1967" s="939"/>
      <c r="F1967" s="139"/>
      <c r="G1967" s="139"/>
      <c r="H1967" s="939"/>
    </row>
    <row r="1968" spans="1:8" ht="14.1" customHeight="1">
      <c r="A1968" s="455" t="s">
        <v>1936</v>
      </c>
      <c r="B1968" s="454"/>
      <c r="C1968" s="939"/>
      <c r="D1968" s="939"/>
      <c r="E1968" s="939"/>
      <c r="F1968" s="139"/>
      <c r="G1968" s="139"/>
      <c r="H1968" s="939"/>
    </row>
    <row r="1969" spans="1:8" ht="14.1" customHeight="1">
      <c r="A1969" s="535" t="s">
        <v>1995</v>
      </c>
      <c r="B1969" s="454">
        <f>(B1967+B1968)*0.245</f>
        <v>146.06655000000001</v>
      </c>
      <c r="C1969" s="939"/>
      <c r="D1969" s="939"/>
      <c r="E1969" s="939"/>
      <c r="F1969" s="139"/>
      <c r="G1969" s="139"/>
      <c r="H1969" s="939"/>
    </row>
    <row r="1970" spans="1:8" ht="14.1" customHeight="1">
      <c r="A1970" s="428" t="s">
        <v>98</v>
      </c>
      <c r="B1970" s="462">
        <f>SUM(B1967:B1969)</f>
        <v>742.25655000000006</v>
      </c>
      <c r="C1970" s="939"/>
      <c r="D1970" s="939"/>
      <c r="E1970" s="939"/>
      <c r="F1970" s="139"/>
      <c r="G1970" s="139"/>
      <c r="H1970" s="490"/>
    </row>
    <row r="1971" spans="1:8">
      <c r="A1971" s="429"/>
      <c r="B1971" s="430"/>
      <c r="C1971" s="431"/>
      <c r="D1971" s="429"/>
      <c r="E1971" s="430"/>
      <c r="F1971" s="430"/>
      <c r="G1971" s="430"/>
      <c r="H1971" s="429"/>
    </row>
    <row r="1978" spans="1:8">
      <c r="A1978" s="130" t="s">
        <v>653</v>
      </c>
    </row>
    <row r="1979" spans="1:8">
      <c r="A1979" s="1412" t="s">
        <v>402</v>
      </c>
      <c r="B1979" s="1413"/>
      <c r="C1979" s="1413"/>
      <c r="D1979" s="1413"/>
      <c r="E1979" s="1413"/>
      <c r="F1979" s="1413"/>
      <c r="G1979" s="1413"/>
      <c r="H1979" s="1413"/>
    </row>
    <row r="1980" spans="1:8" ht="25.5" customHeight="1">
      <c r="A1980" s="1007" t="s">
        <v>933</v>
      </c>
      <c r="B1980" s="1349" t="s">
        <v>2045</v>
      </c>
      <c r="C1980" s="1349"/>
      <c r="D1980" s="1035" t="s">
        <v>822</v>
      </c>
      <c r="E1980" s="500"/>
      <c r="F1980" s="500"/>
      <c r="G1980" s="500"/>
      <c r="H1980" s="500"/>
    </row>
    <row r="1981" spans="1:8" ht="22.5">
      <c r="A1981" s="415" t="s">
        <v>30</v>
      </c>
      <c r="B1981" s="420" t="s">
        <v>19</v>
      </c>
      <c r="C1981" s="343" t="s">
        <v>82</v>
      </c>
      <c r="D1981" s="525" t="s">
        <v>79</v>
      </c>
      <c r="E1981" s="525" t="s">
        <v>83</v>
      </c>
      <c r="F1981" s="345" t="s">
        <v>84</v>
      </c>
      <c r="G1981" s="421" t="s">
        <v>85</v>
      </c>
      <c r="H1981" s="152"/>
    </row>
    <row r="1982" spans="1:8" ht="33.75">
      <c r="A1982" s="540" t="s">
        <v>403</v>
      </c>
      <c r="B1982" s="545" t="s">
        <v>404</v>
      </c>
      <c r="C1982" s="526" t="s">
        <v>89</v>
      </c>
      <c r="D1982" s="526" t="s">
        <v>5</v>
      </c>
      <c r="E1982" s="526" t="s">
        <v>100</v>
      </c>
      <c r="F1982" s="526" t="s">
        <v>405</v>
      </c>
      <c r="G1982" s="533">
        <f t="shared" ref="G1982:G1985" si="115">TRUNC(E1982*F1982,2)</f>
        <v>386.76</v>
      </c>
      <c r="H1982" s="151"/>
    </row>
    <row r="1983" spans="1:8" ht="22.5">
      <c r="A1983" s="540" t="s">
        <v>132</v>
      </c>
      <c r="B1983" s="545" t="s">
        <v>133</v>
      </c>
      <c r="C1983" s="526" t="s">
        <v>102</v>
      </c>
      <c r="D1983" s="526" t="s">
        <v>103</v>
      </c>
      <c r="E1983" s="526" t="s">
        <v>406</v>
      </c>
      <c r="F1983" s="526" t="s">
        <v>134</v>
      </c>
      <c r="G1983" s="533">
        <f t="shared" si="115"/>
        <v>292.35000000000002</v>
      </c>
      <c r="H1983" s="151"/>
    </row>
    <row r="1984" spans="1:8" ht="22.5">
      <c r="A1984" s="540" t="s">
        <v>407</v>
      </c>
      <c r="B1984" s="545" t="s">
        <v>408</v>
      </c>
      <c r="C1984" s="526" t="s">
        <v>102</v>
      </c>
      <c r="D1984" s="526" t="s">
        <v>103</v>
      </c>
      <c r="E1984" s="526" t="s">
        <v>409</v>
      </c>
      <c r="F1984" s="526" t="s">
        <v>377</v>
      </c>
      <c r="G1984" s="533">
        <f t="shared" si="115"/>
        <v>125.91</v>
      </c>
      <c r="H1984" s="151"/>
    </row>
    <row r="1985" spans="1:8" ht="22.5">
      <c r="A1985" s="540" t="s">
        <v>141</v>
      </c>
      <c r="B1985" s="545" t="s">
        <v>142</v>
      </c>
      <c r="C1985" s="526" t="s">
        <v>102</v>
      </c>
      <c r="D1985" s="526" t="s">
        <v>103</v>
      </c>
      <c r="E1985" s="526" t="s">
        <v>410</v>
      </c>
      <c r="F1985" s="526" t="s">
        <v>143</v>
      </c>
      <c r="G1985" s="533">
        <f t="shared" si="115"/>
        <v>187.64</v>
      </c>
      <c r="H1985" s="151"/>
    </row>
    <row r="1986" spans="1:8" ht="14.1" customHeight="1">
      <c r="A1986" s="151"/>
      <c r="B1986" s="151"/>
      <c r="C1986" s="151"/>
      <c r="D1986" s="151"/>
      <c r="E1986" s="151"/>
      <c r="F1986" s="498" t="s">
        <v>92</v>
      </c>
      <c r="G1986" s="533" t="s">
        <v>411</v>
      </c>
      <c r="H1986" s="151"/>
    </row>
    <row r="1987" spans="1:8" ht="14.1" customHeight="1">
      <c r="A1987" s="151"/>
      <c r="B1987" s="151"/>
      <c r="C1987" s="151"/>
      <c r="D1987" s="151"/>
      <c r="E1987" s="151"/>
      <c r="F1987" s="498" t="s">
        <v>94</v>
      </c>
      <c r="G1987" s="533" t="s">
        <v>405</v>
      </c>
      <c r="H1987" s="151"/>
    </row>
    <row r="1988" spans="1:8" ht="14.1" customHeight="1">
      <c r="A1988" s="495" t="s">
        <v>96</v>
      </c>
      <c r="B1988" s="529"/>
      <c r="C1988" s="151"/>
      <c r="D1988" s="151"/>
      <c r="E1988" s="151"/>
      <c r="F1988" s="498" t="s">
        <v>95</v>
      </c>
      <c r="G1988" s="533" t="s">
        <v>412</v>
      </c>
      <c r="H1988" s="151"/>
    </row>
    <row r="1989" spans="1:8" ht="14.1" customHeight="1">
      <c r="A1989" s="428" t="s">
        <v>97</v>
      </c>
      <c r="B1989" s="461" t="str">
        <f>G1988</f>
        <v>992,68</v>
      </c>
      <c r="C1989" s="151"/>
      <c r="D1989" s="151"/>
      <c r="E1989" s="151"/>
      <c r="F1989" s="151"/>
      <c r="G1989" s="151"/>
      <c r="H1989" s="151"/>
    </row>
    <row r="1990" spans="1:8" ht="14.1" customHeight="1">
      <c r="A1990" s="455" t="s">
        <v>1936</v>
      </c>
      <c r="B1990" s="454"/>
      <c r="C1990" s="151"/>
      <c r="D1990" s="151"/>
      <c r="E1990" s="151"/>
      <c r="F1990" s="151"/>
      <c r="G1990" s="151"/>
      <c r="H1990" s="151"/>
    </row>
    <row r="1991" spans="1:8" ht="14.1" customHeight="1">
      <c r="A1991" s="535" t="s">
        <v>1995</v>
      </c>
      <c r="B1991" s="454">
        <f>(B1989+B1990)*0.245</f>
        <v>243.20659999999998</v>
      </c>
      <c r="C1991" s="151"/>
      <c r="D1991" s="151"/>
      <c r="E1991" s="151"/>
      <c r="F1991" s="151"/>
      <c r="G1991" s="151"/>
      <c r="H1991" s="151"/>
    </row>
    <row r="1992" spans="1:8" ht="14.1" customHeight="1">
      <c r="A1992" s="428" t="s">
        <v>98</v>
      </c>
      <c r="B1992" s="462">
        <f>SUM(B1989:B1991)</f>
        <v>243.20659999999998</v>
      </c>
      <c r="C1992" s="151"/>
      <c r="D1992" s="151"/>
      <c r="E1992" s="151"/>
      <c r="F1992" s="151"/>
      <c r="G1992" s="151"/>
      <c r="H1992" s="151"/>
    </row>
    <row r="1993" spans="1:8">
      <c r="A1993" s="557"/>
      <c r="B1993" s="557"/>
      <c r="C1993" s="557"/>
      <c r="D1993" s="557"/>
      <c r="E1993" s="557"/>
      <c r="F1993" s="557"/>
      <c r="G1993" s="557"/>
      <c r="H1993" s="557"/>
    </row>
    <row r="1994" spans="1:8">
      <c r="A1994" s="530"/>
      <c r="B1994" s="530"/>
      <c r="C1994" s="530"/>
      <c r="D1994" s="530"/>
      <c r="E1994" s="530"/>
      <c r="F1994" s="530"/>
      <c r="G1994" s="530"/>
      <c r="H1994" s="530"/>
    </row>
    <row r="1995" spans="1:8">
      <c r="A1995" s="130" t="s">
        <v>653</v>
      </c>
      <c r="B1995" s="530"/>
      <c r="C1995" s="530"/>
      <c r="D1995" s="530"/>
      <c r="E1995" s="530"/>
      <c r="F1995" s="530"/>
      <c r="G1995" s="530"/>
      <c r="H1995" s="530"/>
    </row>
    <row r="1996" spans="1:8">
      <c r="A1996" s="1412" t="s">
        <v>413</v>
      </c>
      <c r="B1996" s="1413"/>
      <c r="C1996" s="1413"/>
      <c r="D1996" s="1413"/>
      <c r="E1996" s="1413"/>
      <c r="F1996" s="1413"/>
      <c r="G1996" s="1413"/>
      <c r="H1996" s="1413"/>
    </row>
    <row r="1997" spans="1:8" ht="32.25" customHeight="1">
      <c r="A1997" s="620" t="s">
        <v>924</v>
      </c>
      <c r="B1997" s="620" t="s">
        <v>2046</v>
      </c>
      <c r="C1997" s="552" t="s">
        <v>822</v>
      </c>
      <c r="D1997" s="620"/>
      <c r="F1997" s="500"/>
      <c r="G1997" s="500"/>
      <c r="H1997" s="500"/>
    </row>
    <row r="1998" spans="1:8" ht="22.5">
      <c r="A1998" s="415" t="s">
        <v>30</v>
      </c>
      <c r="B1998" s="420" t="s">
        <v>19</v>
      </c>
      <c r="C1998" s="343" t="s">
        <v>82</v>
      </c>
      <c r="D1998" s="532" t="s">
        <v>79</v>
      </c>
      <c r="E1998" s="532" t="s">
        <v>83</v>
      </c>
      <c r="F1998" s="345" t="s">
        <v>84</v>
      </c>
      <c r="G1998" s="421" t="s">
        <v>85</v>
      </c>
      <c r="H1998" s="151"/>
    </row>
    <row r="1999" spans="1:8" ht="27" customHeight="1">
      <c r="A1999" s="540" t="s">
        <v>414</v>
      </c>
      <c r="B1999" s="545" t="s">
        <v>415</v>
      </c>
      <c r="C1999" s="531" t="s">
        <v>89</v>
      </c>
      <c r="D1999" s="531" t="s">
        <v>5</v>
      </c>
      <c r="E1999" s="531" t="s">
        <v>100</v>
      </c>
      <c r="F1999" s="558" t="s">
        <v>416</v>
      </c>
      <c r="G1999" s="527">
        <f t="shared" ref="G1999" si="116">TRUNC(E1999*F1999,2)</f>
        <v>1286.1600000000001</v>
      </c>
      <c r="H1999" s="151"/>
    </row>
    <row r="2000" spans="1:8" ht="14.1" customHeight="1">
      <c r="A2000" s="151"/>
      <c r="B2000" s="151"/>
      <c r="C2000" s="151"/>
      <c r="D2000" s="151"/>
      <c r="E2000" s="151"/>
      <c r="F2000" s="498" t="s">
        <v>92</v>
      </c>
      <c r="G2000" s="533" t="s">
        <v>93</v>
      </c>
      <c r="H2000" s="151"/>
    </row>
    <row r="2001" spans="1:9" ht="14.1" customHeight="1">
      <c r="A2001" s="151"/>
      <c r="B2001" s="151"/>
      <c r="C2001" s="151"/>
      <c r="D2001" s="151"/>
      <c r="E2001" s="151"/>
      <c r="F2001" s="498" t="s">
        <v>94</v>
      </c>
      <c r="G2001" s="533" t="s">
        <v>417</v>
      </c>
      <c r="H2001" s="151"/>
    </row>
    <row r="2002" spans="1:9" ht="14.1" customHeight="1">
      <c r="A2002" s="495" t="s">
        <v>96</v>
      </c>
      <c r="B2002" s="151"/>
      <c r="C2002" s="151"/>
      <c r="D2002" s="151"/>
      <c r="E2002" s="151"/>
      <c r="F2002" s="498" t="s">
        <v>95</v>
      </c>
      <c r="G2002" s="533" t="s">
        <v>417</v>
      </c>
      <c r="H2002" s="151"/>
    </row>
    <row r="2003" spans="1:9" ht="14.1" customHeight="1">
      <c r="A2003" s="428" t="s">
        <v>97</v>
      </c>
      <c r="B2003" s="461" t="str">
        <f>G2002</f>
        <v>1.286,16</v>
      </c>
      <c r="C2003" s="151"/>
      <c r="D2003" s="151"/>
      <c r="E2003" s="151"/>
      <c r="F2003" s="151"/>
      <c r="G2003" s="151"/>
      <c r="H2003" s="151"/>
    </row>
    <row r="2004" spans="1:9" ht="14.1" customHeight="1">
      <c r="A2004" s="455" t="s">
        <v>1936</v>
      </c>
      <c r="B2004" s="454"/>
      <c r="C2004" s="151"/>
      <c r="D2004" s="151"/>
      <c r="E2004" s="151"/>
      <c r="F2004" s="151"/>
      <c r="G2004" s="151"/>
      <c r="H2004" s="151"/>
      <c r="I2004" s="130" t="s">
        <v>2487</v>
      </c>
    </row>
    <row r="2005" spans="1:9" ht="14.1" customHeight="1">
      <c r="A2005" s="535" t="s">
        <v>1995</v>
      </c>
      <c r="B2005" s="454">
        <v>149.21480000000003</v>
      </c>
      <c r="C2005" s="151"/>
      <c r="D2005" s="151">
        <f>G2002*0.245</f>
        <v>315.10919999999999</v>
      </c>
      <c r="E2005" s="151"/>
      <c r="F2005" s="151"/>
      <c r="G2005" s="151"/>
      <c r="H2005" s="151"/>
    </row>
    <row r="2006" spans="1:9" ht="14.1" customHeight="1">
      <c r="A2006" s="428" t="s">
        <v>98</v>
      </c>
      <c r="B2006" s="462">
        <f>SUM(B2003:B2005)</f>
        <v>149.21480000000003</v>
      </c>
      <c r="C2006" s="151"/>
      <c r="D2006" s="151"/>
      <c r="E2006" s="151"/>
      <c r="F2006" s="151"/>
      <c r="G2006" s="151"/>
      <c r="H2006" s="151"/>
    </row>
    <row r="2007" spans="1:9">
      <c r="A2007" s="557"/>
      <c r="B2007" s="557"/>
      <c r="C2007" s="557"/>
      <c r="D2007" s="557"/>
      <c r="E2007" s="557"/>
      <c r="F2007" s="557"/>
      <c r="G2007" s="557"/>
      <c r="H2007" s="557"/>
    </row>
    <row r="2008" spans="1:9">
      <c r="A2008" s="530"/>
      <c r="B2008" s="530"/>
      <c r="C2008" s="530"/>
      <c r="D2008" s="530"/>
      <c r="E2008" s="530"/>
      <c r="F2008" s="530"/>
      <c r="G2008" s="530"/>
      <c r="H2008" s="530"/>
    </row>
    <row r="2009" spans="1:9">
      <c r="A2009" s="130" t="s">
        <v>653</v>
      </c>
      <c r="B2009" s="530"/>
      <c r="C2009" s="530"/>
      <c r="D2009" s="530"/>
      <c r="E2009" s="530"/>
      <c r="F2009" s="530"/>
      <c r="G2009" s="530"/>
      <c r="H2009" s="530"/>
    </row>
    <row r="2010" spans="1:9">
      <c r="A2010" s="1412" t="s">
        <v>882</v>
      </c>
      <c r="B2010" s="1413"/>
      <c r="C2010" s="1413"/>
      <c r="D2010" s="1413"/>
      <c r="E2010" s="1413"/>
      <c r="F2010" s="1413"/>
      <c r="G2010" s="1413"/>
      <c r="H2010" s="1413"/>
    </row>
    <row r="2011" spans="1:9" ht="23.25" customHeight="1">
      <c r="A2011" s="620" t="s">
        <v>924</v>
      </c>
      <c r="B2011" s="620" t="s">
        <v>2047</v>
      </c>
      <c r="C2011" s="546" t="s">
        <v>822</v>
      </c>
      <c r="E2011" s="500"/>
      <c r="F2011" s="500"/>
      <c r="G2011" s="500"/>
      <c r="H2011" s="500"/>
    </row>
    <row r="2012" spans="1:9" ht="22.5">
      <c r="A2012" s="415" t="s">
        <v>30</v>
      </c>
      <c r="B2012" s="420" t="s">
        <v>19</v>
      </c>
      <c r="C2012" s="343" t="s">
        <v>82</v>
      </c>
      <c r="D2012" s="532" t="s">
        <v>79</v>
      </c>
      <c r="E2012" s="532" t="s">
        <v>83</v>
      </c>
      <c r="F2012" s="345" t="s">
        <v>84</v>
      </c>
      <c r="G2012" s="421" t="s">
        <v>85</v>
      </c>
      <c r="H2012" s="151"/>
    </row>
    <row r="2013" spans="1:9" ht="22.5">
      <c r="A2013" s="559" t="s">
        <v>379</v>
      </c>
      <c r="B2013" s="560" t="s">
        <v>380</v>
      </c>
      <c r="C2013" s="531" t="s">
        <v>89</v>
      </c>
      <c r="D2013" s="531" t="s">
        <v>5</v>
      </c>
      <c r="E2013" s="497">
        <v>1</v>
      </c>
      <c r="F2013" s="531">
        <v>195.93</v>
      </c>
      <c r="G2013" s="496">
        <f t="shared" ref="G2013:G2017" si="117">TRUNC(E2013*F2013,2)</f>
        <v>195.93</v>
      </c>
      <c r="H2013" s="151"/>
    </row>
    <row r="2014" spans="1:9" ht="14.1" customHeight="1">
      <c r="A2014" s="559" t="s">
        <v>241</v>
      </c>
      <c r="B2014" s="560" t="s">
        <v>242</v>
      </c>
      <c r="C2014" s="531" t="s">
        <v>89</v>
      </c>
      <c r="D2014" s="531" t="s">
        <v>5</v>
      </c>
      <c r="E2014" s="531" t="s">
        <v>381</v>
      </c>
      <c r="F2014" s="531">
        <v>3.39</v>
      </c>
      <c r="G2014" s="496">
        <f t="shared" si="117"/>
        <v>0.2</v>
      </c>
      <c r="H2014" s="151"/>
    </row>
    <row r="2015" spans="1:9" ht="14.1" customHeight="1">
      <c r="A2015" s="1444" t="s">
        <v>244</v>
      </c>
      <c r="B2015" s="1329" t="s">
        <v>245</v>
      </c>
      <c r="C2015" s="937" t="s">
        <v>102</v>
      </c>
      <c r="D2015" s="1449" t="s">
        <v>345</v>
      </c>
      <c r="E2015" s="1331" t="s">
        <v>382</v>
      </c>
      <c r="F2015" s="497">
        <f>'COMP AUX'!G338</f>
        <v>15.41</v>
      </c>
      <c r="G2015" s="496">
        <f t="shared" si="117"/>
        <v>7.08</v>
      </c>
      <c r="H2015" s="940"/>
    </row>
    <row r="2016" spans="1:9">
      <c r="A2016" s="1309"/>
      <c r="B2016" s="1330"/>
      <c r="C2016" s="531" t="s">
        <v>89</v>
      </c>
      <c r="D2016" s="1435"/>
      <c r="E2016" s="1332"/>
      <c r="F2016" s="497">
        <f>'COMP AUX'!G339</f>
        <v>4.5600000000000005</v>
      </c>
      <c r="G2016" s="496">
        <f>TRUNC(E2015*F2016,2)</f>
        <v>2.09</v>
      </c>
      <c r="H2016" s="151"/>
    </row>
    <row r="2017" spans="1:8" ht="15" customHeight="1">
      <c r="A2017" s="1444" t="s">
        <v>105</v>
      </c>
      <c r="B2017" s="1329" t="s">
        <v>106</v>
      </c>
      <c r="C2017" s="937" t="s">
        <v>102</v>
      </c>
      <c r="D2017" s="1449" t="s">
        <v>345</v>
      </c>
      <c r="E2017" s="1331" t="s">
        <v>383</v>
      </c>
      <c r="F2017" s="497">
        <f>'COMP AUX'!G104</f>
        <v>11.1</v>
      </c>
      <c r="G2017" s="496">
        <f t="shared" si="117"/>
        <v>1.66</v>
      </c>
      <c r="H2017" s="940"/>
    </row>
    <row r="2018" spans="1:8" ht="14.1" customHeight="1">
      <c r="A2018" s="1309"/>
      <c r="B2018" s="1342"/>
      <c r="C2018" s="937" t="s">
        <v>89</v>
      </c>
      <c r="D2018" s="1435"/>
      <c r="E2018" s="1332"/>
      <c r="F2018" s="497">
        <f>'COMP AUX'!G105</f>
        <v>4.5600000000000005</v>
      </c>
      <c r="G2018" s="496">
        <f>TRUNC(E2017*F2018,2)</f>
        <v>0.68</v>
      </c>
      <c r="H2018" s="151"/>
    </row>
    <row r="2019" spans="1:8" ht="14.1" customHeight="1">
      <c r="A2019" s="151"/>
      <c r="B2019" s="151"/>
      <c r="C2019" s="151"/>
      <c r="D2019" s="151"/>
      <c r="E2019" s="151"/>
      <c r="F2019" s="498" t="s">
        <v>92</v>
      </c>
      <c r="G2019" s="496">
        <f>G2015+G2017</f>
        <v>8.74</v>
      </c>
      <c r="H2019" s="151"/>
    </row>
    <row r="2020" spans="1:8" ht="14.1" customHeight="1">
      <c r="A2020" s="151"/>
      <c r="B2020" s="151"/>
      <c r="C2020" s="151"/>
      <c r="D2020" s="151"/>
      <c r="E2020" s="151"/>
      <c r="F2020" s="498" t="s">
        <v>94</v>
      </c>
      <c r="G2020" s="496">
        <f>G2013+G2014+G2016+G2018</f>
        <v>198.9</v>
      </c>
      <c r="H2020" s="151"/>
    </row>
    <row r="2021" spans="1:8" ht="14.1" customHeight="1">
      <c r="A2021" s="495" t="s">
        <v>96</v>
      </c>
      <c r="B2021" s="530"/>
      <c r="C2021" s="151"/>
      <c r="D2021" s="151"/>
      <c r="E2021" s="151"/>
      <c r="F2021" s="498" t="s">
        <v>95</v>
      </c>
      <c r="G2021" s="499">
        <f>SUM(G2019:G2020)</f>
        <v>207.64000000000001</v>
      </c>
      <c r="H2021" s="151"/>
    </row>
    <row r="2022" spans="1:8" ht="14.1" customHeight="1">
      <c r="A2022" s="428" t="s">
        <v>97</v>
      </c>
      <c r="B2022" s="461">
        <f>G2021</f>
        <v>207.64000000000001</v>
      </c>
      <c r="C2022" s="151"/>
      <c r="D2022" s="151"/>
      <c r="E2022" s="151"/>
      <c r="F2022" s="151"/>
      <c r="G2022" s="151"/>
      <c r="H2022" s="151"/>
    </row>
    <row r="2023" spans="1:8" ht="14.1" customHeight="1">
      <c r="A2023" s="455" t="s">
        <v>1936</v>
      </c>
      <c r="B2023" s="454"/>
      <c r="C2023" s="151"/>
      <c r="D2023" s="151"/>
      <c r="E2023" s="151"/>
      <c r="F2023" s="151"/>
      <c r="G2023" s="151"/>
      <c r="H2023" s="151"/>
    </row>
    <row r="2024" spans="1:8" ht="14.1" customHeight="1">
      <c r="A2024" s="535" t="s">
        <v>1995</v>
      </c>
      <c r="B2024" s="454">
        <v>149.21480000000003</v>
      </c>
      <c r="C2024" s="151"/>
      <c r="D2024" s="151"/>
      <c r="E2024" s="151"/>
      <c r="F2024" s="151"/>
      <c r="G2024" s="151"/>
      <c r="H2024" s="151"/>
    </row>
    <row r="2025" spans="1:8" ht="14.1" customHeight="1">
      <c r="A2025" s="428" t="s">
        <v>98</v>
      </c>
      <c r="B2025" s="462">
        <f>SUM(B2022:B2024)</f>
        <v>356.85480000000007</v>
      </c>
      <c r="C2025" s="151"/>
      <c r="D2025" s="151"/>
      <c r="E2025" s="151"/>
      <c r="F2025" s="151"/>
      <c r="G2025" s="151"/>
      <c r="H2025" s="151"/>
    </row>
    <row r="2026" spans="1:8" ht="11.25" customHeight="1">
      <c r="A2026" s="557"/>
      <c r="B2026" s="557"/>
      <c r="C2026" s="557"/>
      <c r="D2026" s="557"/>
      <c r="E2026" s="557"/>
      <c r="F2026" s="557"/>
      <c r="G2026" s="557"/>
      <c r="H2026" s="557"/>
    </row>
    <row r="2027" spans="1:8" ht="15" customHeight="1">
      <c r="A2027" s="530"/>
      <c r="B2027" s="530"/>
      <c r="C2027" s="530"/>
      <c r="D2027" s="530"/>
      <c r="E2027" s="530"/>
      <c r="F2027" s="530"/>
      <c r="G2027" s="530"/>
      <c r="H2027" s="530"/>
    </row>
    <row r="2028" spans="1:8" ht="15" customHeight="1">
      <c r="A2028" s="130" t="s">
        <v>653</v>
      </c>
      <c r="B2028" s="530"/>
      <c r="C2028" s="530"/>
      <c r="D2028" s="530"/>
      <c r="E2028" s="530"/>
      <c r="F2028" s="530"/>
      <c r="G2028" s="530"/>
      <c r="H2028" s="530"/>
    </row>
    <row r="2029" spans="1:8">
      <c r="A2029" s="1412" t="s">
        <v>251</v>
      </c>
      <c r="B2029" s="1413"/>
      <c r="C2029" s="1413"/>
      <c r="D2029" s="1413"/>
      <c r="E2029" s="1413"/>
      <c r="F2029" s="1413"/>
      <c r="G2029" s="1413"/>
      <c r="H2029" s="1413"/>
    </row>
    <row r="2030" spans="1:8" ht="17.25" customHeight="1">
      <c r="A2030" s="552" t="s">
        <v>933</v>
      </c>
      <c r="B2030" s="619" t="s">
        <v>2048</v>
      </c>
      <c r="C2030" s="552" t="s">
        <v>822</v>
      </c>
      <c r="D2030" s="500"/>
      <c r="E2030" s="500"/>
      <c r="F2030" s="500"/>
      <c r="G2030" s="500"/>
      <c r="H2030" s="500"/>
    </row>
    <row r="2031" spans="1:8" ht="22.5">
      <c r="A2031" s="415" t="s">
        <v>30</v>
      </c>
      <c r="B2031" s="420" t="s">
        <v>19</v>
      </c>
      <c r="C2031" s="343" t="s">
        <v>82</v>
      </c>
      <c r="D2031" s="556" t="s">
        <v>79</v>
      </c>
      <c r="E2031" s="556" t="s">
        <v>83</v>
      </c>
      <c r="F2031" s="345" t="s">
        <v>84</v>
      </c>
      <c r="G2031" s="421" t="s">
        <v>85</v>
      </c>
      <c r="H2031" s="565"/>
    </row>
    <row r="2032" spans="1:8" ht="14.1" customHeight="1">
      <c r="A2032" s="1347">
        <v>88267</v>
      </c>
      <c r="B2032" s="1310" t="s">
        <v>245</v>
      </c>
      <c r="C2032" s="343" t="s">
        <v>102</v>
      </c>
      <c r="D2032" s="1364" t="s">
        <v>345</v>
      </c>
      <c r="E2032" s="1378">
        <v>3.5</v>
      </c>
      <c r="F2032" s="414">
        <f>'COMP AUX'!G338</f>
        <v>15.41</v>
      </c>
      <c r="G2032" s="421">
        <f t="shared" ref="G2032" si="118">TRUNC(E2032*F2032,2)</f>
        <v>53.93</v>
      </c>
      <c r="H2032" s="565"/>
    </row>
    <row r="2033" spans="1:8" ht="14.1" customHeight="1">
      <c r="A2033" s="1348"/>
      <c r="B2033" s="1311"/>
      <c r="C2033" s="555" t="s">
        <v>89</v>
      </c>
      <c r="D2033" s="1365"/>
      <c r="E2033" s="1379"/>
      <c r="F2033" s="414">
        <f>'COMP AUX'!G339</f>
        <v>4.5600000000000005</v>
      </c>
      <c r="G2033" s="533">
        <f>TRUNC(E2032*F2033,2)</f>
        <v>15.96</v>
      </c>
      <c r="H2033" s="140"/>
    </row>
    <row r="2034" spans="1:8" ht="14.1" customHeight="1">
      <c r="A2034" s="1444">
        <v>88248</v>
      </c>
      <c r="B2034" s="1329" t="s">
        <v>274</v>
      </c>
      <c r="C2034" s="937" t="s">
        <v>102</v>
      </c>
      <c r="D2034" s="1331" t="s">
        <v>345</v>
      </c>
      <c r="E2034" s="1447">
        <v>3.5</v>
      </c>
      <c r="F2034" s="497">
        <f>'COMP AUX'!G321</f>
        <v>10.9</v>
      </c>
      <c r="G2034" s="533">
        <f>TRUNC(E2034*F2034,2)</f>
        <v>38.15</v>
      </c>
      <c r="H2034" s="940"/>
    </row>
    <row r="2035" spans="1:8" ht="14.1" customHeight="1">
      <c r="A2035" s="1309"/>
      <c r="B2035" s="1330"/>
      <c r="C2035" s="937" t="s">
        <v>89</v>
      </c>
      <c r="D2035" s="1332"/>
      <c r="E2035" s="1448"/>
      <c r="F2035" s="497">
        <f>'COMP AUX'!G322</f>
        <v>4.5600000000000005</v>
      </c>
      <c r="G2035" s="533">
        <f>TRUNC(E2034*F2035,2)</f>
        <v>15.96</v>
      </c>
      <c r="H2035" s="140"/>
    </row>
    <row r="2036" spans="1:8" ht="24" customHeight="1">
      <c r="A2036" s="948">
        <v>20143</v>
      </c>
      <c r="B2036" s="545" t="s">
        <v>1986</v>
      </c>
      <c r="C2036" s="555" t="s">
        <v>89</v>
      </c>
      <c r="D2036" s="555" t="s">
        <v>5</v>
      </c>
      <c r="E2036" s="497">
        <v>1</v>
      </c>
      <c r="F2036" s="555">
        <v>32.65</v>
      </c>
      <c r="G2036" s="533">
        <f t="shared" ref="G2036:G2039" si="119">TRUNC(E2036*F2036,2)</f>
        <v>32.65</v>
      </c>
      <c r="H2036" s="140"/>
    </row>
    <row r="2037" spans="1:8" ht="21.75" customHeight="1">
      <c r="A2037" s="948">
        <v>20157</v>
      </c>
      <c r="B2037" s="545" t="s">
        <v>1987</v>
      </c>
      <c r="C2037" s="555" t="s">
        <v>89</v>
      </c>
      <c r="D2037" s="555" t="s">
        <v>5</v>
      </c>
      <c r="E2037" s="497">
        <v>2</v>
      </c>
      <c r="F2037" s="555">
        <v>18.47</v>
      </c>
      <c r="G2037" s="533">
        <f t="shared" si="119"/>
        <v>36.94</v>
      </c>
      <c r="H2037" s="140"/>
    </row>
    <row r="2038" spans="1:8" ht="21.75" customHeight="1">
      <c r="A2038" s="948">
        <v>9841</v>
      </c>
      <c r="B2038" s="545" t="s">
        <v>1988</v>
      </c>
      <c r="C2038" s="555" t="s">
        <v>89</v>
      </c>
      <c r="D2038" s="555" t="s">
        <v>4</v>
      </c>
      <c r="E2038" s="497">
        <v>6</v>
      </c>
      <c r="F2038" s="555">
        <v>14.38</v>
      </c>
      <c r="G2038" s="533">
        <f t="shared" si="119"/>
        <v>86.28</v>
      </c>
      <c r="H2038" s="140"/>
    </row>
    <row r="2039" spans="1:8" ht="14.1" customHeight="1">
      <c r="A2039" s="948">
        <v>20179</v>
      </c>
      <c r="B2039" s="566" t="s">
        <v>1989</v>
      </c>
      <c r="C2039" s="555" t="s">
        <v>89</v>
      </c>
      <c r="D2039" s="555" t="s">
        <v>5</v>
      </c>
      <c r="E2039" s="497">
        <v>1</v>
      </c>
      <c r="F2039" s="555">
        <v>29.11</v>
      </c>
      <c r="G2039" s="533">
        <f t="shared" si="119"/>
        <v>29.11</v>
      </c>
      <c r="H2039" s="140"/>
    </row>
    <row r="2040" spans="1:8" ht="14.1" customHeight="1">
      <c r="A2040" s="140"/>
      <c r="B2040" s="140"/>
      <c r="C2040" s="140"/>
      <c r="D2040" s="140"/>
      <c r="E2040" s="140"/>
      <c r="F2040" s="498" t="s">
        <v>92</v>
      </c>
      <c r="G2040" s="533">
        <f>G2032+G2034</f>
        <v>92.08</v>
      </c>
      <c r="H2040" s="140"/>
    </row>
    <row r="2041" spans="1:8" ht="14.1" customHeight="1">
      <c r="A2041" s="140"/>
      <c r="B2041" s="140"/>
      <c r="C2041" s="140"/>
      <c r="D2041" s="140"/>
      <c r="E2041" s="140"/>
      <c r="F2041" s="498" t="s">
        <v>94</v>
      </c>
      <c r="G2041" s="496">
        <f>G2033+G2035+G2036+G2037+G2038+G2039</f>
        <v>216.89999999999998</v>
      </c>
      <c r="H2041" s="140"/>
    </row>
    <row r="2042" spans="1:8" ht="14.1" customHeight="1">
      <c r="A2042" s="495" t="s">
        <v>96</v>
      </c>
      <c r="B2042" s="547"/>
      <c r="C2042" s="140"/>
      <c r="D2042" s="140"/>
      <c r="E2042" s="140"/>
      <c r="F2042" s="498" t="s">
        <v>95</v>
      </c>
      <c r="G2042" s="496">
        <f>SUM(G2040:G2041)</f>
        <v>308.97999999999996</v>
      </c>
      <c r="H2042" s="140"/>
    </row>
    <row r="2043" spans="1:8" ht="14.1" customHeight="1">
      <c r="A2043" s="567" t="s">
        <v>97</v>
      </c>
      <c r="B2043" s="461">
        <f>G2042</f>
        <v>308.97999999999996</v>
      </c>
      <c r="C2043" s="140"/>
      <c r="D2043" s="140"/>
      <c r="E2043" s="140"/>
      <c r="F2043" s="134"/>
      <c r="G2043" s="134"/>
      <c r="H2043" s="140"/>
    </row>
    <row r="2044" spans="1:8" ht="14.1" customHeight="1">
      <c r="A2044" s="455" t="s">
        <v>1936</v>
      </c>
      <c r="B2044" s="454"/>
      <c r="C2044" s="140"/>
      <c r="D2044" s="140"/>
      <c r="E2044" s="140"/>
      <c r="F2044" s="134"/>
      <c r="G2044" s="134"/>
      <c r="H2044" s="140"/>
    </row>
    <row r="2045" spans="1:8" ht="14.1" customHeight="1">
      <c r="A2045" s="535" t="s">
        <v>1995</v>
      </c>
      <c r="B2045" s="454">
        <f>(B2043+B2044)*0.245</f>
        <v>75.700099999999992</v>
      </c>
      <c r="C2045" s="140"/>
      <c r="D2045" s="140"/>
      <c r="E2045" s="140"/>
      <c r="F2045" s="134"/>
      <c r="G2045" s="134"/>
      <c r="H2045" s="140"/>
    </row>
    <row r="2046" spans="1:8" ht="14.1" customHeight="1">
      <c r="A2046" s="567" t="s">
        <v>98</v>
      </c>
      <c r="B2046" s="462">
        <f>SUM(B2043:B2045)</f>
        <v>384.68009999999992</v>
      </c>
      <c r="C2046" s="140"/>
      <c r="D2046" s="140"/>
      <c r="E2046" s="140"/>
      <c r="F2046" s="134"/>
      <c r="G2046" s="134"/>
      <c r="H2046" s="502"/>
    </row>
    <row r="2047" spans="1:8">
      <c r="A2047" s="429"/>
      <c r="B2047" s="430"/>
      <c r="C2047" s="431"/>
      <c r="D2047" s="429"/>
      <c r="E2047" s="430"/>
      <c r="F2047" s="430"/>
      <c r="G2047" s="430"/>
      <c r="H2047" s="429"/>
    </row>
    <row r="2049" spans="1:8">
      <c r="A2049" s="130" t="s">
        <v>653</v>
      </c>
    </row>
    <row r="2050" spans="1:8">
      <c r="A2050" s="1412" t="s">
        <v>884</v>
      </c>
      <c r="B2050" s="1413"/>
      <c r="C2050" s="1413"/>
      <c r="D2050" s="1413"/>
      <c r="E2050" s="1413"/>
      <c r="F2050" s="1413"/>
      <c r="G2050" s="1413"/>
      <c r="H2050" s="1413"/>
    </row>
    <row r="2051" spans="1:8" ht="18.75" customHeight="1">
      <c r="A2051" s="552" t="s">
        <v>924</v>
      </c>
      <c r="B2051" s="1007" t="s">
        <v>255</v>
      </c>
      <c r="C2051" s="1036" t="s">
        <v>822</v>
      </c>
      <c r="D2051" s="553"/>
      <c r="E2051" s="553"/>
      <c r="F2051" s="553"/>
      <c r="G2051" s="553"/>
      <c r="H2051" s="553"/>
    </row>
    <row r="2052" spans="1:8" ht="22.5">
      <c r="A2052" s="415" t="s">
        <v>30</v>
      </c>
      <c r="B2052" s="420" t="s">
        <v>19</v>
      </c>
      <c r="C2052" s="343" t="s">
        <v>82</v>
      </c>
      <c r="D2052" s="556" t="s">
        <v>79</v>
      </c>
      <c r="E2052" s="556" t="s">
        <v>83</v>
      </c>
      <c r="F2052" s="345" t="s">
        <v>84</v>
      </c>
      <c r="G2052" s="421" t="s">
        <v>85</v>
      </c>
    </row>
    <row r="2053" spans="1:8" ht="14.1" customHeight="1">
      <c r="A2053" s="1347">
        <v>88267</v>
      </c>
      <c r="B2053" s="1310" t="s">
        <v>245</v>
      </c>
      <c r="C2053" s="343" t="s">
        <v>102</v>
      </c>
      <c r="D2053" s="1364" t="s">
        <v>345</v>
      </c>
      <c r="E2053" s="1378">
        <v>3</v>
      </c>
      <c r="F2053" s="414">
        <f>'COMP AUX'!G338</f>
        <v>15.41</v>
      </c>
      <c r="G2053" s="421">
        <f t="shared" ref="G2053" si="120">TRUNC(E2053*F2053,2)</f>
        <v>46.23</v>
      </c>
      <c r="H2053" s="140"/>
    </row>
    <row r="2054" spans="1:8" ht="14.1" customHeight="1">
      <c r="A2054" s="1348"/>
      <c r="B2054" s="1311"/>
      <c r="C2054" s="937" t="s">
        <v>89</v>
      </c>
      <c r="D2054" s="1365"/>
      <c r="E2054" s="1379"/>
      <c r="F2054" s="414">
        <f>'COMP AUX'!G339</f>
        <v>4.5600000000000005</v>
      </c>
      <c r="G2054" s="533">
        <f>TRUNC(E2053*F2054,2)</f>
        <v>13.68</v>
      </c>
      <c r="H2054" s="140"/>
    </row>
    <row r="2055" spans="1:8" ht="14.1" customHeight="1">
      <c r="A2055" s="1444">
        <v>88248</v>
      </c>
      <c r="B2055" s="1329" t="s">
        <v>274</v>
      </c>
      <c r="C2055" s="937" t="s">
        <v>102</v>
      </c>
      <c r="D2055" s="1331" t="s">
        <v>345</v>
      </c>
      <c r="E2055" s="1447">
        <v>3</v>
      </c>
      <c r="F2055" s="497">
        <f>'COMP AUX'!G321</f>
        <v>10.9</v>
      </c>
      <c r="G2055" s="533">
        <f>TRUNC(E2055*F2055,2)</f>
        <v>32.700000000000003</v>
      </c>
      <c r="H2055" s="140"/>
    </row>
    <row r="2056" spans="1:8" ht="14.1" customHeight="1">
      <c r="A2056" s="1309"/>
      <c r="B2056" s="1330"/>
      <c r="C2056" s="937" t="s">
        <v>89</v>
      </c>
      <c r="D2056" s="1332"/>
      <c r="E2056" s="1448"/>
      <c r="F2056" s="497">
        <f>'COMP AUX'!G322</f>
        <v>4.5600000000000005</v>
      </c>
      <c r="G2056" s="533">
        <f>TRUNC(E2055*F2056,2)</f>
        <v>13.68</v>
      </c>
      <c r="H2056" s="140"/>
    </row>
    <row r="2057" spans="1:8" ht="24.75" customHeight="1">
      <c r="A2057" s="948">
        <v>3659</v>
      </c>
      <c r="B2057" s="545" t="s">
        <v>1993</v>
      </c>
      <c r="C2057" s="937" t="s">
        <v>89</v>
      </c>
      <c r="D2057" s="937" t="s">
        <v>5</v>
      </c>
      <c r="E2057" s="497">
        <v>1</v>
      </c>
      <c r="F2057" s="937">
        <v>11.52</v>
      </c>
      <c r="G2057" s="533">
        <f t="shared" ref="G2057:G2060" si="121">TRUNC(E2057*F2057,2)</f>
        <v>11.52</v>
      </c>
      <c r="H2057" s="140"/>
    </row>
    <row r="2058" spans="1:8" ht="22.5" customHeight="1">
      <c r="A2058" s="948">
        <v>20155</v>
      </c>
      <c r="B2058" s="545" t="s">
        <v>1992</v>
      </c>
      <c r="C2058" s="937" t="s">
        <v>89</v>
      </c>
      <c r="D2058" s="937" t="s">
        <v>5</v>
      </c>
      <c r="E2058" s="497">
        <v>2</v>
      </c>
      <c r="F2058" s="937">
        <v>4.71</v>
      </c>
      <c r="G2058" s="533">
        <f t="shared" si="121"/>
        <v>9.42</v>
      </c>
      <c r="H2058" s="140"/>
    </row>
    <row r="2059" spans="1:8" ht="21" customHeight="1">
      <c r="A2059" s="948">
        <v>20068</v>
      </c>
      <c r="B2059" s="545" t="s">
        <v>1991</v>
      </c>
      <c r="C2059" s="937" t="s">
        <v>89</v>
      </c>
      <c r="D2059" s="937" t="s">
        <v>4</v>
      </c>
      <c r="E2059" s="497">
        <v>6</v>
      </c>
      <c r="F2059" s="937">
        <v>6.86</v>
      </c>
      <c r="G2059" s="533">
        <f t="shared" si="121"/>
        <v>41.16</v>
      </c>
      <c r="H2059" s="140"/>
    </row>
    <row r="2060" spans="1:8" ht="14.1" customHeight="1">
      <c r="A2060" s="948">
        <v>7097</v>
      </c>
      <c r="B2060" s="566" t="s">
        <v>1990</v>
      </c>
      <c r="C2060" s="937" t="s">
        <v>89</v>
      </c>
      <c r="D2060" s="937" t="s">
        <v>5</v>
      </c>
      <c r="E2060" s="497">
        <v>1</v>
      </c>
      <c r="F2060" s="937">
        <v>5.1100000000000003</v>
      </c>
      <c r="G2060" s="533">
        <f t="shared" si="121"/>
        <v>5.1100000000000003</v>
      </c>
      <c r="H2060" s="140"/>
    </row>
    <row r="2061" spans="1:8" ht="14.1" customHeight="1">
      <c r="A2061" s="976"/>
      <c r="B2061" s="977"/>
      <c r="C2061" s="978"/>
      <c r="D2061" s="978"/>
      <c r="E2061" s="978"/>
      <c r="F2061" s="498" t="s">
        <v>92</v>
      </c>
      <c r="G2061" s="533">
        <f>G2053+G2055</f>
        <v>78.930000000000007</v>
      </c>
      <c r="H2061" s="940"/>
    </row>
    <row r="2062" spans="1:8" ht="14.1" customHeight="1">
      <c r="A2062" s="976"/>
      <c r="B2062" s="977"/>
      <c r="C2062" s="978"/>
      <c r="D2062" s="978"/>
      <c r="E2062" s="978"/>
      <c r="F2062" s="498" t="s">
        <v>94</v>
      </c>
      <c r="G2062" s="496">
        <f>G2054+G2056+G2057+G2058+G2059+G2060</f>
        <v>94.57</v>
      </c>
      <c r="H2062" s="940"/>
    </row>
    <row r="2063" spans="1:8" ht="14.1" customHeight="1">
      <c r="A2063" s="495" t="s">
        <v>96</v>
      </c>
      <c r="B2063" s="547"/>
      <c r="C2063" s="553"/>
      <c r="D2063" s="553"/>
      <c r="E2063" s="553"/>
      <c r="F2063" s="498" t="s">
        <v>95</v>
      </c>
      <c r="G2063" s="499">
        <f>SUM(G2061:G2062)</f>
        <v>173.5</v>
      </c>
      <c r="H2063" s="140"/>
    </row>
    <row r="2064" spans="1:8" ht="14.1" customHeight="1">
      <c r="A2064" s="567" t="s">
        <v>97</v>
      </c>
      <c r="B2064" s="461">
        <f>G2063</f>
        <v>173.5</v>
      </c>
      <c r="C2064" s="140"/>
      <c r="D2064" s="140"/>
      <c r="E2064" s="140"/>
      <c r="F2064" s="134"/>
      <c r="G2064" s="134"/>
      <c r="H2064" s="140"/>
    </row>
    <row r="2065" spans="1:8" ht="14.1" customHeight="1">
      <c r="A2065" s="455" t="s">
        <v>1936</v>
      </c>
      <c r="B2065" s="454"/>
      <c r="C2065" s="140"/>
      <c r="D2065" s="140"/>
      <c r="E2065" s="140"/>
      <c r="F2065" s="134"/>
      <c r="G2065" s="134"/>
      <c r="H2065" s="140"/>
    </row>
    <row r="2066" spans="1:8" ht="14.1" customHeight="1">
      <c r="A2066" s="535" t="s">
        <v>1995</v>
      </c>
      <c r="B2066" s="454">
        <f>(B2064+B2065)*0.245</f>
        <v>42.5075</v>
      </c>
      <c r="C2066" s="140"/>
      <c r="D2066" s="140"/>
      <c r="E2066" s="140"/>
      <c r="F2066" s="134"/>
      <c r="G2066" s="134"/>
      <c r="H2066" s="140"/>
    </row>
    <row r="2067" spans="1:8" ht="14.1" customHeight="1">
      <c r="A2067" s="567" t="s">
        <v>98</v>
      </c>
      <c r="B2067" s="462">
        <f>SUM(B2064:B2066)</f>
        <v>216.00749999999999</v>
      </c>
      <c r="C2067" s="140"/>
      <c r="D2067" s="140"/>
      <c r="E2067" s="140"/>
      <c r="F2067" s="134"/>
      <c r="G2067" s="134"/>
      <c r="H2067" s="502"/>
    </row>
    <row r="2068" spans="1:8" ht="10.5" customHeight="1">
      <c r="A2068" s="429"/>
      <c r="B2068" s="430"/>
      <c r="C2068" s="431"/>
      <c r="D2068" s="429"/>
      <c r="E2068" s="430"/>
      <c r="F2068" s="430"/>
      <c r="G2068" s="430"/>
      <c r="H2068" s="429"/>
    </row>
    <row r="2069" spans="1:8">
      <c r="B2069" s="130"/>
    </row>
    <row r="2070" spans="1:8">
      <c r="A2070" s="130" t="s">
        <v>653</v>
      </c>
    </row>
    <row r="2071" spans="1:8">
      <c r="A2071" s="1412" t="s">
        <v>1912</v>
      </c>
      <c r="B2071" s="1413"/>
      <c r="C2071" s="1413"/>
      <c r="D2071" s="1413"/>
      <c r="E2071" s="1413"/>
      <c r="F2071" s="1413"/>
      <c r="G2071" s="1413"/>
      <c r="H2071" s="1413"/>
    </row>
    <row r="2072" spans="1:8" ht="38.25" customHeight="1">
      <c r="A2072" s="568" t="s">
        <v>933</v>
      </c>
      <c r="B2072" s="1356" t="s">
        <v>1913</v>
      </c>
      <c r="C2072" s="1356"/>
      <c r="D2072" s="952" t="s">
        <v>822</v>
      </c>
      <c r="E2072" s="549"/>
      <c r="F2072" s="549"/>
      <c r="G2072" s="549"/>
      <c r="H2072" s="549"/>
    </row>
    <row r="2073" spans="1:8" ht="22.5">
      <c r="A2073" s="913" t="s">
        <v>30</v>
      </c>
      <c r="B2073" s="420" t="s">
        <v>19</v>
      </c>
      <c r="C2073" s="343" t="s">
        <v>82</v>
      </c>
      <c r="D2073" s="915" t="s">
        <v>79</v>
      </c>
      <c r="E2073" s="915" t="s">
        <v>83</v>
      </c>
      <c r="F2073" s="345" t="s">
        <v>84</v>
      </c>
      <c r="G2073" s="421" t="s">
        <v>85</v>
      </c>
    </row>
    <row r="2074" spans="1:8" ht="22.5">
      <c r="A2074" s="540" t="s">
        <v>1914</v>
      </c>
      <c r="B2074" s="545" t="s">
        <v>1915</v>
      </c>
      <c r="C2074" s="921" t="s">
        <v>89</v>
      </c>
      <c r="D2074" s="921" t="s">
        <v>5</v>
      </c>
      <c r="E2074" s="558">
        <v>1</v>
      </c>
      <c r="F2074" s="921">
        <v>9.76</v>
      </c>
      <c r="G2074" s="533">
        <f t="shared" ref="G2074:G2076" si="122">TRUNC(E2074*F2074,2)</f>
        <v>9.76</v>
      </c>
      <c r="H2074" s="923"/>
    </row>
    <row r="2075" spans="1:8" ht="14.1" customHeight="1">
      <c r="A2075" s="540" t="s">
        <v>260</v>
      </c>
      <c r="B2075" s="545" t="s">
        <v>261</v>
      </c>
      <c r="C2075" s="921" t="s">
        <v>89</v>
      </c>
      <c r="D2075" s="921" t="s">
        <v>5</v>
      </c>
      <c r="E2075" s="921">
        <v>1.4800000000000001E-2</v>
      </c>
      <c r="F2075" s="921">
        <v>49.68</v>
      </c>
      <c r="G2075" s="533">
        <f t="shared" si="122"/>
        <v>0.73</v>
      </c>
      <c r="H2075" s="923"/>
    </row>
    <row r="2076" spans="1:8" ht="14.1" customHeight="1">
      <c r="A2076" s="540" t="s">
        <v>265</v>
      </c>
      <c r="B2076" s="545" t="s">
        <v>266</v>
      </c>
      <c r="C2076" s="921" t="s">
        <v>89</v>
      </c>
      <c r="D2076" s="921" t="s">
        <v>5</v>
      </c>
      <c r="E2076" s="921">
        <v>2.2499999999999999E-2</v>
      </c>
      <c r="F2076" s="921">
        <v>43.14</v>
      </c>
      <c r="G2076" s="533">
        <f t="shared" si="122"/>
        <v>0.97</v>
      </c>
      <c r="H2076" s="923"/>
    </row>
    <row r="2077" spans="1:8" ht="14.1" customHeight="1">
      <c r="A2077" s="540" t="s">
        <v>269</v>
      </c>
      <c r="B2077" s="545" t="s">
        <v>270</v>
      </c>
      <c r="C2077" s="921" t="s">
        <v>89</v>
      </c>
      <c r="D2077" s="921" t="s">
        <v>5</v>
      </c>
      <c r="E2077" s="921" t="s">
        <v>271</v>
      </c>
      <c r="F2077" s="921">
        <v>1.64</v>
      </c>
      <c r="G2077" s="533">
        <f>TRUNC(E2077*F2077,2)</f>
        <v>0.02</v>
      </c>
      <c r="H2077" s="923"/>
    </row>
    <row r="2078" spans="1:8" ht="14.1" customHeight="1">
      <c r="A2078" s="1444">
        <v>88248</v>
      </c>
      <c r="B2078" s="1329" t="s">
        <v>274</v>
      </c>
      <c r="C2078" s="921" t="s">
        <v>102</v>
      </c>
      <c r="D2078" s="1331" t="s">
        <v>345</v>
      </c>
      <c r="E2078" s="1331">
        <v>0.25</v>
      </c>
      <c r="F2078" s="497">
        <f>'COMP AUX'!G321</f>
        <v>10.9</v>
      </c>
      <c r="G2078" s="533">
        <f>TRUNC(E2078*F2078,2)</f>
        <v>2.72</v>
      </c>
      <c r="H2078" s="923"/>
    </row>
    <row r="2079" spans="1:8" ht="14.1" customHeight="1">
      <c r="A2079" s="1309"/>
      <c r="B2079" s="1330"/>
      <c r="C2079" s="921" t="s">
        <v>89</v>
      </c>
      <c r="D2079" s="1332"/>
      <c r="E2079" s="1332"/>
      <c r="F2079" s="497">
        <f>'COMP AUX'!G322</f>
        <v>4.5600000000000005</v>
      </c>
      <c r="G2079" s="533">
        <f>TRUNC(E2078*F2079,2)</f>
        <v>1.1399999999999999</v>
      </c>
      <c r="H2079" s="923"/>
    </row>
    <row r="2080" spans="1:8" ht="14.1" customHeight="1">
      <c r="A2080" s="1444">
        <v>88267</v>
      </c>
      <c r="B2080" s="1329" t="s">
        <v>245</v>
      </c>
      <c r="C2080" s="921" t="s">
        <v>102</v>
      </c>
      <c r="D2080" s="1331" t="s">
        <v>345</v>
      </c>
      <c r="E2080" s="1331">
        <v>0.25</v>
      </c>
      <c r="F2080" s="497">
        <f>'COMP AUX'!G338</f>
        <v>15.41</v>
      </c>
      <c r="G2080" s="533">
        <f>TRUNC(E2080*F2080,2)</f>
        <v>3.85</v>
      </c>
      <c r="H2080" s="923"/>
    </row>
    <row r="2081" spans="1:8" ht="14.1" customHeight="1">
      <c r="A2081" s="1309"/>
      <c r="B2081" s="1342"/>
      <c r="C2081" s="921" t="s">
        <v>89</v>
      </c>
      <c r="D2081" s="1332"/>
      <c r="E2081" s="1332"/>
      <c r="F2081" s="497">
        <f>'COMP AUX'!G339</f>
        <v>4.5600000000000005</v>
      </c>
      <c r="G2081" s="533">
        <f>TRUNC(E2080*F2081,2)</f>
        <v>1.1399999999999999</v>
      </c>
      <c r="H2081" s="923"/>
    </row>
    <row r="2082" spans="1:8" ht="14.1" customHeight="1">
      <c r="A2082" s="919"/>
      <c r="B2082" s="919"/>
      <c r="C2082" s="919"/>
      <c r="D2082" s="919"/>
      <c r="E2082" s="919"/>
      <c r="F2082" s="498" t="s">
        <v>92</v>
      </c>
      <c r="G2082" s="533">
        <f>G2078+G2080</f>
        <v>6.57</v>
      </c>
      <c r="H2082" s="923"/>
    </row>
    <row r="2083" spans="1:8" ht="14.1" customHeight="1">
      <c r="A2083" s="919"/>
      <c r="B2083" s="919"/>
      <c r="C2083" s="919"/>
      <c r="D2083" s="919"/>
      <c r="E2083" s="919"/>
      <c r="F2083" s="498" t="s">
        <v>94</v>
      </c>
      <c r="G2083" s="533">
        <f>G2074+G2075+G2076+G2077+G2079+G2081</f>
        <v>13.760000000000002</v>
      </c>
      <c r="H2083" s="923"/>
    </row>
    <row r="2084" spans="1:8" ht="14.1" customHeight="1">
      <c r="A2084" s="495" t="s">
        <v>96</v>
      </c>
      <c r="B2084" s="923"/>
      <c r="C2084" s="919"/>
      <c r="D2084" s="919"/>
      <c r="E2084" s="919"/>
      <c r="F2084" s="498" t="s">
        <v>95</v>
      </c>
      <c r="G2084" s="534">
        <f>SUM(G2082:G2083)</f>
        <v>20.330000000000002</v>
      </c>
      <c r="H2084" s="923"/>
    </row>
    <row r="2085" spans="1:8" ht="14.1" customHeight="1">
      <c r="A2085" s="567" t="s">
        <v>97</v>
      </c>
      <c r="B2085" s="461">
        <f>G2084</f>
        <v>20.330000000000002</v>
      </c>
      <c r="C2085" s="923"/>
      <c r="D2085" s="923"/>
      <c r="E2085" s="923"/>
      <c r="F2085" s="134"/>
      <c r="G2085" s="134"/>
      <c r="H2085" s="923"/>
    </row>
    <row r="2086" spans="1:8" ht="14.1" customHeight="1">
      <c r="A2086" s="455" t="s">
        <v>1936</v>
      </c>
      <c r="B2086" s="454"/>
      <c r="C2086" s="923"/>
      <c r="D2086" s="923"/>
      <c r="E2086" s="923"/>
      <c r="F2086" s="134"/>
      <c r="G2086" s="134"/>
      <c r="H2086" s="923"/>
    </row>
    <row r="2087" spans="1:8" ht="14.1" customHeight="1">
      <c r="A2087" s="535" t="s">
        <v>1995</v>
      </c>
      <c r="B2087" s="454">
        <f>(B2085+B2086)*0.245</f>
        <v>4.9808500000000002</v>
      </c>
      <c r="C2087" s="923"/>
      <c r="D2087" s="923"/>
      <c r="E2087" s="923"/>
      <c r="F2087" s="134"/>
      <c r="G2087" s="134"/>
      <c r="H2087" s="923"/>
    </row>
    <row r="2088" spans="1:8" ht="14.1" customHeight="1">
      <c r="A2088" s="567" t="s">
        <v>98</v>
      </c>
      <c r="B2088" s="462">
        <f>SUM(B2085:B2087)</f>
        <v>25.310850000000002</v>
      </c>
      <c r="C2088" s="923"/>
      <c r="D2088" s="923"/>
      <c r="E2088" s="923"/>
      <c r="F2088" s="134"/>
      <c r="G2088" s="134"/>
      <c r="H2088" s="923"/>
    </row>
    <row r="2089" spans="1:8">
      <c r="A2089" s="429"/>
      <c r="B2089" s="430"/>
      <c r="C2089" s="431"/>
      <c r="D2089" s="429"/>
      <c r="E2089" s="430"/>
      <c r="F2089" s="430"/>
      <c r="G2089" s="430"/>
      <c r="H2089" s="429"/>
    </row>
    <row r="2091" spans="1:8">
      <c r="A2091" s="130" t="s">
        <v>653</v>
      </c>
    </row>
    <row r="2092" spans="1:8">
      <c r="A2092" s="954" t="s">
        <v>1918</v>
      </c>
      <c r="B2092" s="500"/>
      <c r="C2092" s="500"/>
      <c r="D2092" s="500"/>
      <c r="E2092" s="500"/>
      <c r="F2092" s="500"/>
      <c r="G2092" s="500"/>
      <c r="H2092" s="500"/>
    </row>
    <row r="2093" spans="1:8" ht="41.25" customHeight="1">
      <c r="A2093" s="568" t="s">
        <v>933</v>
      </c>
      <c r="B2093" s="1356" t="s">
        <v>1461</v>
      </c>
      <c r="C2093" s="1356"/>
      <c r="D2093" s="952" t="s">
        <v>346</v>
      </c>
      <c r="E2093" s="549"/>
      <c r="F2093" s="549"/>
      <c r="G2093" s="549"/>
      <c r="H2093" s="549"/>
    </row>
    <row r="2094" spans="1:8" ht="22.5">
      <c r="A2094" s="913" t="s">
        <v>30</v>
      </c>
      <c r="B2094" s="420" t="s">
        <v>19</v>
      </c>
      <c r="C2094" s="343" t="s">
        <v>82</v>
      </c>
      <c r="D2094" s="915" t="s">
        <v>79</v>
      </c>
      <c r="E2094" s="915" t="s">
        <v>83</v>
      </c>
      <c r="F2094" s="345" t="s">
        <v>84</v>
      </c>
      <c r="G2094" s="421" t="s">
        <v>85</v>
      </c>
    </row>
    <row r="2095" spans="1:8" ht="26.25" customHeight="1">
      <c r="A2095" s="540" t="s">
        <v>1916</v>
      </c>
      <c r="B2095" s="545" t="s">
        <v>1917</v>
      </c>
      <c r="C2095" s="921" t="s">
        <v>89</v>
      </c>
      <c r="D2095" s="921" t="s">
        <v>346</v>
      </c>
      <c r="E2095" s="953">
        <v>1.0389999999999999</v>
      </c>
      <c r="F2095" s="921">
        <v>12.32</v>
      </c>
      <c r="G2095" s="533">
        <f t="shared" ref="G2095" si="123">TRUNC(E2095*F2095,2)</f>
        <v>12.8</v>
      </c>
      <c r="H2095" s="923"/>
    </row>
    <row r="2096" spans="1:8" ht="14.1" customHeight="1">
      <c r="A2096" s="1444">
        <v>88248</v>
      </c>
      <c r="B2096" s="1329" t="s">
        <v>274</v>
      </c>
      <c r="C2096" s="921" t="s">
        <v>102</v>
      </c>
      <c r="D2096" s="1331" t="s">
        <v>345</v>
      </c>
      <c r="E2096" s="1331">
        <v>0.29699999999999999</v>
      </c>
      <c r="F2096" s="497">
        <f>'COMP AUX'!G321</f>
        <v>10.9</v>
      </c>
      <c r="G2096" s="533">
        <f>TRUNC(E2096*F2096,2)</f>
        <v>3.23</v>
      </c>
      <c r="H2096" s="923"/>
    </row>
    <row r="2097" spans="1:8" ht="14.1" customHeight="1">
      <c r="A2097" s="1309"/>
      <c r="B2097" s="1330"/>
      <c r="C2097" s="921" t="s">
        <v>89</v>
      </c>
      <c r="D2097" s="1332"/>
      <c r="E2097" s="1332"/>
      <c r="F2097" s="497">
        <f>'COMP AUX'!G322</f>
        <v>4.5600000000000005</v>
      </c>
      <c r="G2097" s="533">
        <f>TRUNC(E2096*F2097,2)</f>
        <v>1.35</v>
      </c>
      <c r="H2097" s="923"/>
    </row>
    <row r="2098" spans="1:8" ht="14.1" customHeight="1">
      <c r="A2098" s="1444">
        <v>88267</v>
      </c>
      <c r="B2098" s="1329" t="s">
        <v>245</v>
      </c>
      <c r="C2098" s="921" t="s">
        <v>102</v>
      </c>
      <c r="D2098" s="1331" t="s">
        <v>345</v>
      </c>
      <c r="E2098" s="1331">
        <v>0.29699999999999999</v>
      </c>
      <c r="F2098" s="497">
        <f>'COMP AUX'!G338</f>
        <v>15.41</v>
      </c>
      <c r="G2098" s="533">
        <f>TRUNC(E2098*F2098,2)</f>
        <v>4.57</v>
      </c>
      <c r="H2098" s="923"/>
    </row>
    <row r="2099" spans="1:8" ht="14.1" customHeight="1">
      <c r="A2099" s="1309"/>
      <c r="B2099" s="1342"/>
      <c r="C2099" s="921" t="s">
        <v>89</v>
      </c>
      <c r="D2099" s="1332"/>
      <c r="E2099" s="1332"/>
      <c r="F2099" s="497">
        <f>'COMP AUX'!G339</f>
        <v>4.5600000000000005</v>
      </c>
      <c r="G2099" s="533">
        <f>TRUNC(E2098*F2099,2)</f>
        <v>1.35</v>
      </c>
      <c r="H2099" s="923"/>
    </row>
    <row r="2100" spans="1:8" ht="14.1" customHeight="1">
      <c r="A2100" s="919"/>
      <c r="B2100" s="919"/>
      <c r="C2100" s="919"/>
      <c r="D2100" s="919"/>
      <c r="E2100" s="919"/>
      <c r="F2100" s="498" t="s">
        <v>92</v>
      </c>
      <c r="G2100" s="533">
        <f>G2096+G2098</f>
        <v>7.8000000000000007</v>
      </c>
      <c r="H2100" s="923"/>
    </row>
    <row r="2101" spans="1:8" ht="14.1" customHeight="1">
      <c r="A2101" s="919"/>
      <c r="B2101" s="919"/>
      <c r="C2101" s="919"/>
      <c r="D2101" s="919"/>
      <c r="E2101" s="919"/>
      <c r="F2101" s="498" t="s">
        <v>94</v>
      </c>
      <c r="G2101" s="496">
        <f>G2095+G2097+G2099</f>
        <v>15.5</v>
      </c>
      <c r="H2101" s="923"/>
    </row>
    <row r="2102" spans="1:8" ht="14.1" customHeight="1">
      <c r="A2102" s="495" t="s">
        <v>96</v>
      </c>
      <c r="B2102" s="923"/>
      <c r="C2102" s="919"/>
      <c r="D2102" s="919"/>
      <c r="E2102" s="919"/>
      <c r="F2102" s="498" t="s">
        <v>95</v>
      </c>
      <c r="G2102" s="534">
        <f>SUM(G2100:G2101)</f>
        <v>23.3</v>
      </c>
      <c r="H2102" s="923"/>
    </row>
    <row r="2103" spans="1:8" ht="14.1" customHeight="1">
      <c r="A2103" s="567" t="s">
        <v>97</v>
      </c>
      <c r="B2103" s="461">
        <f>G2102</f>
        <v>23.3</v>
      </c>
      <c r="C2103" s="923"/>
      <c r="D2103" s="923"/>
      <c r="E2103" s="923"/>
      <c r="F2103" s="134"/>
      <c r="G2103" s="134"/>
      <c r="H2103" s="923"/>
    </row>
    <row r="2104" spans="1:8" ht="14.1" customHeight="1">
      <c r="A2104" s="455" t="s">
        <v>1936</v>
      </c>
      <c r="B2104" s="454"/>
      <c r="C2104" s="923"/>
      <c r="D2104" s="923"/>
      <c r="E2104" s="923"/>
      <c r="F2104" s="134"/>
      <c r="G2104" s="134"/>
      <c r="H2104" s="923"/>
    </row>
    <row r="2105" spans="1:8" ht="14.1" customHeight="1">
      <c r="A2105" s="535" t="s">
        <v>1995</v>
      </c>
      <c r="B2105" s="454">
        <f>(B2103+B2104)*0.245</f>
        <v>5.7084999999999999</v>
      </c>
      <c r="C2105" s="923"/>
      <c r="D2105" s="923"/>
      <c r="E2105" s="923"/>
      <c r="F2105" s="134"/>
      <c r="G2105" s="134"/>
      <c r="H2105" s="923"/>
    </row>
    <row r="2106" spans="1:8" ht="14.1" customHeight="1">
      <c r="A2106" s="567" t="s">
        <v>98</v>
      </c>
      <c r="B2106" s="462">
        <f>SUM(B2103:B2105)</f>
        <v>29.008500000000002</v>
      </c>
      <c r="C2106" s="923"/>
      <c r="D2106" s="923"/>
      <c r="E2106" s="923"/>
      <c r="F2106" s="134"/>
      <c r="G2106" s="134"/>
      <c r="H2106" s="923"/>
    </row>
    <row r="2107" spans="1:8">
      <c r="A2107" s="429"/>
      <c r="B2107" s="430"/>
      <c r="C2107" s="431"/>
      <c r="D2107" s="429"/>
      <c r="E2107" s="430"/>
      <c r="F2107" s="430"/>
      <c r="G2107" s="430"/>
      <c r="H2107" s="429"/>
    </row>
    <row r="2109" spans="1:8">
      <c r="A2109" s="130" t="s">
        <v>653</v>
      </c>
    </row>
    <row r="2110" spans="1:8">
      <c r="A2110" s="1412" t="s">
        <v>2080</v>
      </c>
      <c r="B2110" s="1413"/>
      <c r="C2110" s="1413"/>
      <c r="D2110" s="1413"/>
      <c r="E2110" s="1413"/>
      <c r="F2110" s="1413"/>
      <c r="G2110" s="1413"/>
      <c r="H2110" s="1413"/>
    </row>
    <row r="2111" spans="1:8" ht="26.25" customHeight="1">
      <c r="A2111" s="568" t="s">
        <v>924</v>
      </c>
      <c r="B2111" s="1349" t="s">
        <v>2081</v>
      </c>
      <c r="C2111" s="1349"/>
      <c r="D2111" s="1044" t="s">
        <v>822</v>
      </c>
      <c r="E2111" s="549"/>
      <c r="F2111" s="549"/>
      <c r="G2111" s="549"/>
      <c r="H2111" s="549"/>
    </row>
    <row r="2112" spans="1:8" ht="22.5">
      <c r="A2112" s="415" t="s">
        <v>30</v>
      </c>
      <c r="B2112" s="420" t="s">
        <v>19</v>
      </c>
      <c r="C2112" s="343" t="s">
        <v>82</v>
      </c>
      <c r="D2112" s="556" t="s">
        <v>79</v>
      </c>
      <c r="E2112" s="556" t="s">
        <v>83</v>
      </c>
      <c r="F2112" s="345" t="s">
        <v>84</v>
      </c>
      <c r="G2112" s="421" t="s">
        <v>85</v>
      </c>
    </row>
    <row r="2113" spans="1:8" ht="22.5">
      <c r="A2113" s="540" t="s">
        <v>257</v>
      </c>
      <c r="B2113" s="545" t="s">
        <v>258</v>
      </c>
      <c r="C2113" s="555" t="s">
        <v>89</v>
      </c>
      <c r="D2113" s="555" t="s">
        <v>5</v>
      </c>
      <c r="E2113" s="555" t="s">
        <v>100</v>
      </c>
      <c r="F2113" s="555" t="s">
        <v>259</v>
      </c>
      <c r="G2113" s="533">
        <f t="shared" ref="G2113:G2118" si="124">TRUNC(E2113*F2113,2)</f>
        <v>5.05</v>
      </c>
      <c r="H2113" s="140"/>
    </row>
    <row r="2114" spans="1:8" ht="14.1" customHeight="1">
      <c r="A2114" s="540" t="s">
        <v>260</v>
      </c>
      <c r="B2114" s="545" t="s">
        <v>261</v>
      </c>
      <c r="C2114" s="555" t="s">
        <v>89</v>
      </c>
      <c r="D2114" s="555" t="s">
        <v>5</v>
      </c>
      <c r="E2114" s="555" t="s">
        <v>262</v>
      </c>
      <c r="F2114" s="555" t="s">
        <v>263</v>
      </c>
      <c r="G2114" s="533">
        <f t="shared" si="124"/>
        <v>0.18</v>
      </c>
      <c r="H2114" s="140"/>
    </row>
    <row r="2115" spans="1:8">
      <c r="A2115" s="540" t="s">
        <v>265</v>
      </c>
      <c r="B2115" s="545" t="s">
        <v>266</v>
      </c>
      <c r="C2115" s="555" t="s">
        <v>89</v>
      </c>
      <c r="D2115" s="555" t="s">
        <v>5</v>
      </c>
      <c r="E2115" s="555" t="s">
        <v>267</v>
      </c>
      <c r="F2115" s="555" t="s">
        <v>268</v>
      </c>
      <c r="G2115" s="533">
        <f t="shared" si="124"/>
        <v>0.24</v>
      </c>
      <c r="H2115" s="140"/>
    </row>
    <row r="2116" spans="1:8" ht="14.1" customHeight="1">
      <c r="A2116" s="540" t="s">
        <v>269</v>
      </c>
      <c r="B2116" s="545" t="s">
        <v>270</v>
      </c>
      <c r="C2116" s="555" t="s">
        <v>89</v>
      </c>
      <c r="D2116" s="555" t="s">
        <v>5</v>
      </c>
      <c r="E2116" s="555" t="s">
        <v>271</v>
      </c>
      <c r="F2116" s="555" t="s">
        <v>272</v>
      </c>
      <c r="G2116" s="533">
        <f t="shared" si="124"/>
        <v>0.02</v>
      </c>
      <c r="H2116" s="140"/>
    </row>
    <row r="2117" spans="1:8" ht="22.5">
      <c r="A2117" s="540" t="s">
        <v>273</v>
      </c>
      <c r="B2117" s="545" t="s">
        <v>274</v>
      </c>
      <c r="C2117" s="555" t="s">
        <v>104</v>
      </c>
      <c r="D2117" s="555" t="s">
        <v>103</v>
      </c>
      <c r="E2117" s="555" t="s">
        <v>248</v>
      </c>
      <c r="F2117" s="1280" t="s">
        <v>143</v>
      </c>
      <c r="G2117" s="533">
        <f t="shared" si="124"/>
        <v>0.82</v>
      </c>
      <c r="H2117" s="140"/>
    </row>
    <row r="2118" spans="1:8" ht="22.5">
      <c r="A2118" s="540" t="s">
        <v>244</v>
      </c>
      <c r="B2118" s="545" t="s">
        <v>245</v>
      </c>
      <c r="C2118" s="555" t="s">
        <v>104</v>
      </c>
      <c r="D2118" s="555" t="s">
        <v>103</v>
      </c>
      <c r="E2118" s="555" t="s">
        <v>248</v>
      </c>
      <c r="F2118" s="1280" t="s">
        <v>246</v>
      </c>
      <c r="G2118" s="533">
        <f t="shared" si="124"/>
        <v>0.98</v>
      </c>
      <c r="H2118" s="140"/>
    </row>
    <row r="2119" spans="1:8" ht="14.1" customHeight="1">
      <c r="A2119" s="553"/>
      <c r="B2119" s="553"/>
      <c r="C2119" s="553"/>
      <c r="D2119" s="553"/>
      <c r="E2119" s="553"/>
      <c r="F2119" s="498" t="s">
        <v>92</v>
      </c>
      <c r="G2119" s="533" t="s">
        <v>275</v>
      </c>
      <c r="H2119" s="140"/>
    </row>
    <row r="2120" spans="1:8" ht="14.1" customHeight="1">
      <c r="A2120" s="553"/>
      <c r="B2120" s="553"/>
      <c r="C2120" s="553"/>
      <c r="D2120" s="553"/>
      <c r="E2120" s="553"/>
      <c r="F2120" s="498" t="s">
        <v>94</v>
      </c>
      <c r="G2120" s="533" t="s">
        <v>276</v>
      </c>
      <c r="H2120" s="140"/>
    </row>
    <row r="2121" spans="1:8" ht="14.1" customHeight="1">
      <c r="A2121" s="495" t="s">
        <v>96</v>
      </c>
      <c r="B2121" s="547"/>
      <c r="C2121" s="553"/>
      <c r="D2121" s="553"/>
      <c r="E2121" s="553"/>
      <c r="F2121" s="498" t="s">
        <v>95</v>
      </c>
      <c r="G2121" s="533" t="s">
        <v>277</v>
      </c>
      <c r="H2121" s="140"/>
    </row>
    <row r="2122" spans="1:8" ht="14.1" customHeight="1">
      <c r="A2122" s="567" t="s">
        <v>97</v>
      </c>
      <c r="B2122" s="461" t="str">
        <f>G2121</f>
        <v>7,33</v>
      </c>
      <c r="C2122" s="140"/>
      <c r="D2122" s="140"/>
      <c r="E2122" s="140"/>
      <c r="F2122" s="134"/>
      <c r="G2122" s="134"/>
      <c r="H2122" s="140"/>
    </row>
    <row r="2123" spans="1:8" ht="14.1" customHeight="1">
      <c r="A2123" s="455" t="s">
        <v>1936</v>
      </c>
      <c r="B2123" s="454"/>
      <c r="C2123" s="140"/>
      <c r="D2123" s="140"/>
      <c r="E2123" s="140"/>
      <c r="F2123" s="134"/>
      <c r="G2123" s="134"/>
      <c r="H2123" s="140"/>
    </row>
    <row r="2124" spans="1:8" ht="14.1" customHeight="1">
      <c r="A2124" s="535" t="s">
        <v>1995</v>
      </c>
      <c r="B2124" s="454">
        <f>(B2122+B2123)*0.245</f>
        <v>1.7958499999999999</v>
      </c>
      <c r="C2124" s="140"/>
      <c r="D2124" s="140"/>
      <c r="E2124" s="140"/>
      <c r="F2124" s="134"/>
      <c r="G2124" s="134"/>
      <c r="H2124" s="140"/>
    </row>
    <row r="2125" spans="1:8" ht="14.1" customHeight="1">
      <c r="A2125" s="567" t="s">
        <v>98</v>
      </c>
      <c r="B2125" s="462">
        <f>SUM(B2122:B2124)</f>
        <v>1.7958499999999999</v>
      </c>
      <c r="C2125" s="140"/>
      <c r="D2125" s="140"/>
      <c r="E2125" s="140"/>
      <c r="F2125" s="134"/>
      <c r="G2125" s="134"/>
      <c r="H2125" s="140"/>
    </row>
    <row r="2126" spans="1:8">
      <c r="A2126" s="429"/>
      <c r="B2126" s="430"/>
      <c r="C2126" s="431"/>
      <c r="D2126" s="429"/>
      <c r="E2126" s="430"/>
      <c r="F2126" s="430"/>
      <c r="G2126" s="430"/>
      <c r="H2126" s="429"/>
    </row>
    <row r="2128" spans="1:8">
      <c r="A2128" s="130" t="s">
        <v>653</v>
      </c>
    </row>
    <row r="2129" spans="1:8">
      <c r="A2129" s="1423" t="s">
        <v>885</v>
      </c>
      <c r="B2129" s="1424"/>
      <c r="C2129" s="1424"/>
      <c r="D2129" s="1424"/>
      <c r="E2129" s="1424"/>
      <c r="F2129" s="1424"/>
      <c r="G2129" s="1424"/>
      <c r="H2129" s="1424"/>
    </row>
    <row r="2130" spans="1:8" ht="40.5" customHeight="1">
      <c r="A2130" s="1422" t="s">
        <v>311</v>
      </c>
      <c r="B2130" s="1422"/>
      <c r="C2130" s="1422"/>
      <c r="D2130" s="1422"/>
      <c r="E2130" s="528" t="s">
        <v>822</v>
      </c>
      <c r="F2130" s="468"/>
      <c r="G2130" s="468"/>
      <c r="H2130" s="468"/>
    </row>
    <row r="2131" spans="1:8" ht="22.5">
      <c r="A2131" s="415" t="s">
        <v>30</v>
      </c>
      <c r="B2131" s="420" t="s">
        <v>19</v>
      </c>
      <c r="C2131" s="343" t="s">
        <v>82</v>
      </c>
      <c r="D2131" s="556" t="s">
        <v>79</v>
      </c>
      <c r="E2131" s="556" t="s">
        <v>83</v>
      </c>
      <c r="F2131" s="345" t="s">
        <v>84</v>
      </c>
      <c r="G2131" s="421" t="s">
        <v>85</v>
      </c>
      <c r="H2131" s="141"/>
    </row>
    <row r="2132" spans="1:8">
      <c r="A2132" s="764">
        <v>34</v>
      </c>
      <c r="B2132" s="543" t="s">
        <v>756</v>
      </c>
      <c r="C2132" s="554" t="s">
        <v>89</v>
      </c>
      <c r="D2132" s="554" t="s">
        <v>685</v>
      </c>
      <c r="E2132" s="486">
        <v>8</v>
      </c>
      <c r="F2132" s="554">
        <v>4.2699999999999996</v>
      </c>
      <c r="G2132" s="476">
        <f t="shared" ref="G2132:G2144" si="125">TRUNC(E2132*F2132,2)</f>
        <v>34.159999999999997</v>
      </c>
      <c r="H2132" s="141"/>
    </row>
    <row r="2133" spans="1:8" ht="24" customHeight="1">
      <c r="A2133" s="764">
        <v>3992</v>
      </c>
      <c r="B2133" s="543" t="s">
        <v>394</v>
      </c>
      <c r="C2133" s="554" t="s">
        <v>89</v>
      </c>
      <c r="D2133" s="554" t="s">
        <v>346</v>
      </c>
      <c r="E2133" s="486">
        <v>0.6</v>
      </c>
      <c r="F2133" s="554">
        <v>8.68</v>
      </c>
      <c r="G2133" s="476">
        <f t="shared" si="125"/>
        <v>5.2</v>
      </c>
      <c r="H2133" s="141"/>
    </row>
    <row r="2134" spans="1:8">
      <c r="A2134" s="764">
        <v>5075</v>
      </c>
      <c r="B2134" s="543" t="s">
        <v>119</v>
      </c>
      <c r="C2134" s="554" t="s">
        <v>89</v>
      </c>
      <c r="D2134" s="554" t="s">
        <v>685</v>
      </c>
      <c r="E2134" s="554" t="s">
        <v>264</v>
      </c>
      <c r="F2134" s="554">
        <v>9.15</v>
      </c>
      <c r="G2134" s="476">
        <f t="shared" si="125"/>
        <v>1.64</v>
      </c>
      <c r="H2134" s="141"/>
    </row>
    <row r="2135" spans="1:8" ht="14.1" customHeight="1">
      <c r="A2135" s="764">
        <v>7258</v>
      </c>
      <c r="B2135" s="543" t="s">
        <v>1975</v>
      </c>
      <c r="C2135" s="554" t="s">
        <v>89</v>
      </c>
      <c r="D2135" s="554" t="s">
        <v>5</v>
      </c>
      <c r="E2135" s="554" t="s">
        <v>278</v>
      </c>
      <c r="F2135" s="554">
        <v>0.33</v>
      </c>
      <c r="G2135" s="476">
        <f t="shared" si="125"/>
        <v>260.7</v>
      </c>
      <c r="H2135" s="141"/>
    </row>
    <row r="2136" spans="1:8">
      <c r="A2136" s="541" t="s">
        <v>279</v>
      </c>
      <c r="B2136" s="543" t="s">
        <v>280</v>
      </c>
      <c r="C2136" s="554" t="s">
        <v>104</v>
      </c>
      <c r="D2136" s="554" t="s">
        <v>107</v>
      </c>
      <c r="E2136" s="554" t="s">
        <v>250</v>
      </c>
      <c r="F2136" s="678" t="s">
        <v>281</v>
      </c>
      <c r="G2136" s="476">
        <f t="shared" si="125"/>
        <v>76.540000000000006</v>
      </c>
      <c r="H2136" s="141"/>
    </row>
    <row r="2137" spans="1:8" ht="14.1" customHeight="1">
      <c r="A2137" s="541" t="s">
        <v>282</v>
      </c>
      <c r="B2137" s="543" t="s">
        <v>283</v>
      </c>
      <c r="C2137" s="554" t="s">
        <v>104</v>
      </c>
      <c r="D2137" s="554" t="s">
        <v>107</v>
      </c>
      <c r="E2137" s="554" t="s">
        <v>284</v>
      </c>
      <c r="F2137" s="678" t="s">
        <v>285</v>
      </c>
      <c r="G2137" s="476">
        <f t="shared" si="125"/>
        <v>7.03</v>
      </c>
      <c r="H2137" s="141"/>
    </row>
    <row r="2138" spans="1:8" ht="14.1" customHeight="1">
      <c r="A2138" s="541" t="s">
        <v>286</v>
      </c>
      <c r="B2138" s="543" t="s">
        <v>287</v>
      </c>
      <c r="C2138" s="554" t="s">
        <v>104</v>
      </c>
      <c r="D2138" s="554" t="s">
        <v>107</v>
      </c>
      <c r="E2138" s="554" t="s">
        <v>288</v>
      </c>
      <c r="F2138" s="678" t="s">
        <v>289</v>
      </c>
      <c r="G2138" s="476">
        <f t="shared" si="125"/>
        <v>15.12</v>
      </c>
      <c r="H2138" s="141"/>
    </row>
    <row r="2139" spans="1:8" ht="14.1" customHeight="1">
      <c r="A2139" s="541" t="s">
        <v>290</v>
      </c>
      <c r="B2139" s="543" t="s">
        <v>291</v>
      </c>
      <c r="C2139" s="554" t="s">
        <v>104</v>
      </c>
      <c r="D2139" s="554" t="s">
        <v>107</v>
      </c>
      <c r="E2139" s="554" t="s">
        <v>292</v>
      </c>
      <c r="F2139" s="678" t="s">
        <v>293</v>
      </c>
      <c r="G2139" s="476">
        <f t="shared" si="125"/>
        <v>22.81</v>
      </c>
      <c r="H2139" s="141"/>
    </row>
    <row r="2140" spans="1:8" ht="14.1" customHeight="1">
      <c r="A2140" s="541" t="s">
        <v>294</v>
      </c>
      <c r="B2140" s="543" t="s">
        <v>295</v>
      </c>
      <c r="C2140" s="554" t="s">
        <v>104</v>
      </c>
      <c r="D2140" s="554" t="s">
        <v>107</v>
      </c>
      <c r="E2140" s="554" t="s">
        <v>292</v>
      </c>
      <c r="F2140" s="678" t="s">
        <v>296</v>
      </c>
      <c r="G2140" s="476">
        <f t="shared" si="125"/>
        <v>21.07</v>
      </c>
      <c r="H2140" s="141"/>
    </row>
    <row r="2141" spans="1:8" ht="14.1" customHeight="1">
      <c r="A2141" s="541" t="s">
        <v>297</v>
      </c>
      <c r="B2141" s="543" t="s">
        <v>298</v>
      </c>
      <c r="C2141" s="554" t="s">
        <v>104</v>
      </c>
      <c r="D2141" s="554" t="s">
        <v>107</v>
      </c>
      <c r="E2141" s="554" t="s">
        <v>299</v>
      </c>
      <c r="F2141" s="678" t="s">
        <v>300</v>
      </c>
      <c r="G2141" s="476">
        <f t="shared" si="125"/>
        <v>25.94</v>
      </c>
      <c r="H2141" s="141"/>
    </row>
    <row r="2142" spans="1:8" ht="14.1" customHeight="1">
      <c r="A2142" s="541" t="s">
        <v>301</v>
      </c>
      <c r="B2142" s="543" t="s">
        <v>302</v>
      </c>
      <c r="C2142" s="554" t="s">
        <v>104</v>
      </c>
      <c r="D2142" s="554" t="s">
        <v>99</v>
      </c>
      <c r="E2142" s="554" t="s">
        <v>303</v>
      </c>
      <c r="F2142" s="678" t="s">
        <v>304</v>
      </c>
      <c r="G2142" s="476">
        <f t="shared" si="125"/>
        <v>59.47</v>
      </c>
      <c r="H2142" s="141"/>
    </row>
    <row r="2143" spans="1:8" ht="22.5">
      <c r="A2143" s="541" t="s">
        <v>305</v>
      </c>
      <c r="B2143" s="543" t="s">
        <v>306</v>
      </c>
      <c r="C2143" s="554" t="s">
        <v>102</v>
      </c>
      <c r="D2143" s="554" t="s">
        <v>103</v>
      </c>
      <c r="E2143" s="554" t="s">
        <v>307</v>
      </c>
      <c r="F2143" s="678" t="s">
        <v>134</v>
      </c>
      <c r="G2143" s="476">
        <f t="shared" si="125"/>
        <v>139.43</v>
      </c>
      <c r="H2143" s="141"/>
    </row>
    <row r="2144" spans="1:8" ht="22.5">
      <c r="A2144" s="541" t="s">
        <v>141</v>
      </c>
      <c r="B2144" s="543" t="s">
        <v>142</v>
      </c>
      <c r="C2144" s="554" t="s">
        <v>102</v>
      </c>
      <c r="D2144" s="554" t="s">
        <v>103</v>
      </c>
      <c r="E2144" s="554" t="s">
        <v>307</v>
      </c>
      <c r="F2144" s="678" t="s">
        <v>143</v>
      </c>
      <c r="G2144" s="476">
        <f t="shared" si="125"/>
        <v>100.89</v>
      </c>
      <c r="H2144" s="141"/>
    </row>
    <row r="2145" spans="1:8" ht="14.1" customHeight="1">
      <c r="A2145" s="141"/>
      <c r="B2145" s="141"/>
      <c r="C2145" s="141"/>
      <c r="D2145" s="141"/>
      <c r="E2145" s="141"/>
      <c r="F2145" s="494" t="s">
        <v>92</v>
      </c>
      <c r="G2145" s="476" t="s">
        <v>308</v>
      </c>
      <c r="H2145" s="141"/>
    </row>
    <row r="2146" spans="1:8" ht="14.1" customHeight="1">
      <c r="A2146" s="141"/>
      <c r="B2146" s="141"/>
      <c r="C2146" s="141"/>
      <c r="D2146" s="141"/>
      <c r="E2146" s="141"/>
      <c r="F2146" s="494" t="s">
        <v>94</v>
      </c>
      <c r="G2146" s="476" t="s">
        <v>309</v>
      </c>
      <c r="H2146" s="141"/>
    </row>
    <row r="2147" spans="1:8" ht="14.1" customHeight="1">
      <c r="A2147" s="495" t="s">
        <v>96</v>
      </c>
      <c r="B2147" s="547"/>
      <c r="C2147" s="141"/>
      <c r="D2147" s="141"/>
      <c r="E2147" s="141"/>
      <c r="F2147" s="494" t="s">
        <v>95</v>
      </c>
      <c r="G2147" s="476" t="s">
        <v>310</v>
      </c>
      <c r="H2147" s="141"/>
    </row>
    <row r="2148" spans="1:8" ht="14.1" customHeight="1">
      <c r="A2148" s="567" t="s">
        <v>97</v>
      </c>
      <c r="B2148" s="569" t="str">
        <f>G2147</f>
        <v>1.054,14</v>
      </c>
      <c r="C2148" s="141"/>
      <c r="D2148" s="1281"/>
      <c r="E2148" s="141"/>
      <c r="F2148" s="139"/>
      <c r="G2148" s="1282"/>
      <c r="H2148" s="141"/>
    </row>
    <row r="2149" spans="1:8" ht="14.1" customHeight="1">
      <c r="A2149" s="455" t="s">
        <v>1936</v>
      </c>
      <c r="B2149" s="1021"/>
      <c r="C2149" s="141"/>
      <c r="D2149" s="141"/>
      <c r="E2149" s="141"/>
      <c r="F2149" s="139"/>
      <c r="G2149" s="139"/>
      <c r="H2149" s="141"/>
    </row>
    <row r="2150" spans="1:8" ht="14.1" customHeight="1">
      <c r="A2150" s="535" t="s">
        <v>1995</v>
      </c>
      <c r="B2150" s="1021">
        <f>(B2148+B2149)*0.245</f>
        <v>258.26429999999999</v>
      </c>
      <c r="C2150" s="141"/>
      <c r="D2150" s="141"/>
      <c r="E2150" s="141"/>
      <c r="F2150" s="139"/>
      <c r="G2150" s="139"/>
      <c r="H2150" s="141"/>
    </row>
    <row r="2151" spans="1:8" ht="14.1" customHeight="1">
      <c r="A2151" s="567" t="s">
        <v>98</v>
      </c>
      <c r="B2151" s="570">
        <f>SUM(B2148:B2150)</f>
        <v>258.26429999999999</v>
      </c>
      <c r="C2151" s="141"/>
      <c r="D2151" s="141"/>
      <c r="E2151" s="141"/>
      <c r="F2151" s="139"/>
      <c r="G2151" s="139"/>
      <c r="H2151" s="141"/>
    </row>
    <row r="2152" spans="1:8">
      <c r="A2152" s="429"/>
      <c r="B2152" s="430"/>
      <c r="C2152" s="431"/>
      <c r="D2152" s="429"/>
      <c r="E2152" s="430"/>
      <c r="F2152" s="430"/>
      <c r="G2152" s="430"/>
      <c r="H2152" s="429"/>
    </row>
    <row r="2154" spans="1:8">
      <c r="A2154" s="130" t="s">
        <v>653</v>
      </c>
    </row>
    <row r="2155" spans="1:8">
      <c r="A2155" s="467" t="s">
        <v>312</v>
      </c>
      <c r="B2155" s="468"/>
      <c r="C2155" s="468"/>
      <c r="D2155" s="468"/>
      <c r="E2155" s="468"/>
      <c r="F2155" s="468"/>
      <c r="G2155" s="468"/>
      <c r="H2155" s="468"/>
    </row>
    <row r="2156" spans="1:8" ht="18" customHeight="1">
      <c r="A2156" s="550" t="s">
        <v>313</v>
      </c>
      <c r="B2156" s="551"/>
      <c r="C2156" s="505" t="s">
        <v>822</v>
      </c>
      <c r="D2156" s="468"/>
      <c r="E2156" s="468"/>
      <c r="F2156" s="468"/>
      <c r="G2156" s="468"/>
      <c r="H2156" s="468"/>
    </row>
    <row r="2157" spans="1:8" ht="22.5">
      <c r="A2157" s="415" t="s">
        <v>30</v>
      </c>
      <c r="B2157" s="420" t="s">
        <v>19</v>
      </c>
      <c r="C2157" s="343" t="s">
        <v>82</v>
      </c>
      <c r="D2157" s="556" t="s">
        <v>79</v>
      </c>
      <c r="E2157" s="556" t="s">
        <v>83</v>
      </c>
      <c r="F2157" s="345" t="s">
        <v>84</v>
      </c>
      <c r="G2157" s="421" t="s">
        <v>85</v>
      </c>
      <c r="H2157" s="141"/>
    </row>
    <row r="2158" spans="1:8">
      <c r="A2158" s="541" t="s">
        <v>314</v>
      </c>
      <c r="B2158" s="543" t="s">
        <v>315</v>
      </c>
      <c r="C2158" s="554" t="s">
        <v>89</v>
      </c>
      <c r="D2158" s="554" t="s">
        <v>107</v>
      </c>
      <c r="E2158" s="554" t="s">
        <v>316</v>
      </c>
      <c r="F2158" s="554">
        <v>41.23</v>
      </c>
      <c r="G2158" s="476">
        <f t="shared" ref="G2158:G2169" si="126">TRUNC(E2158*F2158,2)</f>
        <v>49.47</v>
      </c>
      <c r="H2158" s="141"/>
    </row>
    <row r="2159" spans="1:8">
      <c r="A2159" s="541" t="s">
        <v>317</v>
      </c>
      <c r="B2159" s="543" t="s">
        <v>318</v>
      </c>
      <c r="C2159" s="554" t="s">
        <v>89</v>
      </c>
      <c r="D2159" s="554" t="s">
        <v>99</v>
      </c>
      <c r="E2159" s="554" t="s">
        <v>319</v>
      </c>
      <c r="F2159" s="554">
        <v>3.13</v>
      </c>
      <c r="G2159" s="476">
        <f t="shared" si="126"/>
        <v>2</v>
      </c>
      <c r="H2159" s="141"/>
    </row>
    <row r="2160" spans="1:8" ht="22.5">
      <c r="A2160" s="541" t="s">
        <v>320</v>
      </c>
      <c r="B2160" s="543" t="s">
        <v>321</v>
      </c>
      <c r="C2160" s="554" t="s">
        <v>89</v>
      </c>
      <c r="D2160" s="554" t="s">
        <v>107</v>
      </c>
      <c r="E2160" s="554" t="s">
        <v>322</v>
      </c>
      <c r="F2160" s="554">
        <v>414.85</v>
      </c>
      <c r="G2160" s="476">
        <f t="shared" si="126"/>
        <v>26.55</v>
      </c>
      <c r="H2160" s="141"/>
    </row>
    <row r="2161" spans="1:8">
      <c r="A2161" s="541" t="s">
        <v>323</v>
      </c>
      <c r="B2161" s="543" t="s">
        <v>324</v>
      </c>
      <c r="C2161" s="554" t="s">
        <v>89</v>
      </c>
      <c r="D2161" s="554" t="s">
        <v>107</v>
      </c>
      <c r="E2161" s="554" t="s">
        <v>220</v>
      </c>
      <c r="F2161" s="554">
        <v>4.6399999999999997</v>
      </c>
      <c r="G2161" s="476">
        <f t="shared" si="126"/>
        <v>1.99</v>
      </c>
      <c r="H2161" s="141"/>
    </row>
    <row r="2162" spans="1:8">
      <c r="A2162" s="541" t="s">
        <v>325</v>
      </c>
      <c r="B2162" s="543" t="s">
        <v>326</v>
      </c>
      <c r="C2162" s="554" t="s">
        <v>89</v>
      </c>
      <c r="D2162" s="554" t="s">
        <v>107</v>
      </c>
      <c r="E2162" s="554">
        <v>0.98</v>
      </c>
      <c r="F2162" s="554">
        <v>508.49</v>
      </c>
      <c r="G2162" s="476">
        <f t="shared" si="126"/>
        <v>498.32</v>
      </c>
      <c r="H2162" s="141"/>
    </row>
    <row r="2163" spans="1:8">
      <c r="A2163" s="541" t="s">
        <v>327</v>
      </c>
      <c r="B2163" s="543" t="s">
        <v>328</v>
      </c>
      <c r="C2163" s="554" t="s">
        <v>89</v>
      </c>
      <c r="D2163" s="554" t="s">
        <v>99</v>
      </c>
      <c r="E2163" s="554" t="s">
        <v>329</v>
      </c>
      <c r="F2163" s="554">
        <v>8.0399999999999991</v>
      </c>
      <c r="G2163" s="476">
        <f t="shared" si="126"/>
        <v>21.22</v>
      </c>
      <c r="H2163" s="141"/>
    </row>
    <row r="2164" spans="1:8">
      <c r="A2164" s="541" t="s">
        <v>330</v>
      </c>
      <c r="B2164" s="543" t="s">
        <v>331</v>
      </c>
      <c r="C2164" s="554" t="s">
        <v>89</v>
      </c>
      <c r="D2164" s="554" t="s">
        <v>99</v>
      </c>
      <c r="E2164" s="554" t="s">
        <v>329</v>
      </c>
      <c r="F2164" s="554">
        <v>37.11</v>
      </c>
      <c r="G2164" s="476">
        <f t="shared" si="126"/>
        <v>97.97</v>
      </c>
      <c r="H2164" s="141"/>
    </row>
    <row r="2165" spans="1:8" ht="15" customHeight="1">
      <c r="A2165" s="541" t="s">
        <v>332</v>
      </c>
      <c r="B2165" s="543" t="s">
        <v>333</v>
      </c>
      <c r="C2165" s="554" t="s">
        <v>89</v>
      </c>
      <c r="D2165" s="554" t="s">
        <v>99</v>
      </c>
      <c r="E2165" s="554" t="s">
        <v>334</v>
      </c>
      <c r="F2165" s="554">
        <v>54.24</v>
      </c>
      <c r="G2165" s="476">
        <f t="shared" si="126"/>
        <v>182.24</v>
      </c>
      <c r="H2165" s="141"/>
    </row>
    <row r="2166" spans="1:8" ht="15" customHeight="1">
      <c r="A2166" s="541" t="s">
        <v>335</v>
      </c>
      <c r="B2166" s="543" t="s">
        <v>336</v>
      </c>
      <c r="C2166" s="554" t="s">
        <v>89</v>
      </c>
      <c r="D2166" s="554" t="s">
        <v>99</v>
      </c>
      <c r="E2166" s="554" t="s">
        <v>112</v>
      </c>
      <c r="F2166" s="486">
        <v>103.4</v>
      </c>
      <c r="G2166" s="476">
        <f t="shared" si="126"/>
        <v>82.72</v>
      </c>
      <c r="H2166" s="141"/>
    </row>
    <row r="2167" spans="1:8" ht="15" customHeight="1">
      <c r="A2167" s="541" t="s">
        <v>337</v>
      </c>
      <c r="B2167" s="543" t="s">
        <v>338</v>
      </c>
      <c r="C2167" s="554" t="s">
        <v>89</v>
      </c>
      <c r="D2167" s="554" t="s">
        <v>101</v>
      </c>
      <c r="E2167" s="554" t="s">
        <v>339</v>
      </c>
      <c r="F2167" s="554">
        <v>9.69</v>
      </c>
      <c r="G2167" s="476">
        <f t="shared" si="126"/>
        <v>12.4</v>
      </c>
      <c r="H2167" s="141"/>
    </row>
    <row r="2168" spans="1:8" ht="15" customHeight="1">
      <c r="A2168" s="541" t="s">
        <v>340</v>
      </c>
      <c r="B2168" s="543" t="s">
        <v>341</v>
      </c>
      <c r="C2168" s="554" t="s">
        <v>89</v>
      </c>
      <c r="D2168" s="554" t="s">
        <v>4</v>
      </c>
      <c r="E2168" s="554" t="s">
        <v>100</v>
      </c>
      <c r="F2168" s="486">
        <v>21.3</v>
      </c>
      <c r="G2168" s="476">
        <f t="shared" si="126"/>
        <v>21.3</v>
      </c>
      <c r="H2168" s="141"/>
    </row>
    <row r="2169" spans="1:8" ht="15" customHeight="1">
      <c r="A2169" s="541" t="s">
        <v>342</v>
      </c>
      <c r="B2169" s="543" t="s">
        <v>343</v>
      </c>
      <c r="C2169" s="554" t="s">
        <v>89</v>
      </c>
      <c r="D2169" s="554" t="s">
        <v>5</v>
      </c>
      <c r="E2169" s="554" t="s">
        <v>100</v>
      </c>
      <c r="F2169" s="554">
        <v>9.76</v>
      </c>
      <c r="G2169" s="476">
        <f t="shared" si="126"/>
        <v>9.76</v>
      </c>
      <c r="H2169" s="141"/>
    </row>
    <row r="2170" spans="1:8" ht="15" customHeight="1">
      <c r="A2170" s="551"/>
      <c r="B2170" s="551"/>
      <c r="C2170" s="551"/>
      <c r="D2170" s="551"/>
      <c r="E2170" s="551"/>
      <c r="F2170" s="494" t="s">
        <v>92</v>
      </c>
      <c r="G2170" s="537" t="s">
        <v>93</v>
      </c>
      <c r="H2170" s="141"/>
    </row>
    <row r="2171" spans="1:8" ht="15" customHeight="1">
      <c r="A2171" s="551"/>
      <c r="B2171" s="551"/>
      <c r="C2171" s="551"/>
      <c r="D2171" s="551"/>
      <c r="E2171" s="551"/>
      <c r="F2171" s="494" t="s">
        <v>94</v>
      </c>
      <c r="G2171" s="537" t="s">
        <v>93</v>
      </c>
      <c r="H2171" s="141"/>
    </row>
    <row r="2172" spans="1:8" ht="15" customHeight="1">
      <c r="A2172" s="495" t="s">
        <v>96</v>
      </c>
      <c r="B2172" s="141"/>
      <c r="C2172" s="141"/>
      <c r="D2172" s="141"/>
      <c r="E2172" s="141"/>
      <c r="F2172" s="494" t="s">
        <v>95</v>
      </c>
      <c r="G2172" s="571">
        <f>SUM(G2158:G2169)</f>
        <v>1005.9399999999999</v>
      </c>
      <c r="H2172" s="141"/>
    </row>
    <row r="2173" spans="1:8" ht="15" customHeight="1">
      <c r="A2173" s="567" t="s">
        <v>97</v>
      </c>
      <c r="B2173" s="569">
        <f>G2172</f>
        <v>1005.9399999999999</v>
      </c>
      <c r="C2173" s="141"/>
      <c r="D2173" s="141"/>
      <c r="E2173" s="141"/>
      <c r="F2173" s="139"/>
      <c r="G2173" s="139"/>
      <c r="H2173" s="141"/>
    </row>
    <row r="2174" spans="1:8" ht="15" customHeight="1">
      <c r="A2174" s="455" t="s">
        <v>1936</v>
      </c>
      <c r="B2174" s="454"/>
      <c r="C2174" s="141"/>
      <c r="D2174" s="141"/>
      <c r="E2174" s="141"/>
      <c r="F2174" s="139"/>
      <c r="G2174" s="139"/>
      <c r="H2174" s="141"/>
    </row>
    <row r="2175" spans="1:8" ht="15" customHeight="1">
      <c r="A2175" s="535" t="s">
        <v>1995</v>
      </c>
      <c r="B2175" s="454">
        <f>(B2173+B2174)*0.245</f>
        <v>246.45529999999999</v>
      </c>
      <c r="C2175" s="141"/>
      <c r="D2175" s="141"/>
      <c r="E2175" s="141"/>
      <c r="F2175" s="139"/>
      <c r="G2175" s="139"/>
      <c r="H2175" s="141"/>
    </row>
    <row r="2176" spans="1:8" ht="15" customHeight="1">
      <c r="A2176" s="567" t="s">
        <v>98</v>
      </c>
      <c r="B2176" s="570">
        <f>SUM(B2173:B2175)</f>
        <v>1252.3952999999999</v>
      </c>
      <c r="C2176" s="141"/>
      <c r="D2176" s="141"/>
      <c r="E2176" s="141"/>
      <c r="F2176" s="139"/>
      <c r="G2176" s="139"/>
      <c r="H2176" s="141"/>
    </row>
    <row r="2177" spans="1:8" ht="12" thickBot="1">
      <c r="A2177" s="572"/>
      <c r="B2177" s="572"/>
      <c r="C2177" s="573"/>
      <c r="D2177" s="572"/>
      <c r="E2177" s="574"/>
      <c r="F2177" s="574"/>
      <c r="G2177" s="574"/>
      <c r="H2177" s="429"/>
    </row>
    <row r="2178" spans="1:8" ht="12" customHeight="1"/>
    <row r="2179" spans="1:8" ht="12" customHeight="1">
      <c r="A2179" s="130" t="s">
        <v>653</v>
      </c>
    </row>
    <row r="2180" spans="1:8">
      <c r="A2180" s="1412" t="s">
        <v>347</v>
      </c>
      <c r="B2180" s="1413"/>
      <c r="C2180" s="1413"/>
      <c r="D2180" s="1413"/>
      <c r="E2180" s="1413"/>
      <c r="F2180" s="1413"/>
      <c r="G2180" s="1413"/>
      <c r="H2180" s="1413"/>
    </row>
    <row r="2181" spans="1:8" ht="18" customHeight="1">
      <c r="A2181" s="552" t="s">
        <v>348</v>
      </c>
      <c r="B2181" s="500"/>
      <c r="C2181" s="500"/>
      <c r="D2181" s="552" t="s">
        <v>822</v>
      </c>
      <c r="E2181" s="500"/>
      <c r="F2181" s="500"/>
      <c r="G2181" s="500"/>
      <c r="H2181" s="500"/>
    </row>
    <row r="2182" spans="1:8" ht="25.5" customHeight="1">
      <c r="A2182" s="415" t="s">
        <v>30</v>
      </c>
      <c r="B2182" s="420" t="s">
        <v>19</v>
      </c>
      <c r="C2182" s="343" t="s">
        <v>82</v>
      </c>
      <c r="D2182" s="556" t="s">
        <v>79</v>
      </c>
      <c r="E2182" s="556" t="s">
        <v>83</v>
      </c>
      <c r="F2182" s="345" t="s">
        <v>84</v>
      </c>
      <c r="G2182" s="421" t="s">
        <v>85</v>
      </c>
    </row>
    <row r="2183" spans="1:8" ht="14.1" customHeight="1">
      <c r="A2183" s="540" t="s">
        <v>349</v>
      </c>
      <c r="B2183" s="566" t="s">
        <v>350</v>
      </c>
      <c r="C2183" s="555" t="s">
        <v>102</v>
      </c>
      <c r="D2183" s="555" t="s">
        <v>103</v>
      </c>
      <c r="E2183" s="555" t="s">
        <v>126</v>
      </c>
      <c r="F2183" s="555" t="s">
        <v>351</v>
      </c>
      <c r="G2183" s="533">
        <f t="shared" ref="G2183:G2187" si="127">TRUNC(E2183*F2183,2)</f>
        <v>42.65</v>
      </c>
      <c r="H2183" s="140"/>
    </row>
    <row r="2184" spans="1:8" ht="14.1" customHeight="1">
      <c r="A2184" s="540" t="s">
        <v>352</v>
      </c>
      <c r="B2184" s="566" t="s">
        <v>353</v>
      </c>
      <c r="C2184" s="555" t="s">
        <v>102</v>
      </c>
      <c r="D2184" s="555" t="s">
        <v>103</v>
      </c>
      <c r="E2184" s="555" t="s">
        <v>126</v>
      </c>
      <c r="F2184" s="555" t="s">
        <v>125</v>
      </c>
      <c r="G2184" s="533">
        <f t="shared" si="127"/>
        <v>32.25</v>
      </c>
      <c r="H2184" s="140"/>
    </row>
    <row r="2185" spans="1:8" ht="14.1" customHeight="1">
      <c r="A2185" s="540" t="s">
        <v>354</v>
      </c>
      <c r="B2185" s="566" t="s">
        <v>355</v>
      </c>
      <c r="C2185" s="555" t="s">
        <v>89</v>
      </c>
      <c r="D2185" s="555" t="s">
        <v>1</v>
      </c>
      <c r="E2185" s="555" t="s">
        <v>100</v>
      </c>
      <c r="F2185" s="555" t="s">
        <v>356</v>
      </c>
      <c r="G2185" s="533">
        <f t="shared" si="127"/>
        <v>112.47</v>
      </c>
      <c r="H2185" s="140"/>
    </row>
    <row r="2186" spans="1:8" ht="14.1" customHeight="1">
      <c r="A2186" s="540" t="s">
        <v>357</v>
      </c>
      <c r="B2186" s="566" t="s">
        <v>358</v>
      </c>
      <c r="C2186" s="555" t="s">
        <v>89</v>
      </c>
      <c r="D2186" s="555" t="s">
        <v>5</v>
      </c>
      <c r="E2186" s="555" t="s">
        <v>100</v>
      </c>
      <c r="F2186" s="555" t="s">
        <v>359</v>
      </c>
      <c r="G2186" s="533">
        <f t="shared" si="127"/>
        <v>47.48</v>
      </c>
      <c r="H2186" s="140"/>
    </row>
    <row r="2187" spans="1:8" ht="14.1" customHeight="1">
      <c r="A2187" s="540" t="s">
        <v>360</v>
      </c>
      <c r="B2187" s="566" t="s">
        <v>361</v>
      </c>
      <c r="C2187" s="555" t="s">
        <v>89</v>
      </c>
      <c r="D2187" s="555" t="s">
        <v>5</v>
      </c>
      <c r="E2187" s="555" t="s">
        <v>100</v>
      </c>
      <c r="F2187" s="555" t="s">
        <v>362</v>
      </c>
      <c r="G2187" s="533">
        <f t="shared" si="127"/>
        <v>81.150000000000006</v>
      </c>
      <c r="H2187" s="140"/>
    </row>
    <row r="2188" spans="1:8" ht="14.1" customHeight="1">
      <c r="A2188" s="140"/>
      <c r="B2188" s="140"/>
      <c r="C2188" s="140"/>
      <c r="D2188" s="140"/>
      <c r="E2188" s="140"/>
      <c r="F2188" s="540" t="s">
        <v>92</v>
      </c>
      <c r="G2188" s="533" t="s">
        <v>363</v>
      </c>
      <c r="H2188" s="140"/>
    </row>
    <row r="2189" spans="1:8" ht="14.1" customHeight="1">
      <c r="A2189" s="140"/>
      <c r="B2189" s="140"/>
      <c r="C2189" s="140"/>
      <c r="D2189" s="140"/>
      <c r="E2189" s="140"/>
      <c r="F2189" s="540" t="s">
        <v>94</v>
      </c>
      <c r="G2189" s="533" t="s">
        <v>364</v>
      </c>
      <c r="H2189" s="140"/>
    </row>
    <row r="2190" spans="1:8" ht="14.1" customHeight="1">
      <c r="A2190" s="495" t="s">
        <v>96</v>
      </c>
      <c r="B2190" s="548"/>
      <c r="C2190" s="140"/>
      <c r="D2190" s="140"/>
      <c r="E2190" s="140"/>
      <c r="F2190" s="540" t="s">
        <v>95</v>
      </c>
      <c r="G2190" s="533" t="s">
        <v>365</v>
      </c>
      <c r="H2190" s="140"/>
    </row>
    <row r="2191" spans="1:8" ht="14.1" customHeight="1">
      <c r="A2191" s="567" t="s">
        <v>97</v>
      </c>
      <c r="B2191" s="569" t="str">
        <f>G2190</f>
        <v>316,00</v>
      </c>
      <c r="C2191" s="140"/>
      <c r="D2191" s="140"/>
      <c r="E2191" s="140"/>
      <c r="F2191" s="140"/>
      <c r="G2191" s="140"/>
      <c r="H2191" s="140"/>
    </row>
    <row r="2192" spans="1:8" ht="14.1" customHeight="1">
      <c r="A2192" s="455" t="s">
        <v>1936</v>
      </c>
      <c r="B2192" s="454"/>
      <c r="C2192" s="140"/>
      <c r="D2192" s="140"/>
      <c r="E2192" s="140"/>
      <c r="F2192" s="140"/>
      <c r="G2192" s="140"/>
      <c r="H2192" s="140"/>
    </row>
    <row r="2193" spans="1:8" ht="14.1" customHeight="1">
      <c r="A2193" s="535" t="s">
        <v>1995</v>
      </c>
      <c r="B2193" s="454">
        <f>(B2191+B2192)*0.245</f>
        <v>77.42</v>
      </c>
      <c r="C2193" s="140"/>
      <c r="D2193" s="140"/>
      <c r="E2193" s="140"/>
      <c r="F2193" s="140"/>
      <c r="G2193" s="140"/>
      <c r="H2193" s="140"/>
    </row>
    <row r="2194" spans="1:8" ht="14.1" customHeight="1">
      <c r="A2194" s="567" t="s">
        <v>98</v>
      </c>
      <c r="B2194" s="570">
        <f>SUM(B2191:B2193)</f>
        <v>77.42</v>
      </c>
      <c r="C2194" s="140"/>
      <c r="D2194" s="140"/>
      <c r="E2194" s="140"/>
      <c r="F2194" s="140"/>
      <c r="G2194" s="140"/>
      <c r="H2194" s="140"/>
    </row>
    <row r="2195" spans="1:8" ht="10.5" customHeight="1">
      <c r="A2195" s="575"/>
      <c r="B2195" s="576"/>
      <c r="C2195" s="501"/>
      <c r="D2195" s="501"/>
      <c r="E2195" s="501"/>
      <c r="F2195" s="501"/>
      <c r="G2195" s="501"/>
      <c r="H2195" s="501"/>
    </row>
    <row r="2196" spans="1:8">
      <c r="A2196" s="140"/>
      <c r="B2196" s="140"/>
      <c r="C2196" s="140"/>
      <c r="D2196" s="140"/>
      <c r="E2196" s="140"/>
      <c r="F2196" s="140"/>
      <c r="G2196" s="140"/>
      <c r="H2196" s="140"/>
    </row>
    <row r="2197" spans="1:8">
      <c r="A2197" s="146"/>
      <c r="B2197" s="146"/>
      <c r="C2197" s="147"/>
      <c r="D2197" s="1042"/>
      <c r="E2197" s="1042"/>
      <c r="F2197" s="390"/>
      <c r="G2197" s="390"/>
      <c r="H2197" s="1043"/>
    </row>
  </sheetData>
  <autoFilter ref="A1:A3073"/>
  <mergeCells count="1071">
    <mergeCell ref="A1169:A1170"/>
    <mergeCell ref="B1169:B1170"/>
    <mergeCell ref="D1169:D1170"/>
    <mergeCell ref="E1169:E1170"/>
    <mergeCell ref="E1167:E1168"/>
    <mergeCell ref="A1192:A1193"/>
    <mergeCell ref="B1192:B1193"/>
    <mergeCell ref="D1192:D1193"/>
    <mergeCell ref="E1192:E1193"/>
    <mergeCell ref="A1194:A1195"/>
    <mergeCell ref="B1194:B1195"/>
    <mergeCell ref="D1194:D1195"/>
    <mergeCell ref="E1194:E1195"/>
    <mergeCell ref="D1167:D1168"/>
    <mergeCell ref="B1167:B1168"/>
    <mergeCell ref="A1167:A1168"/>
    <mergeCell ref="A1109:A1110"/>
    <mergeCell ref="B1109:B1110"/>
    <mergeCell ref="D1109:D1110"/>
    <mergeCell ref="E1109:E1110"/>
    <mergeCell ref="A1147:A1148"/>
    <mergeCell ref="B1147:B1148"/>
    <mergeCell ref="D1147:D1148"/>
    <mergeCell ref="E1147:E1148"/>
    <mergeCell ref="D1165:D1166"/>
    <mergeCell ref="E1165:E1166"/>
    <mergeCell ref="E1171:E1172"/>
    <mergeCell ref="E1173:E1174"/>
    <mergeCell ref="B1190:D1190"/>
    <mergeCell ref="B1171:B1172"/>
    <mergeCell ref="A1171:A1172"/>
    <mergeCell ref="A1173:A1174"/>
    <mergeCell ref="B1247:D1247"/>
    <mergeCell ref="A1249:A1250"/>
    <mergeCell ref="B1249:B1250"/>
    <mergeCell ref="D1249:D1250"/>
    <mergeCell ref="E1249:E1250"/>
    <mergeCell ref="D1445:D1446"/>
    <mergeCell ref="B1455:B1456"/>
    <mergeCell ref="B1453:B1454"/>
    <mergeCell ref="B1451:B1452"/>
    <mergeCell ref="B1407:D1407"/>
    <mergeCell ref="A1310:A1311"/>
    <mergeCell ref="E1487:E1488"/>
    <mergeCell ref="D1430:D1431"/>
    <mergeCell ref="E1428:E1429"/>
    <mergeCell ref="E1430:E1431"/>
    <mergeCell ref="B1428:B1429"/>
    <mergeCell ref="B1364:B1365"/>
    <mergeCell ref="D1364:D1365"/>
    <mergeCell ref="D1374:D1375"/>
    <mergeCell ref="E1374:E1375"/>
    <mergeCell ref="D1366:D1367"/>
    <mergeCell ref="E1366:E1367"/>
    <mergeCell ref="D1372:D1373"/>
    <mergeCell ref="D1394:D1395"/>
    <mergeCell ref="A1337:A1338"/>
    <mergeCell ref="B1337:B1338"/>
    <mergeCell ref="D1337:D1338"/>
    <mergeCell ref="E1337:E1338"/>
    <mergeCell ref="B1327:D1327"/>
    <mergeCell ref="A1329:A1330"/>
    <mergeCell ref="B1329:B1330"/>
    <mergeCell ref="D1329:D1330"/>
    <mergeCell ref="E2096:E2097"/>
    <mergeCell ref="A2098:A2099"/>
    <mergeCell ref="A1251:A1252"/>
    <mergeCell ref="B1251:B1252"/>
    <mergeCell ref="D1251:D1252"/>
    <mergeCell ref="E1251:E1252"/>
    <mergeCell ref="A1149:A1150"/>
    <mergeCell ref="B1149:B1150"/>
    <mergeCell ref="D1149:D1150"/>
    <mergeCell ref="E1149:E1150"/>
    <mergeCell ref="D1229:D1230"/>
    <mergeCell ref="D1231:D1232"/>
    <mergeCell ref="E1231:E1232"/>
    <mergeCell ref="A1233:A1234"/>
    <mergeCell ref="B1233:B1234"/>
    <mergeCell ref="D1233:D1234"/>
    <mergeCell ref="E1233:E1234"/>
    <mergeCell ref="E2098:E2099"/>
    <mergeCell ref="A2071:H2071"/>
    <mergeCell ref="B2072:C2072"/>
    <mergeCell ref="B2078:B2079"/>
    <mergeCell ref="B2080:B2081"/>
    <mergeCell ref="E1502:E1503"/>
    <mergeCell ref="E1504:E1505"/>
    <mergeCell ref="B1485:B1486"/>
    <mergeCell ref="A1860:A1861"/>
    <mergeCell ref="B1860:B1861"/>
    <mergeCell ref="D1860:D1861"/>
    <mergeCell ref="B1163:C1163"/>
    <mergeCell ref="A1165:A1166"/>
    <mergeCell ref="B1735:B1736"/>
    <mergeCell ref="D1735:D1736"/>
    <mergeCell ref="B2111:C2111"/>
    <mergeCell ref="B1980:C1980"/>
    <mergeCell ref="A1816:A1817"/>
    <mergeCell ref="B1816:B1817"/>
    <mergeCell ref="D1816:D1817"/>
    <mergeCell ref="E1816:E1817"/>
    <mergeCell ref="A1818:A1819"/>
    <mergeCell ref="B1818:B1819"/>
    <mergeCell ref="D1818:D1819"/>
    <mergeCell ref="E1818:E1819"/>
    <mergeCell ref="B2098:B2099"/>
    <mergeCell ref="A1910:H1910"/>
    <mergeCell ref="B1911:D1911"/>
    <mergeCell ref="D1822:D1823"/>
    <mergeCell ref="A2055:A2056"/>
    <mergeCell ref="B2055:B2056"/>
    <mergeCell ref="D2055:D2056"/>
    <mergeCell ref="E2055:E2056"/>
    <mergeCell ref="A2017:A2018"/>
    <mergeCell ref="B2017:B2018"/>
    <mergeCell ref="D2017:D2018"/>
    <mergeCell ref="E2017:E2018"/>
    <mergeCell ref="B2032:B2033"/>
    <mergeCell ref="A2032:A2033"/>
    <mergeCell ref="E2032:E2033"/>
    <mergeCell ref="D2032:D2033"/>
    <mergeCell ref="A2034:A2035"/>
    <mergeCell ref="B2034:B2035"/>
    <mergeCell ref="B2093:C2093"/>
    <mergeCell ref="A2096:A2097"/>
    <mergeCell ref="B2096:B2097"/>
    <mergeCell ref="D2096:D2097"/>
    <mergeCell ref="D2098:D2099"/>
    <mergeCell ref="B1858:B1859"/>
    <mergeCell ref="D1856:D1857"/>
    <mergeCell ref="D1858:D1859"/>
    <mergeCell ref="E1856:E1857"/>
    <mergeCell ref="E1858:E1859"/>
    <mergeCell ref="B1213:B1214"/>
    <mergeCell ref="D1213:D1214"/>
    <mergeCell ref="E1213:E1214"/>
    <mergeCell ref="D1759:D1760"/>
    <mergeCell ref="E1759:E1760"/>
    <mergeCell ref="A1213:A1214"/>
    <mergeCell ref="A1747:H1747"/>
    <mergeCell ref="B1748:D1748"/>
    <mergeCell ref="A1757:A1758"/>
    <mergeCell ref="B1757:B1758"/>
    <mergeCell ref="B1449:B1450"/>
    <mergeCell ref="A1449:A1450"/>
    <mergeCell ref="A1451:A1452"/>
    <mergeCell ref="A1453:A1454"/>
    <mergeCell ref="A1455:A1456"/>
    <mergeCell ref="D1449:D1450"/>
    <mergeCell ref="D1451:D1452"/>
    <mergeCell ref="D1841:D1842"/>
    <mergeCell ref="A1428:A1429"/>
    <mergeCell ref="B1820:B1821"/>
    <mergeCell ref="A1820:A1821"/>
    <mergeCell ref="D1820:D1821"/>
    <mergeCell ref="E1860:E1861"/>
    <mergeCell ref="B1854:C1854"/>
    <mergeCell ref="B1856:B1857"/>
    <mergeCell ref="A1858:A1859"/>
    <mergeCell ref="E1735:E1736"/>
    <mergeCell ref="E1683:E1684"/>
    <mergeCell ref="A2080:A2081"/>
    <mergeCell ref="A2078:A2079"/>
    <mergeCell ref="E2078:E2079"/>
    <mergeCell ref="E2080:E2081"/>
    <mergeCell ref="D2078:D2079"/>
    <mergeCell ref="D2080:D2081"/>
    <mergeCell ref="A1934:H1934"/>
    <mergeCell ref="B1935:D1935"/>
    <mergeCell ref="A1939:A1940"/>
    <mergeCell ref="B1939:B1940"/>
    <mergeCell ref="D1939:D1940"/>
    <mergeCell ref="E1939:E1940"/>
    <mergeCell ref="A1941:A1942"/>
    <mergeCell ref="B1941:B1942"/>
    <mergeCell ref="D1941:D1942"/>
    <mergeCell ref="E1941:E1942"/>
    <mergeCell ref="A1921:A1922"/>
    <mergeCell ref="B1921:B1922"/>
    <mergeCell ref="D1921:D1922"/>
    <mergeCell ref="E1921:E1922"/>
    <mergeCell ref="D2034:D2035"/>
    <mergeCell ref="E2034:E2035"/>
    <mergeCell ref="A2053:A2054"/>
    <mergeCell ref="B2053:B2054"/>
    <mergeCell ref="D2053:D2054"/>
    <mergeCell ref="E2053:E2054"/>
    <mergeCell ref="B2015:B2016"/>
    <mergeCell ref="A2015:A2016"/>
    <mergeCell ref="D2015:D2016"/>
    <mergeCell ref="E2015:E2016"/>
    <mergeCell ref="E1794:E1795"/>
    <mergeCell ref="A1447:A1448"/>
    <mergeCell ref="D1447:D1448"/>
    <mergeCell ref="B1573:D1573"/>
    <mergeCell ref="A1593:A1594"/>
    <mergeCell ref="B1919:B1920"/>
    <mergeCell ref="A1919:A1920"/>
    <mergeCell ref="A1856:A1857"/>
    <mergeCell ref="E1445:E1446"/>
    <mergeCell ref="B1447:B1448"/>
    <mergeCell ref="D1919:D1920"/>
    <mergeCell ref="B1791:D1791"/>
    <mergeCell ref="A1796:A1797"/>
    <mergeCell ref="B1796:B1797"/>
    <mergeCell ref="D1796:D1797"/>
    <mergeCell ref="E1796:E1797"/>
    <mergeCell ref="B1577:B1578"/>
    <mergeCell ref="D1577:D1578"/>
    <mergeCell ref="E1577:E1578"/>
    <mergeCell ref="A1575:A1576"/>
    <mergeCell ref="B1575:B1576"/>
    <mergeCell ref="D1757:D1758"/>
    <mergeCell ref="E1757:E1758"/>
    <mergeCell ref="E1919:E1920"/>
    <mergeCell ref="D1895:D1896"/>
    <mergeCell ref="D1897:D1898"/>
    <mergeCell ref="E1895:E1896"/>
    <mergeCell ref="B1839:B1840"/>
    <mergeCell ref="D1839:D1840"/>
    <mergeCell ref="E1839:E1840"/>
    <mergeCell ref="E1485:E1486"/>
    <mergeCell ref="A1759:A1760"/>
    <mergeCell ref="B1794:B1795"/>
    <mergeCell ref="A1794:A1795"/>
    <mergeCell ref="D1794:D1795"/>
    <mergeCell ref="A1841:A1842"/>
    <mergeCell ref="B1841:B1842"/>
    <mergeCell ref="B1873:D1873"/>
    <mergeCell ref="B1897:B1898"/>
    <mergeCell ref="B1895:B1896"/>
    <mergeCell ref="A1895:A1896"/>
    <mergeCell ref="A1897:A1898"/>
    <mergeCell ref="B1680:D1680"/>
    <mergeCell ref="A1683:A1684"/>
    <mergeCell ref="B1683:B1684"/>
    <mergeCell ref="D1683:D1684"/>
    <mergeCell ref="A1699:A1700"/>
    <mergeCell ref="B1699:B1700"/>
    <mergeCell ref="D1699:D1700"/>
    <mergeCell ref="A1715:A1716"/>
    <mergeCell ref="B1715:B1716"/>
    <mergeCell ref="D1715:D1716"/>
    <mergeCell ref="B1759:B1760"/>
    <mergeCell ref="A1735:A1736"/>
    <mergeCell ref="E1329:E1330"/>
    <mergeCell ref="A1331:A1332"/>
    <mergeCell ref="B1331:B1332"/>
    <mergeCell ref="D1331:D1332"/>
    <mergeCell ref="E1331:E1332"/>
    <mergeCell ref="B1647:D1647"/>
    <mergeCell ref="D1649:D1650"/>
    <mergeCell ref="B1468:E1468"/>
    <mergeCell ref="B1445:B1446"/>
    <mergeCell ref="A1445:A1446"/>
    <mergeCell ref="B1412:B1413"/>
    <mergeCell ref="A1412:A1413"/>
    <mergeCell ref="D1455:D1456"/>
    <mergeCell ref="E1449:E1450"/>
    <mergeCell ref="E1451:E1452"/>
    <mergeCell ref="E1453:E1454"/>
    <mergeCell ref="B1504:B1505"/>
    <mergeCell ref="A1410:A1411"/>
    <mergeCell ref="B1410:B1411"/>
    <mergeCell ref="D1410:D1411"/>
    <mergeCell ref="D1412:D1413"/>
    <mergeCell ref="E1410:E1411"/>
    <mergeCell ref="E1412:E1413"/>
    <mergeCell ref="B1487:B1488"/>
    <mergeCell ref="D1485:D1486"/>
    <mergeCell ref="D1487:D1488"/>
    <mergeCell ref="D1502:D1503"/>
    <mergeCell ref="D1504:D1505"/>
    <mergeCell ref="A1629:A1630"/>
    <mergeCell ref="B1629:B1630"/>
    <mergeCell ref="D1629:D1630"/>
    <mergeCell ref="E1629:E1630"/>
    <mergeCell ref="A1053:A1054"/>
    <mergeCell ref="B1053:B1054"/>
    <mergeCell ref="D1053:D1054"/>
    <mergeCell ref="E1053:E1054"/>
    <mergeCell ref="A1069:A1070"/>
    <mergeCell ref="B1069:B1070"/>
    <mergeCell ref="D1069:D1070"/>
    <mergeCell ref="E1069:E1070"/>
    <mergeCell ref="A1071:A1072"/>
    <mergeCell ref="B1071:B1072"/>
    <mergeCell ref="D1071:D1072"/>
    <mergeCell ref="E1071:E1072"/>
    <mergeCell ref="A1035:A1036"/>
    <mergeCell ref="B1035:B1036"/>
    <mergeCell ref="D1035:D1036"/>
    <mergeCell ref="E1035:E1036"/>
    <mergeCell ref="D839:D840"/>
    <mergeCell ref="E839:E840"/>
    <mergeCell ref="A841:A842"/>
    <mergeCell ref="B841:B842"/>
    <mergeCell ref="D841:D842"/>
    <mergeCell ref="E841:E842"/>
    <mergeCell ref="E936:E937"/>
    <mergeCell ref="A938:A939"/>
    <mergeCell ref="B938:B939"/>
    <mergeCell ref="B1031:C1031"/>
    <mergeCell ref="A1051:A1052"/>
    <mergeCell ref="B960:B961"/>
    <mergeCell ref="D960:D961"/>
    <mergeCell ref="E960:E961"/>
    <mergeCell ref="E962:E963"/>
    <mergeCell ref="B962:B963"/>
    <mergeCell ref="B994:D994"/>
    <mergeCell ref="B975:D975"/>
    <mergeCell ref="A977:A978"/>
    <mergeCell ref="B977:B978"/>
    <mergeCell ref="D977:D978"/>
    <mergeCell ref="E977:E978"/>
    <mergeCell ref="B981:B982"/>
    <mergeCell ref="B936:B937"/>
    <mergeCell ref="D936:D937"/>
    <mergeCell ref="B979:B980"/>
    <mergeCell ref="A803:A804"/>
    <mergeCell ref="B803:B804"/>
    <mergeCell ref="D803:D804"/>
    <mergeCell ref="E803:E804"/>
    <mergeCell ref="A839:A840"/>
    <mergeCell ref="B839:B840"/>
    <mergeCell ref="A822:A823"/>
    <mergeCell ref="B822:B823"/>
    <mergeCell ref="D822:D823"/>
    <mergeCell ref="A860:A861"/>
    <mergeCell ref="A858:A859"/>
    <mergeCell ref="B858:B859"/>
    <mergeCell ref="A882:A883"/>
    <mergeCell ref="B882:B883"/>
    <mergeCell ref="D882:D883"/>
    <mergeCell ref="E958:E959"/>
    <mergeCell ref="B934:D934"/>
    <mergeCell ref="A936:A937"/>
    <mergeCell ref="E884:E885"/>
    <mergeCell ref="A901:A902"/>
    <mergeCell ref="B901:B902"/>
    <mergeCell ref="A423:A424"/>
    <mergeCell ref="B423:B424"/>
    <mergeCell ref="D423:D424"/>
    <mergeCell ref="E423:E424"/>
    <mergeCell ref="A407:A408"/>
    <mergeCell ref="B407:B408"/>
    <mergeCell ref="D407:D408"/>
    <mergeCell ref="E407:E408"/>
    <mergeCell ref="A405:A406"/>
    <mergeCell ref="B405:B406"/>
    <mergeCell ref="D405:D406"/>
    <mergeCell ref="D442:D443"/>
    <mergeCell ref="E442:E443"/>
    <mergeCell ref="A484:A485"/>
    <mergeCell ref="B484:B485"/>
    <mergeCell ref="D484:D485"/>
    <mergeCell ref="E484:E485"/>
    <mergeCell ref="A440:A441"/>
    <mergeCell ref="B442:B443"/>
    <mergeCell ref="A442:A443"/>
    <mergeCell ref="E440:E441"/>
    <mergeCell ref="E276:E277"/>
    <mergeCell ref="A274:A275"/>
    <mergeCell ref="B206:B207"/>
    <mergeCell ref="E244:E245"/>
    <mergeCell ref="E84:E85"/>
    <mergeCell ref="E82:E83"/>
    <mergeCell ref="B82:B83"/>
    <mergeCell ref="B84:B85"/>
    <mergeCell ref="A82:A83"/>
    <mergeCell ref="A84:A85"/>
    <mergeCell ref="D82:D83"/>
    <mergeCell ref="D84:D85"/>
    <mergeCell ref="A170:A171"/>
    <mergeCell ref="B170:B171"/>
    <mergeCell ref="D170:D171"/>
    <mergeCell ref="E170:E171"/>
    <mergeCell ref="A185:A186"/>
    <mergeCell ref="B185:B186"/>
    <mergeCell ref="D185:D186"/>
    <mergeCell ref="E185:E186"/>
    <mergeCell ref="E119:E120"/>
    <mergeCell ref="A102:A103"/>
    <mergeCell ref="B102:B103"/>
    <mergeCell ref="E259:E260"/>
    <mergeCell ref="B212:B213"/>
    <mergeCell ref="D212:D213"/>
    <mergeCell ref="A244:A245"/>
    <mergeCell ref="B244:B245"/>
    <mergeCell ref="D244:D245"/>
    <mergeCell ref="E212:E213"/>
    <mergeCell ref="A259:A260"/>
    <mergeCell ref="B259:B260"/>
    <mergeCell ref="D298:D299"/>
    <mergeCell ref="E298:E299"/>
    <mergeCell ref="A316:A317"/>
    <mergeCell ref="B289:D289"/>
    <mergeCell ref="A292:A293"/>
    <mergeCell ref="A136:A137"/>
    <mergeCell ref="B136:B137"/>
    <mergeCell ref="D136:D137"/>
    <mergeCell ref="E136:E137"/>
    <mergeCell ref="A138:A139"/>
    <mergeCell ref="B138:B139"/>
    <mergeCell ref="D138:D139"/>
    <mergeCell ref="E138:E139"/>
    <mergeCell ref="A153:A154"/>
    <mergeCell ref="B153:B154"/>
    <mergeCell ref="D153:D154"/>
    <mergeCell ref="E153:E154"/>
    <mergeCell ref="A155:A156"/>
    <mergeCell ref="B155:B156"/>
    <mergeCell ref="D155:D156"/>
    <mergeCell ref="E155:E156"/>
    <mergeCell ref="A227:A228"/>
    <mergeCell ref="B227:B228"/>
    <mergeCell ref="D227:D228"/>
    <mergeCell ref="E227:E228"/>
    <mergeCell ref="B210:B211"/>
    <mergeCell ref="B274:B275"/>
    <mergeCell ref="D274:D275"/>
    <mergeCell ref="E274:E275"/>
    <mergeCell ref="A276:A277"/>
    <mergeCell ref="B276:B277"/>
    <mergeCell ref="D276:D277"/>
    <mergeCell ref="A355:A356"/>
    <mergeCell ref="B355:B356"/>
    <mergeCell ref="D355:D356"/>
    <mergeCell ref="E355:E356"/>
    <mergeCell ref="A499:A500"/>
    <mergeCell ref="E1447:E1448"/>
    <mergeCell ref="E1897:E1898"/>
    <mergeCell ref="A296:A297"/>
    <mergeCell ref="B296:B297"/>
    <mergeCell ref="B292:B293"/>
    <mergeCell ref="D292:D293"/>
    <mergeCell ref="E292:E293"/>
    <mergeCell ref="A294:A295"/>
    <mergeCell ref="B294:B295"/>
    <mergeCell ref="D294:D295"/>
    <mergeCell ref="E294:E295"/>
    <mergeCell ref="B316:B317"/>
    <mergeCell ref="D316:D317"/>
    <mergeCell ref="E316:E317"/>
    <mergeCell ref="A318:A319"/>
    <mergeCell ref="B318:B319"/>
    <mergeCell ref="D318:D319"/>
    <mergeCell ref="E318:E319"/>
    <mergeCell ref="A320:A321"/>
    <mergeCell ref="B320:B321"/>
    <mergeCell ref="D296:D297"/>
    <mergeCell ref="E296:E297"/>
    <mergeCell ref="A298:A299"/>
    <mergeCell ref="B298:B299"/>
    <mergeCell ref="A1834:H1834"/>
    <mergeCell ref="A1839:A1840"/>
    <mergeCell ref="E1370:E1371"/>
    <mergeCell ref="B1664:D1664"/>
    <mergeCell ref="A1539:A1540"/>
    <mergeCell ref="B1539:B1540"/>
    <mergeCell ref="D1539:D1540"/>
    <mergeCell ref="E1539:E1540"/>
    <mergeCell ref="A1541:A1542"/>
    <mergeCell ref="B1541:B1542"/>
    <mergeCell ref="D1541:D1542"/>
    <mergeCell ref="E1541:E1542"/>
    <mergeCell ref="A1543:A1544"/>
    <mergeCell ref="B1543:B1544"/>
    <mergeCell ref="D1543:D1544"/>
    <mergeCell ref="B1728:C1728"/>
    <mergeCell ref="A1733:A1734"/>
    <mergeCell ref="B1733:B1734"/>
    <mergeCell ref="D1733:D1734"/>
    <mergeCell ref="E1733:E1734"/>
    <mergeCell ref="E1699:E1700"/>
    <mergeCell ref="E1715:E1716"/>
    <mergeCell ref="A1559:A1560"/>
    <mergeCell ref="B1559:B1560"/>
    <mergeCell ref="D1559:D1560"/>
    <mergeCell ref="E1559:E1560"/>
    <mergeCell ref="A1577:A1578"/>
    <mergeCell ref="D1575:D1576"/>
    <mergeCell ref="E1575:E1576"/>
    <mergeCell ref="D1613:D1614"/>
    <mergeCell ref="D1631:D1632"/>
    <mergeCell ref="E1631:E1632"/>
    <mergeCell ref="D1651:D1652"/>
    <mergeCell ref="E1649:E1650"/>
    <mergeCell ref="E1651:E1652"/>
    <mergeCell ref="A1631:A1632"/>
    <mergeCell ref="B1631:B1632"/>
    <mergeCell ref="A1613:A1614"/>
    <mergeCell ref="E1394:E1395"/>
    <mergeCell ref="A1372:A1373"/>
    <mergeCell ref="B1372:B1373"/>
    <mergeCell ref="E1372:E1373"/>
    <mergeCell ref="A1370:A1371"/>
    <mergeCell ref="B1370:B1371"/>
    <mergeCell ref="D1370:D1371"/>
    <mergeCell ref="A1376:A1377"/>
    <mergeCell ref="B1376:B1377"/>
    <mergeCell ref="D1376:D1377"/>
    <mergeCell ref="A1392:A1393"/>
    <mergeCell ref="B1392:B1393"/>
    <mergeCell ref="D1392:D1393"/>
    <mergeCell ref="E1392:E1393"/>
    <mergeCell ref="A1394:A1395"/>
    <mergeCell ref="B1394:B1395"/>
    <mergeCell ref="A1374:A1375"/>
    <mergeCell ref="B1374:B1375"/>
    <mergeCell ref="A1368:A1369"/>
    <mergeCell ref="B1368:B1369"/>
    <mergeCell ref="E1376:E1377"/>
    <mergeCell ref="A1339:A1340"/>
    <mergeCell ref="B1339:B1340"/>
    <mergeCell ref="D1339:D1340"/>
    <mergeCell ref="E1339:E1340"/>
    <mergeCell ref="A1341:A1342"/>
    <mergeCell ref="B1341:B1342"/>
    <mergeCell ref="D1341:D1342"/>
    <mergeCell ref="E1341:E1342"/>
    <mergeCell ref="A1345:A1346"/>
    <mergeCell ref="B1345:B1346"/>
    <mergeCell ref="D1368:D1369"/>
    <mergeCell ref="E1368:E1369"/>
    <mergeCell ref="E1364:E1365"/>
    <mergeCell ref="A1366:A1367"/>
    <mergeCell ref="B1366:B1367"/>
    <mergeCell ref="D1343:D1344"/>
    <mergeCell ref="E1343:E1344"/>
    <mergeCell ref="A1343:A1344"/>
    <mergeCell ref="B1343:B1344"/>
    <mergeCell ref="B1358:D1358"/>
    <mergeCell ref="A1360:A1361"/>
    <mergeCell ref="B1360:B1361"/>
    <mergeCell ref="D1360:D1361"/>
    <mergeCell ref="E1360:E1361"/>
    <mergeCell ref="A1362:A1363"/>
    <mergeCell ref="B1362:B1363"/>
    <mergeCell ref="D1362:D1363"/>
    <mergeCell ref="E1362:E1363"/>
    <mergeCell ref="A1364:A1365"/>
    <mergeCell ref="A1335:A1336"/>
    <mergeCell ref="B1335:B1336"/>
    <mergeCell ref="B1310:B1311"/>
    <mergeCell ref="A1314:A1315"/>
    <mergeCell ref="B1314:B1315"/>
    <mergeCell ref="D1314:D1315"/>
    <mergeCell ref="E1314:E1315"/>
    <mergeCell ref="E1335:E1336"/>
    <mergeCell ref="D1310:D1311"/>
    <mergeCell ref="E1310:E1311"/>
    <mergeCell ref="A1312:A1313"/>
    <mergeCell ref="A1091:A1092"/>
    <mergeCell ref="B1091:B1092"/>
    <mergeCell ref="D1091:D1092"/>
    <mergeCell ref="E1091:E1092"/>
    <mergeCell ref="D1130:D1131"/>
    <mergeCell ref="E1130:E1131"/>
    <mergeCell ref="B1126:C1126"/>
    <mergeCell ref="B1165:B1166"/>
    <mergeCell ref="A1107:A1108"/>
    <mergeCell ref="B1107:B1108"/>
    <mergeCell ref="D1107:D1108"/>
    <mergeCell ref="E1107:E1108"/>
    <mergeCell ref="E1229:E1230"/>
    <mergeCell ref="B1227:D1227"/>
    <mergeCell ref="A1229:A1230"/>
    <mergeCell ref="B1229:B1230"/>
    <mergeCell ref="A1231:A1232"/>
    <mergeCell ref="B1231:B1232"/>
    <mergeCell ref="B1173:B1174"/>
    <mergeCell ref="D1171:D1172"/>
    <mergeCell ref="D1173:D1174"/>
    <mergeCell ref="A1277:A1278"/>
    <mergeCell ref="A1283:A1284"/>
    <mergeCell ref="D1277:D1278"/>
    <mergeCell ref="D1279:D1280"/>
    <mergeCell ref="B1298:B1299"/>
    <mergeCell ref="D661:D662"/>
    <mergeCell ref="E661:E662"/>
    <mergeCell ref="A663:A664"/>
    <mergeCell ref="B663:B664"/>
    <mergeCell ref="D663:D664"/>
    <mergeCell ref="E663:E664"/>
    <mergeCell ref="A643:A644"/>
    <mergeCell ref="B643:B644"/>
    <mergeCell ref="B1051:B1052"/>
    <mergeCell ref="A587:A588"/>
    <mergeCell ref="A589:A590"/>
    <mergeCell ref="E867:E868"/>
    <mergeCell ref="E587:E588"/>
    <mergeCell ref="E589:E590"/>
    <mergeCell ref="B1089:B1090"/>
    <mergeCell ref="D1089:D1090"/>
    <mergeCell ref="E1089:E1090"/>
    <mergeCell ref="A1128:A1129"/>
    <mergeCell ref="B1128:B1129"/>
    <mergeCell ref="D1128:D1129"/>
    <mergeCell ref="E1128:E1129"/>
    <mergeCell ref="A1130:A1131"/>
    <mergeCell ref="B1130:B1131"/>
    <mergeCell ref="D938:D939"/>
    <mergeCell ref="E938:E939"/>
    <mergeCell ref="A996:A997"/>
    <mergeCell ref="B996:B997"/>
    <mergeCell ref="A501:A502"/>
    <mergeCell ref="B501:B502"/>
    <mergeCell ref="A480:A481"/>
    <mergeCell ref="B480:B481"/>
    <mergeCell ref="D480:D481"/>
    <mergeCell ref="E480:E481"/>
    <mergeCell ref="A482:A483"/>
    <mergeCell ref="B482:B483"/>
    <mergeCell ref="D482:D483"/>
    <mergeCell ref="A521:A522"/>
    <mergeCell ref="B521:B522"/>
    <mergeCell ref="B499:B500"/>
    <mergeCell ref="D499:D500"/>
    <mergeCell ref="E499:E500"/>
    <mergeCell ref="D862:D863"/>
    <mergeCell ref="B862:B863"/>
    <mergeCell ref="E1304:E1305"/>
    <mergeCell ref="A862:A863"/>
    <mergeCell ref="E563:E564"/>
    <mergeCell ref="E1283:E1284"/>
    <mergeCell ref="D981:D982"/>
    <mergeCell ref="E981:E982"/>
    <mergeCell ref="E1300:E1301"/>
    <mergeCell ref="A545:A546"/>
    <mergeCell ref="B661:B662"/>
    <mergeCell ref="E521:E522"/>
    <mergeCell ref="B1279:B1280"/>
    <mergeCell ref="E1277:E1278"/>
    <mergeCell ref="E1279:E1280"/>
    <mergeCell ref="D1298:D1299"/>
    <mergeCell ref="E1298:E1299"/>
    <mergeCell ref="B1281:B1282"/>
    <mergeCell ref="A1306:A1307"/>
    <mergeCell ref="B1306:B1307"/>
    <mergeCell ref="D1306:D1307"/>
    <mergeCell ref="E1306:E1307"/>
    <mergeCell ref="B1013:D1013"/>
    <mergeCell ref="A1015:A1016"/>
    <mergeCell ref="B1015:B1016"/>
    <mergeCell ref="D1015:D1016"/>
    <mergeCell ref="E1015:E1016"/>
    <mergeCell ref="A1017:A1018"/>
    <mergeCell ref="A1308:A1309"/>
    <mergeCell ref="B1308:B1309"/>
    <mergeCell ref="A1089:A1090"/>
    <mergeCell ref="A2130:D2130"/>
    <mergeCell ref="A2050:H2050"/>
    <mergeCell ref="A2029:H2029"/>
    <mergeCell ref="A1499:H1499"/>
    <mergeCell ref="A1467:H1467"/>
    <mergeCell ref="D1312:D1313"/>
    <mergeCell ref="E1312:E1313"/>
    <mergeCell ref="A1333:A1334"/>
    <mergeCell ref="B1333:B1334"/>
    <mergeCell ref="D1333:D1334"/>
    <mergeCell ref="E1333:E1334"/>
    <mergeCell ref="A1279:A1280"/>
    <mergeCell ref="D1335:D1336"/>
    <mergeCell ref="A1300:A1301"/>
    <mergeCell ref="B1300:B1301"/>
    <mergeCell ref="E1281:E1282"/>
    <mergeCell ref="A1302:A1303"/>
    <mergeCell ref="A2129:H2129"/>
    <mergeCell ref="B1283:B1284"/>
    <mergeCell ref="B242:B243"/>
    <mergeCell ref="A2010:H2010"/>
    <mergeCell ref="B121:B122"/>
    <mergeCell ref="A121:A122"/>
    <mergeCell ref="D242:D243"/>
    <mergeCell ref="E242:E243"/>
    <mergeCell ref="D320:D321"/>
    <mergeCell ref="A314:A315"/>
    <mergeCell ref="B314:B315"/>
    <mergeCell ref="D314:D315"/>
    <mergeCell ref="E314:E315"/>
    <mergeCell ref="A335:A336"/>
    <mergeCell ref="B335:B336"/>
    <mergeCell ref="D335:D336"/>
    <mergeCell ref="D501:D502"/>
    <mergeCell ref="E501:E502"/>
    <mergeCell ref="B497:D497"/>
    <mergeCell ref="E335:E336"/>
    <mergeCell ref="A337:A338"/>
    <mergeCell ref="B337:B338"/>
    <mergeCell ref="A1275:A1276"/>
    <mergeCell ref="E459:E460"/>
    <mergeCell ref="A523:A524"/>
    <mergeCell ref="B523:B524"/>
    <mergeCell ref="D523:D524"/>
    <mergeCell ref="E523:E524"/>
    <mergeCell ref="E882:E883"/>
    <mergeCell ref="A884:A885"/>
    <mergeCell ref="B371:B372"/>
    <mergeCell ref="D371:D372"/>
    <mergeCell ref="E371:E372"/>
    <mergeCell ref="D440:D441"/>
    <mergeCell ref="A2180:H2180"/>
    <mergeCell ref="E1308:E1309"/>
    <mergeCell ref="B1296:D1296"/>
    <mergeCell ref="A1298:A1299"/>
    <mergeCell ref="D259:D260"/>
    <mergeCell ref="E320:E321"/>
    <mergeCell ref="D463:D464"/>
    <mergeCell ref="A210:A211"/>
    <mergeCell ref="A2110:H2110"/>
    <mergeCell ref="A1996:H1996"/>
    <mergeCell ref="D337:D338"/>
    <mergeCell ref="E337:E338"/>
    <mergeCell ref="A339:A340"/>
    <mergeCell ref="B339:B340"/>
    <mergeCell ref="D339:D340"/>
    <mergeCell ref="A1485:A1486"/>
    <mergeCell ref="A1487:A1488"/>
    <mergeCell ref="A543:A544"/>
    <mergeCell ref="B543:B544"/>
    <mergeCell ref="A1979:H1979"/>
    <mergeCell ref="B884:B885"/>
    <mergeCell ref="D884:D885"/>
    <mergeCell ref="A463:A464"/>
    <mergeCell ref="B463:B464"/>
    <mergeCell ref="D858:D859"/>
    <mergeCell ref="E858:E859"/>
    <mergeCell ref="B1267:B1268"/>
    <mergeCell ref="A1267:A1268"/>
    <mergeCell ref="D1267:D1268"/>
    <mergeCell ref="E1267:E1268"/>
    <mergeCell ref="A387:A388"/>
    <mergeCell ref="A566:A567"/>
    <mergeCell ref="B566:B567"/>
    <mergeCell ref="B860:B861"/>
    <mergeCell ref="D860:D861"/>
    <mergeCell ref="B856:D856"/>
    <mergeCell ref="E860:E861"/>
    <mergeCell ref="A1502:A1503"/>
    <mergeCell ref="A1504:A1505"/>
    <mergeCell ref="B1502:B1503"/>
    <mergeCell ref="B1613:B1614"/>
    <mergeCell ref="D521:D522"/>
    <mergeCell ref="D545:D546"/>
    <mergeCell ref="E545:E546"/>
    <mergeCell ref="D566:D567"/>
    <mergeCell ref="B1430:B1431"/>
    <mergeCell ref="A1430:A1431"/>
    <mergeCell ref="A679:A680"/>
    <mergeCell ref="B679:B680"/>
    <mergeCell ref="A1269:A1270"/>
    <mergeCell ref="D1269:D1270"/>
    <mergeCell ref="E1269:E1270"/>
    <mergeCell ref="B1302:B1303"/>
    <mergeCell ref="D1302:D1303"/>
    <mergeCell ref="E1302:E1303"/>
    <mergeCell ref="A1304:A1305"/>
    <mergeCell ref="B1304:B1305"/>
    <mergeCell ref="D1304:D1305"/>
    <mergeCell ref="A1281:A1282"/>
    <mergeCell ref="D543:D544"/>
    <mergeCell ref="B1271:B1272"/>
    <mergeCell ref="A1271:A1272"/>
    <mergeCell ref="D1271:D1272"/>
    <mergeCell ref="B589:B590"/>
    <mergeCell ref="A7:A8"/>
    <mergeCell ref="B9:B10"/>
    <mergeCell ref="A9:A10"/>
    <mergeCell ref="D7:D8"/>
    <mergeCell ref="D9:D10"/>
    <mergeCell ref="E9:E10"/>
    <mergeCell ref="E7:E8"/>
    <mergeCell ref="B119:B120"/>
    <mergeCell ref="A119:A120"/>
    <mergeCell ref="D119:D120"/>
    <mergeCell ref="E121:E122"/>
    <mergeCell ref="B32:B33"/>
    <mergeCell ref="A32:A33"/>
    <mergeCell ref="B34:B35"/>
    <mergeCell ref="A34:A35"/>
    <mergeCell ref="D32:D33"/>
    <mergeCell ref="E32:E33"/>
    <mergeCell ref="A36:A37"/>
    <mergeCell ref="D36:D37"/>
    <mergeCell ref="B49:D49"/>
    <mergeCell ref="E36:E37"/>
    <mergeCell ref="B7:B8"/>
    <mergeCell ref="B104:B105"/>
    <mergeCell ref="D104:D105"/>
    <mergeCell ref="E104:E105"/>
    <mergeCell ref="A113:H113"/>
    <mergeCell ref="D121:D122"/>
    <mergeCell ref="D102:D103"/>
    <mergeCell ref="E102:E103"/>
    <mergeCell ref="A104:A105"/>
    <mergeCell ref="A45:H45"/>
    <mergeCell ref="D34:D35"/>
    <mergeCell ref="D587:D588"/>
    <mergeCell ref="D1051:D1052"/>
    <mergeCell ref="E1051:E1052"/>
    <mergeCell ref="A1033:A1034"/>
    <mergeCell ref="B1033:B1034"/>
    <mergeCell ref="D1033:D1034"/>
    <mergeCell ref="E1033:E1034"/>
    <mergeCell ref="D979:D980"/>
    <mergeCell ref="E979:E980"/>
    <mergeCell ref="A981:A982"/>
    <mergeCell ref="A998:A999"/>
    <mergeCell ref="B998:B999"/>
    <mergeCell ref="D998:D999"/>
    <mergeCell ref="E998:E999"/>
    <mergeCell ref="A979:A980"/>
    <mergeCell ref="E1271:E1272"/>
    <mergeCell ref="B587:B588"/>
    <mergeCell ref="A661:A662"/>
    <mergeCell ref="A726:A727"/>
    <mergeCell ref="B726:B727"/>
    <mergeCell ref="E726:E727"/>
    <mergeCell ref="A706:A707"/>
    <mergeCell ref="B706:B707"/>
    <mergeCell ref="D706:D707"/>
    <mergeCell ref="E706:E707"/>
    <mergeCell ref="E862:E863"/>
    <mergeCell ref="D996:D997"/>
    <mergeCell ref="E996:E997"/>
    <mergeCell ref="A943:A944"/>
    <mergeCell ref="B943:B944"/>
    <mergeCell ref="D943:D944"/>
    <mergeCell ref="A867:A868"/>
    <mergeCell ref="E34:E35"/>
    <mergeCell ref="B36:B37"/>
    <mergeCell ref="B1537:D1537"/>
    <mergeCell ref="D724:D725"/>
    <mergeCell ref="E724:E725"/>
    <mergeCell ref="B1591:D1591"/>
    <mergeCell ref="E1613:E1614"/>
    <mergeCell ref="B1609:D1609"/>
    <mergeCell ref="B1627:D1627"/>
    <mergeCell ref="D867:D868"/>
    <mergeCell ref="D679:D680"/>
    <mergeCell ref="E679:E680"/>
    <mergeCell ref="B1277:B1278"/>
    <mergeCell ref="B387:B388"/>
    <mergeCell ref="D387:D388"/>
    <mergeCell ref="E387:E388"/>
    <mergeCell ref="E482:E483"/>
    <mergeCell ref="D1453:D1454"/>
    <mergeCell ref="D1345:D1346"/>
    <mergeCell ref="E1345:E1346"/>
    <mergeCell ref="D1428:D1429"/>
    <mergeCell ref="E1455:E1456"/>
    <mergeCell ref="B1443:E1443"/>
    <mergeCell ref="B1269:B1270"/>
    <mergeCell ref="D1281:D1282"/>
    <mergeCell ref="D1283:D1284"/>
    <mergeCell ref="E463:E464"/>
    <mergeCell ref="B867:B868"/>
    <mergeCell ref="E543:E544"/>
    <mergeCell ref="B1275:B1276"/>
    <mergeCell ref="D1308:D1309"/>
    <mergeCell ref="D1300:D1301"/>
    <mergeCell ref="A581:A582"/>
    <mergeCell ref="B581:B582"/>
    <mergeCell ref="D581:D582"/>
    <mergeCell ref="E581:E582"/>
    <mergeCell ref="A583:A584"/>
    <mergeCell ref="B583:B584"/>
    <mergeCell ref="D583:D584"/>
    <mergeCell ref="E583:E584"/>
    <mergeCell ref="B764:B765"/>
    <mergeCell ref="D764:D765"/>
    <mergeCell ref="E764:E765"/>
    <mergeCell ref="A766:A767"/>
    <mergeCell ref="B766:B767"/>
    <mergeCell ref="D766:D767"/>
    <mergeCell ref="E766:E767"/>
    <mergeCell ref="A741:A742"/>
    <mergeCell ref="A820:A821"/>
    <mergeCell ref="B820:B821"/>
    <mergeCell ref="D820:D821"/>
    <mergeCell ref="E820:E821"/>
    <mergeCell ref="D589:D590"/>
    <mergeCell ref="D708:D709"/>
    <mergeCell ref="E708:E709"/>
    <mergeCell ref="A702:A703"/>
    <mergeCell ref="B702:B703"/>
    <mergeCell ref="D702:D703"/>
    <mergeCell ref="E702:E703"/>
    <mergeCell ref="B704:B705"/>
    <mergeCell ref="A724:A725"/>
    <mergeCell ref="B724:B725"/>
    <mergeCell ref="A708:A709"/>
    <mergeCell ref="B708:B709"/>
    <mergeCell ref="A801:A802"/>
    <mergeCell ref="B801:B802"/>
    <mergeCell ref="D801:D802"/>
    <mergeCell ref="E801:E802"/>
    <mergeCell ref="A704:A705"/>
    <mergeCell ref="D704:D705"/>
    <mergeCell ref="E704:E705"/>
    <mergeCell ref="A764:A765"/>
    <mergeCell ref="E822:E823"/>
    <mergeCell ref="D743:D744"/>
    <mergeCell ref="E743:E744"/>
    <mergeCell ref="B743:B744"/>
    <mergeCell ref="B741:B742"/>
    <mergeCell ref="D561:D562"/>
    <mergeCell ref="E561:E562"/>
    <mergeCell ref="A563:A564"/>
    <mergeCell ref="B563:B564"/>
    <mergeCell ref="D563:D564"/>
    <mergeCell ref="E566:E567"/>
    <mergeCell ref="A645:A646"/>
    <mergeCell ref="B645:B646"/>
    <mergeCell ref="D645:D646"/>
    <mergeCell ref="E645:E646"/>
    <mergeCell ref="A783:A784"/>
    <mergeCell ref="B783:B784"/>
    <mergeCell ref="D783:D784"/>
    <mergeCell ref="E783:E784"/>
    <mergeCell ref="A785:A786"/>
    <mergeCell ref="B785:B786"/>
    <mergeCell ref="D785:D786"/>
    <mergeCell ref="E785:E786"/>
    <mergeCell ref="B781:C781"/>
    <mergeCell ref="B559:C559"/>
    <mergeCell ref="A561:A562"/>
    <mergeCell ref="B561:B562"/>
    <mergeCell ref="B208:B209"/>
    <mergeCell ref="A208:A209"/>
    <mergeCell ref="A206:A207"/>
    <mergeCell ref="D206:D207"/>
    <mergeCell ref="D208:D209"/>
    <mergeCell ref="E206:E207"/>
    <mergeCell ref="E208:E209"/>
    <mergeCell ref="E339:E340"/>
    <mergeCell ref="A459:A460"/>
    <mergeCell ref="B459:B460"/>
    <mergeCell ref="D459:D460"/>
    <mergeCell ref="A461:A462"/>
    <mergeCell ref="B461:B462"/>
    <mergeCell ref="D461:D462"/>
    <mergeCell ref="E461:E462"/>
    <mergeCell ref="E405:E406"/>
    <mergeCell ref="A389:A390"/>
    <mergeCell ref="B389:B390"/>
    <mergeCell ref="D389:D390"/>
    <mergeCell ref="E389:E390"/>
    <mergeCell ref="B384:C384"/>
    <mergeCell ref="E210:E211"/>
    <mergeCell ref="A212:A213"/>
    <mergeCell ref="B545:B546"/>
    <mergeCell ref="D210:D211"/>
    <mergeCell ref="B311:D311"/>
    <mergeCell ref="A371:A372"/>
    <mergeCell ref="B440:B441"/>
    <mergeCell ref="A242:A243"/>
    <mergeCell ref="D901:D902"/>
    <mergeCell ref="E901:E902"/>
    <mergeCell ref="A903:A904"/>
    <mergeCell ref="B903:B904"/>
    <mergeCell ref="D903:D904"/>
    <mergeCell ref="E903:E904"/>
    <mergeCell ref="A920:A921"/>
    <mergeCell ref="B920:B921"/>
    <mergeCell ref="D920:D921"/>
    <mergeCell ref="E920:E921"/>
    <mergeCell ref="D1275:D1276"/>
    <mergeCell ref="E1275:E1276"/>
    <mergeCell ref="B1273:B1274"/>
    <mergeCell ref="A1273:A1274"/>
    <mergeCell ref="D1273:D1274"/>
    <mergeCell ref="E1273:E1274"/>
    <mergeCell ref="B1265:D1265"/>
    <mergeCell ref="E943:E944"/>
    <mergeCell ref="B956:C956"/>
    <mergeCell ref="A958:A959"/>
    <mergeCell ref="B958:B959"/>
    <mergeCell ref="D958:D959"/>
    <mergeCell ref="B1017:B1018"/>
    <mergeCell ref="D1017:D1018"/>
    <mergeCell ref="E1017:E1018"/>
    <mergeCell ref="A1000:A1001"/>
    <mergeCell ref="B1000:B1001"/>
    <mergeCell ref="D1000:D1001"/>
    <mergeCell ref="E1000:E1001"/>
    <mergeCell ref="A960:A961"/>
    <mergeCell ref="A962:A963"/>
    <mergeCell ref="D962:D963"/>
    <mergeCell ref="B1312:B1313"/>
    <mergeCell ref="A1667:A1668"/>
    <mergeCell ref="B1667:B1668"/>
    <mergeCell ref="D1667:D1668"/>
    <mergeCell ref="E1667:E1668"/>
    <mergeCell ref="A1776:A1777"/>
    <mergeCell ref="B1776:B1777"/>
    <mergeCell ref="D1776:D1777"/>
    <mergeCell ref="E1776:E1777"/>
    <mergeCell ref="A1778:A1779"/>
    <mergeCell ref="B1778:B1779"/>
    <mergeCell ref="D1778:D1779"/>
    <mergeCell ref="E1778:E1779"/>
    <mergeCell ref="D1917:D1918"/>
    <mergeCell ref="E1917:E1918"/>
    <mergeCell ref="B1891:D1891"/>
    <mergeCell ref="E1543:E1544"/>
    <mergeCell ref="B1649:B1650"/>
    <mergeCell ref="B1651:B1652"/>
    <mergeCell ref="A1649:A1650"/>
    <mergeCell ref="A1651:A1652"/>
    <mergeCell ref="B1593:B1594"/>
    <mergeCell ref="D1593:D1594"/>
    <mergeCell ref="E1593:E1594"/>
    <mergeCell ref="A1595:A1596"/>
    <mergeCell ref="B1595:B1596"/>
    <mergeCell ref="D1595:D1596"/>
    <mergeCell ref="E1595:E1596"/>
    <mergeCell ref="A1611:A1612"/>
    <mergeCell ref="B1611:B1612"/>
    <mergeCell ref="D1611:D1612"/>
    <mergeCell ref="E1611:E1612"/>
    <mergeCell ref="E1841:E1842"/>
    <mergeCell ref="A1853:H1853"/>
    <mergeCell ref="A1915:A1916"/>
    <mergeCell ref="B1915:B1916"/>
    <mergeCell ref="D1915:D1916"/>
    <mergeCell ref="E1915:E1916"/>
    <mergeCell ref="A1917:A1918"/>
    <mergeCell ref="B1917:B1918"/>
    <mergeCell ref="A1890:H1890"/>
    <mergeCell ref="B1809:C1809"/>
    <mergeCell ref="E1820:E1821"/>
    <mergeCell ref="E1822:E1823"/>
    <mergeCell ref="A1956:A1957"/>
    <mergeCell ref="B1956:B1957"/>
    <mergeCell ref="D1956:D1957"/>
    <mergeCell ref="E1956:E1957"/>
    <mergeCell ref="A1958:A1959"/>
    <mergeCell ref="B1958:B1959"/>
    <mergeCell ref="D1958:D1959"/>
    <mergeCell ref="E1958:E1959"/>
    <mergeCell ref="B1822:B1823"/>
    <mergeCell ref="A1822:A1823"/>
    <mergeCell ref="D726:D727"/>
    <mergeCell ref="A681:A682"/>
    <mergeCell ref="B681:B682"/>
    <mergeCell ref="D681:D682"/>
    <mergeCell ref="E681:E682"/>
    <mergeCell ref="D741:D742"/>
    <mergeCell ref="E741:E742"/>
    <mergeCell ref="A743:A744"/>
    <mergeCell ref="A604:A605"/>
    <mergeCell ref="B604:B605"/>
    <mergeCell ref="D604:D605"/>
    <mergeCell ref="E604:E605"/>
    <mergeCell ref="A606:A607"/>
    <mergeCell ref="B606:B607"/>
    <mergeCell ref="D606:D607"/>
    <mergeCell ref="E606:E607"/>
    <mergeCell ref="A624:A625"/>
    <mergeCell ref="B624:B625"/>
    <mergeCell ref="D624:D625"/>
    <mergeCell ref="E624:E625"/>
    <mergeCell ref="A626:A627"/>
    <mergeCell ref="B626:B627"/>
    <mergeCell ref="D626:D627"/>
    <mergeCell ref="E626:E627"/>
    <mergeCell ref="D643:D644"/>
    <mergeCell ref="E643:E644"/>
  </mergeCells>
  <printOptions horizontalCentered="1"/>
  <pageMargins left="0.19685039370078741" right="0.19685039370078741" top="0.78740157480314965" bottom="0.19685039370078741" header="0" footer="0"/>
  <pageSetup paperSize="9" scale="10" fitToWidth="0" orientation="landscape" horizontalDpi="300" verticalDpi="300" r:id="rId1"/>
  <headerFooter alignWithMargins="0"/>
  <rowBreaks count="9" manualBreakCount="9">
    <brk id="44" max="7" man="1"/>
    <brk id="59" max="7" man="1"/>
    <brk id="1291" max="7" man="1"/>
    <brk id="1495" max="7" man="1"/>
    <brk id="1675" max="7" man="1"/>
    <brk id="1902" max="7" man="1"/>
    <brk id="2046" max="7" man="1"/>
    <brk id="2128" max="7" man="1"/>
    <brk id="2177" max="7" man="1"/>
  </rowBreaks>
  <ignoredErrors>
    <ignoredError sqref="G863 G500:G502 G662:G664" formula="1"/>
    <ignoredError sqref="J1820:J1823 J1812:J1815 K665 K666:K667 K685:K68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985"/>
  <sheetViews>
    <sheetView showGridLines="0" view="pageBreakPreview" zoomScale="115" zoomScaleSheetLayoutView="115" workbookViewId="0">
      <selection activeCell="F1833" sqref="F1833"/>
    </sheetView>
  </sheetViews>
  <sheetFormatPr defaultRowHeight="11.25"/>
  <cols>
    <col min="1" max="1" width="11.5703125" style="130" customWidth="1"/>
    <col min="2" max="2" width="36.7109375" style="135" customWidth="1"/>
    <col min="3" max="3" width="6.42578125" style="338" customWidth="1"/>
    <col min="4" max="4" width="6.85546875" style="133" customWidth="1"/>
    <col min="5" max="5" width="8.7109375" style="130" customWidth="1"/>
    <col min="6" max="6" width="12.85546875" style="135" customWidth="1"/>
    <col min="7" max="7" width="16.140625" style="135" customWidth="1"/>
    <col min="8" max="8" width="9.42578125" style="135" customWidth="1"/>
    <col min="9" max="9" width="7.7109375" style="130" customWidth="1"/>
    <col min="10" max="250" width="9.140625" style="130"/>
    <col min="251" max="251" width="5.85546875" style="130" customWidth="1"/>
    <col min="252" max="252" width="50.42578125" style="130" customWidth="1"/>
    <col min="253" max="256" width="7.7109375" style="130" customWidth="1"/>
    <col min="257" max="257" width="10.140625" style="130" customWidth="1"/>
    <col min="258" max="261" width="7.7109375" style="130" customWidth="1"/>
    <col min="262" max="262" width="31.7109375" style="130" bestFit="1" customWidth="1"/>
    <col min="263" max="506" width="9.140625" style="130"/>
    <col min="507" max="507" width="5.85546875" style="130" customWidth="1"/>
    <col min="508" max="508" width="50.42578125" style="130" customWidth="1"/>
    <col min="509" max="512" width="7.7109375" style="130" customWidth="1"/>
    <col min="513" max="513" width="10.140625" style="130" customWidth="1"/>
    <col min="514" max="517" width="7.7109375" style="130" customWidth="1"/>
    <col min="518" max="518" width="31.7109375" style="130" bestFit="1" customWidth="1"/>
    <col min="519" max="762" width="9.140625" style="130"/>
    <col min="763" max="763" width="5.85546875" style="130" customWidth="1"/>
    <col min="764" max="764" width="50.42578125" style="130" customWidth="1"/>
    <col min="765" max="768" width="7.7109375" style="130" customWidth="1"/>
    <col min="769" max="769" width="10.140625" style="130" customWidth="1"/>
    <col min="770" max="773" width="7.7109375" style="130" customWidth="1"/>
    <col min="774" max="774" width="31.7109375" style="130" bestFit="1" customWidth="1"/>
    <col min="775" max="1018" width="9.140625" style="130"/>
    <col min="1019" max="1019" width="5.85546875" style="130" customWidth="1"/>
    <col min="1020" max="1020" width="50.42578125" style="130" customWidth="1"/>
    <col min="1021" max="1024" width="7.7109375" style="130" customWidth="1"/>
    <col min="1025" max="1025" width="10.140625" style="130" customWidth="1"/>
    <col min="1026" max="1029" width="7.7109375" style="130" customWidth="1"/>
    <col min="1030" max="1030" width="31.7109375" style="130" bestFit="1" customWidth="1"/>
    <col min="1031" max="1274" width="9.140625" style="130"/>
    <col min="1275" max="1275" width="5.85546875" style="130" customWidth="1"/>
    <col min="1276" max="1276" width="50.42578125" style="130" customWidth="1"/>
    <col min="1277" max="1280" width="7.7109375" style="130" customWidth="1"/>
    <col min="1281" max="1281" width="10.140625" style="130" customWidth="1"/>
    <col min="1282" max="1285" width="7.7109375" style="130" customWidth="1"/>
    <col min="1286" max="1286" width="31.7109375" style="130" bestFit="1" customWidth="1"/>
    <col min="1287" max="1530" width="9.140625" style="130"/>
    <col min="1531" max="1531" width="5.85546875" style="130" customWidth="1"/>
    <col min="1532" max="1532" width="50.42578125" style="130" customWidth="1"/>
    <col min="1533" max="1536" width="7.7109375" style="130" customWidth="1"/>
    <col min="1537" max="1537" width="10.140625" style="130" customWidth="1"/>
    <col min="1538" max="1541" width="7.7109375" style="130" customWidth="1"/>
    <col min="1542" max="1542" width="31.7109375" style="130" bestFit="1" customWidth="1"/>
    <col min="1543" max="1786" width="9.140625" style="130"/>
    <col min="1787" max="1787" width="5.85546875" style="130" customWidth="1"/>
    <col min="1788" max="1788" width="50.42578125" style="130" customWidth="1"/>
    <col min="1789" max="1792" width="7.7109375" style="130" customWidth="1"/>
    <col min="1793" max="1793" width="10.140625" style="130" customWidth="1"/>
    <col min="1794" max="1797" width="7.7109375" style="130" customWidth="1"/>
    <col min="1798" max="1798" width="31.7109375" style="130" bestFit="1" customWidth="1"/>
    <col min="1799" max="2042" width="9.140625" style="130"/>
    <col min="2043" max="2043" width="5.85546875" style="130" customWidth="1"/>
    <col min="2044" max="2044" width="50.42578125" style="130" customWidth="1"/>
    <col min="2045" max="2048" width="7.7109375" style="130" customWidth="1"/>
    <col min="2049" max="2049" width="10.140625" style="130" customWidth="1"/>
    <col min="2050" max="2053" width="7.7109375" style="130" customWidth="1"/>
    <col min="2054" max="2054" width="31.7109375" style="130" bestFit="1" customWidth="1"/>
    <col min="2055" max="2298" width="9.140625" style="130"/>
    <col min="2299" max="2299" width="5.85546875" style="130" customWidth="1"/>
    <col min="2300" max="2300" width="50.42578125" style="130" customWidth="1"/>
    <col min="2301" max="2304" width="7.7109375" style="130" customWidth="1"/>
    <col min="2305" max="2305" width="10.140625" style="130" customWidth="1"/>
    <col min="2306" max="2309" width="7.7109375" style="130" customWidth="1"/>
    <col min="2310" max="2310" width="31.7109375" style="130" bestFit="1" customWidth="1"/>
    <col min="2311" max="2554" width="9.140625" style="130"/>
    <col min="2555" max="2555" width="5.85546875" style="130" customWidth="1"/>
    <col min="2556" max="2556" width="50.42578125" style="130" customWidth="1"/>
    <col min="2557" max="2560" width="7.7109375" style="130" customWidth="1"/>
    <col min="2561" max="2561" width="10.140625" style="130" customWidth="1"/>
    <col min="2562" max="2565" width="7.7109375" style="130" customWidth="1"/>
    <col min="2566" max="2566" width="31.7109375" style="130" bestFit="1" customWidth="1"/>
    <col min="2567" max="2810" width="9.140625" style="130"/>
    <col min="2811" max="2811" width="5.85546875" style="130" customWidth="1"/>
    <col min="2812" max="2812" width="50.42578125" style="130" customWidth="1"/>
    <col min="2813" max="2816" width="7.7109375" style="130" customWidth="1"/>
    <col min="2817" max="2817" width="10.140625" style="130" customWidth="1"/>
    <col min="2818" max="2821" width="7.7109375" style="130" customWidth="1"/>
    <col min="2822" max="2822" width="31.7109375" style="130" bestFit="1" customWidth="1"/>
    <col min="2823" max="3066" width="9.140625" style="130"/>
    <col min="3067" max="3067" width="5.85546875" style="130" customWidth="1"/>
    <col min="3068" max="3068" width="50.42578125" style="130" customWidth="1"/>
    <col min="3069" max="3072" width="7.7109375" style="130" customWidth="1"/>
    <col min="3073" max="3073" width="10.140625" style="130" customWidth="1"/>
    <col min="3074" max="3077" width="7.7109375" style="130" customWidth="1"/>
    <col min="3078" max="3078" width="31.7109375" style="130" bestFit="1" customWidth="1"/>
    <col min="3079" max="3322" width="9.140625" style="130"/>
    <col min="3323" max="3323" width="5.85546875" style="130" customWidth="1"/>
    <col min="3324" max="3324" width="50.42578125" style="130" customWidth="1"/>
    <col min="3325" max="3328" width="7.7109375" style="130" customWidth="1"/>
    <col min="3329" max="3329" width="10.140625" style="130" customWidth="1"/>
    <col min="3330" max="3333" width="7.7109375" style="130" customWidth="1"/>
    <col min="3334" max="3334" width="31.7109375" style="130" bestFit="1" customWidth="1"/>
    <col min="3335" max="3578" width="9.140625" style="130"/>
    <col min="3579" max="3579" width="5.85546875" style="130" customWidth="1"/>
    <col min="3580" max="3580" width="50.42578125" style="130" customWidth="1"/>
    <col min="3581" max="3584" width="7.7109375" style="130" customWidth="1"/>
    <col min="3585" max="3585" width="10.140625" style="130" customWidth="1"/>
    <col min="3586" max="3589" width="7.7109375" style="130" customWidth="1"/>
    <col min="3590" max="3590" width="31.7109375" style="130" bestFit="1" customWidth="1"/>
    <col min="3591" max="3834" width="9.140625" style="130"/>
    <col min="3835" max="3835" width="5.85546875" style="130" customWidth="1"/>
    <col min="3836" max="3836" width="50.42578125" style="130" customWidth="1"/>
    <col min="3837" max="3840" width="7.7109375" style="130" customWidth="1"/>
    <col min="3841" max="3841" width="10.140625" style="130" customWidth="1"/>
    <col min="3842" max="3845" width="7.7109375" style="130" customWidth="1"/>
    <col min="3846" max="3846" width="31.7109375" style="130" bestFit="1" customWidth="1"/>
    <col min="3847" max="4090" width="9.140625" style="130"/>
    <col min="4091" max="4091" width="5.85546875" style="130" customWidth="1"/>
    <col min="4092" max="4092" width="50.42578125" style="130" customWidth="1"/>
    <col min="4093" max="4096" width="7.7109375" style="130" customWidth="1"/>
    <col min="4097" max="4097" width="10.140625" style="130" customWidth="1"/>
    <col min="4098" max="4101" width="7.7109375" style="130" customWidth="1"/>
    <col min="4102" max="4102" width="31.7109375" style="130" bestFit="1" customWidth="1"/>
    <col min="4103" max="4346" width="9.140625" style="130"/>
    <col min="4347" max="4347" width="5.85546875" style="130" customWidth="1"/>
    <col min="4348" max="4348" width="50.42578125" style="130" customWidth="1"/>
    <col min="4349" max="4352" width="7.7109375" style="130" customWidth="1"/>
    <col min="4353" max="4353" width="10.140625" style="130" customWidth="1"/>
    <col min="4354" max="4357" width="7.7109375" style="130" customWidth="1"/>
    <col min="4358" max="4358" width="31.7109375" style="130" bestFit="1" customWidth="1"/>
    <col min="4359" max="4602" width="9.140625" style="130"/>
    <col min="4603" max="4603" width="5.85546875" style="130" customWidth="1"/>
    <col min="4604" max="4604" width="50.42578125" style="130" customWidth="1"/>
    <col min="4605" max="4608" width="7.7109375" style="130" customWidth="1"/>
    <col min="4609" max="4609" width="10.140625" style="130" customWidth="1"/>
    <col min="4610" max="4613" width="7.7109375" style="130" customWidth="1"/>
    <col min="4614" max="4614" width="31.7109375" style="130" bestFit="1" customWidth="1"/>
    <col min="4615" max="4858" width="9.140625" style="130"/>
    <col min="4859" max="4859" width="5.85546875" style="130" customWidth="1"/>
    <col min="4860" max="4860" width="50.42578125" style="130" customWidth="1"/>
    <col min="4861" max="4864" width="7.7109375" style="130" customWidth="1"/>
    <col min="4865" max="4865" width="10.140625" style="130" customWidth="1"/>
    <col min="4866" max="4869" width="7.7109375" style="130" customWidth="1"/>
    <col min="4870" max="4870" width="31.7109375" style="130" bestFit="1" customWidth="1"/>
    <col min="4871" max="5114" width="9.140625" style="130"/>
    <col min="5115" max="5115" width="5.85546875" style="130" customWidth="1"/>
    <col min="5116" max="5116" width="50.42578125" style="130" customWidth="1"/>
    <col min="5117" max="5120" width="7.7109375" style="130" customWidth="1"/>
    <col min="5121" max="5121" width="10.140625" style="130" customWidth="1"/>
    <col min="5122" max="5125" width="7.7109375" style="130" customWidth="1"/>
    <col min="5126" max="5126" width="31.7109375" style="130" bestFit="1" customWidth="1"/>
    <col min="5127" max="5370" width="9.140625" style="130"/>
    <col min="5371" max="5371" width="5.85546875" style="130" customWidth="1"/>
    <col min="5372" max="5372" width="50.42578125" style="130" customWidth="1"/>
    <col min="5373" max="5376" width="7.7109375" style="130" customWidth="1"/>
    <col min="5377" max="5377" width="10.140625" style="130" customWidth="1"/>
    <col min="5378" max="5381" width="7.7109375" style="130" customWidth="1"/>
    <col min="5382" max="5382" width="31.7109375" style="130" bestFit="1" customWidth="1"/>
    <col min="5383" max="5626" width="9.140625" style="130"/>
    <col min="5627" max="5627" width="5.85546875" style="130" customWidth="1"/>
    <col min="5628" max="5628" width="50.42578125" style="130" customWidth="1"/>
    <col min="5629" max="5632" width="7.7109375" style="130" customWidth="1"/>
    <col min="5633" max="5633" width="10.140625" style="130" customWidth="1"/>
    <col min="5634" max="5637" width="7.7109375" style="130" customWidth="1"/>
    <col min="5638" max="5638" width="31.7109375" style="130" bestFit="1" customWidth="1"/>
    <col min="5639" max="5882" width="9.140625" style="130"/>
    <col min="5883" max="5883" width="5.85546875" style="130" customWidth="1"/>
    <col min="5884" max="5884" width="50.42578125" style="130" customWidth="1"/>
    <col min="5885" max="5888" width="7.7109375" style="130" customWidth="1"/>
    <col min="5889" max="5889" width="10.140625" style="130" customWidth="1"/>
    <col min="5890" max="5893" width="7.7109375" style="130" customWidth="1"/>
    <col min="5894" max="5894" width="31.7109375" style="130" bestFit="1" customWidth="1"/>
    <col min="5895" max="6138" width="9.140625" style="130"/>
    <col min="6139" max="6139" width="5.85546875" style="130" customWidth="1"/>
    <col min="6140" max="6140" width="50.42578125" style="130" customWidth="1"/>
    <col min="6141" max="6144" width="7.7109375" style="130" customWidth="1"/>
    <col min="6145" max="6145" width="10.140625" style="130" customWidth="1"/>
    <col min="6146" max="6149" width="7.7109375" style="130" customWidth="1"/>
    <col min="6150" max="6150" width="31.7109375" style="130" bestFit="1" customWidth="1"/>
    <col min="6151" max="6394" width="9.140625" style="130"/>
    <col min="6395" max="6395" width="5.85546875" style="130" customWidth="1"/>
    <col min="6396" max="6396" width="50.42578125" style="130" customWidth="1"/>
    <col min="6397" max="6400" width="7.7109375" style="130" customWidth="1"/>
    <col min="6401" max="6401" width="10.140625" style="130" customWidth="1"/>
    <col min="6402" max="6405" width="7.7109375" style="130" customWidth="1"/>
    <col min="6406" max="6406" width="31.7109375" style="130" bestFit="1" customWidth="1"/>
    <col min="6407" max="6650" width="9.140625" style="130"/>
    <col min="6651" max="6651" width="5.85546875" style="130" customWidth="1"/>
    <col min="6652" max="6652" width="50.42578125" style="130" customWidth="1"/>
    <col min="6653" max="6656" width="7.7109375" style="130" customWidth="1"/>
    <col min="6657" max="6657" width="10.140625" style="130" customWidth="1"/>
    <col min="6658" max="6661" width="7.7109375" style="130" customWidth="1"/>
    <col min="6662" max="6662" width="31.7109375" style="130" bestFit="1" customWidth="1"/>
    <col min="6663" max="6906" width="9.140625" style="130"/>
    <col min="6907" max="6907" width="5.85546875" style="130" customWidth="1"/>
    <col min="6908" max="6908" width="50.42578125" style="130" customWidth="1"/>
    <col min="6909" max="6912" width="7.7109375" style="130" customWidth="1"/>
    <col min="6913" max="6913" width="10.140625" style="130" customWidth="1"/>
    <col min="6914" max="6917" width="7.7109375" style="130" customWidth="1"/>
    <col min="6918" max="6918" width="31.7109375" style="130" bestFit="1" customWidth="1"/>
    <col min="6919" max="7162" width="9.140625" style="130"/>
    <col min="7163" max="7163" width="5.85546875" style="130" customWidth="1"/>
    <col min="7164" max="7164" width="50.42578125" style="130" customWidth="1"/>
    <col min="7165" max="7168" width="7.7109375" style="130" customWidth="1"/>
    <col min="7169" max="7169" width="10.140625" style="130" customWidth="1"/>
    <col min="7170" max="7173" width="7.7109375" style="130" customWidth="1"/>
    <col min="7174" max="7174" width="31.7109375" style="130" bestFit="1" customWidth="1"/>
    <col min="7175" max="7418" width="9.140625" style="130"/>
    <col min="7419" max="7419" width="5.85546875" style="130" customWidth="1"/>
    <col min="7420" max="7420" width="50.42578125" style="130" customWidth="1"/>
    <col min="7421" max="7424" width="7.7109375" style="130" customWidth="1"/>
    <col min="7425" max="7425" width="10.140625" style="130" customWidth="1"/>
    <col min="7426" max="7429" width="7.7109375" style="130" customWidth="1"/>
    <col min="7430" max="7430" width="31.7109375" style="130" bestFit="1" customWidth="1"/>
    <col min="7431" max="7674" width="9.140625" style="130"/>
    <col min="7675" max="7675" width="5.85546875" style="130" customWidth="1"/>
    <col min="7676" max="7676" width="50.42578125" style="130" customWidth="1"/>
    <col min="7677" max="7680" width="7.7109375" style="130" customWidth="1"/>
    <col min="7681" max="7681" width="10.140625" style="130" customWidth="1"/>
    <col min="7682" max="7685" width="7.7109375" style="130" customWidth="1"/>
    <col min="7686" max="7686" width="31.7109375" style="130" bestFit="1" customWidth="1"/>
    <col min="7687" max="7930" width="9.140625" style="130"/>
    <col min="7931" max="7931" width="5.85546875" style="130" customWidth="1"/>
    <col min="7932" max="7932" width="50.42578125" style="130" customWidth="1"/>
    <col min="7933" max="7936" width="7.7109375" style="130" customWidth="1"/>
    <col min="7937" max="7937" width="10.140625" style="130" customWidth="1"/>
    <col min="7938" max="7941" width="7.7109375" style="130" customWidth="1"/>
    <col min="7942" max="7942" width="31.7109375" style="130" bestFit="1" customWidth="1"/>
    <col min="7943" max="8186" width="9.140625" style="130"/>
    <col min="8187" max="8187" width="5.85546875" style="130" customWidth="1"/>
    <col min="8188" max="8188" width="50.42578125" style="130" customWidth="1"/>
    <col min="8189" max="8192" width="7.7109375" style="130" customWidth="1"/>
    <col min="8193" max="8193" width="10.140625" style="130" customWidth="1"/>
    <col min="8194" max="8197" width="7.7109375" style="130" customWidth="1"/>
    <col min="8198" max="8198" width="31.7109375" style="130" bestFit="1" customWidth="1"/>
    <col min="8199" max="8442" width="9.140625" style="130"/>
    <col min="8443" max="8443" width="5.85546875" style="130" customWidth="1"/>
    <col min="8444" max="8444" width="50.42578125" style="130" customWidth="1"/>
    <col min="8445" max="8448" width="7.7109375" style="130" customWidth="1"/>
    <col min="8449" max="8449" width="10.140625" style="130" customWidth="1"/>
    <col min="8450" max="8453" width="7.7109375" style="130" customWidth="1"/>
    <col min="8454" max="8454" width="31.7109375" style="130" bestFit="1" customWidth="1"/>
    <col min="8455" max="8698" width="9.140625" style="130"/>
    <col min="8699" max="8699" width="5.85546875" style="130" customWidth="1"/>
    <col min="8700" max="8700" width="50.42578125" style="130" customWidth="1"/>
    <col min="8701" max="8704" width="7.7109375" style="130" customWidth="1"/>
    <col min="8705" max="8705" width="10.140625" style="130" customWidth="1"/>
    <col min="8706" max="8709" width="7.7109375" style="130" customWidth="1"/>
    <col min="8710" max="8710" width="31.7109375" style="130" bestFit="1" customWidth="1"/>
    <col min="8711" max="8954" width="9.140625" style="130"/>
    <col min="8955" max="8955" width="5.85546875" style="130" customWidth="1"/>
    <col min="8956" max="8956" width="50.42578125" style="130" customWidth="1"/>
    <col min="8957" max="8960" width="7.7109375" style="130" customWidth="1"/>
    <col min="8961" max="8961" width="10.140625" style="130" customWidth="1"/>
    <col min="8962" max="8965" width="7.7109375" style="130" customWidth="1"/>
    <col min="8966" max="8966" width="31.7109375" style="130" bestFit="1" customWidth="1"/>
    <col min="8967" max="9210" width="9.140625" style="130"/>
    <col min="9211" max="9211" width="5.85546875" style="130" customWidth="1"/>
    <col min="9212" max="9212" width="50.42578125" style="130" customWidth="1"/>
    <col min="9213" max="9216" width="7.7109375" style="130" customWidth="1"/>
    <col min="9217" max="9217" width="10.140625" style="130" customWidth="1"/>
    <col min="9218" max="9221" width="7.7109375" style="130" customWidth="1"/>
    <col min="9222" max="9222" width="31.7109375" style="130" bestFit="1" customWidth="1"/>
    <col min="9223" max="9466" width="9.140625" style="130"/>
    <col min="9467" max="9467" width="5.85546875" style="130" customWidth="1"/>
    <col min="9468" max="9468" width="50.42578125" style="130" customWidth="1"/>
    <col min="9469" max="9472" width="7.7109375" style="130" customWidth="1"/>
    <col min="9473" max="9473" width="10.140625" style="130" customWidth="1"/>
    <col min="9474" max="9477" width="7.7109375" style="130" customWidth="1"/>
    <col min="9478" max="9478" width="31.7109375" style="130" bestFit="1" customWidth="1"/>
    <col min="9479" max="9722" width="9.140625" style="130"/>
    <col min="9723" max="9723" width="5.85546875" style="130" customWidth="1"/>
    <col min="9724" max="9724" width="50.42578125" style="130" customWidth="1"/>
    <col min="9725" max="9728" width="7.7109375" style="130" customWidth="1"/>
    <col min="9729" max="9729" width="10.140625" style="130" customWidth="1"/>
    <col min="9730" max="9733" width="7.7109375" style="130" customWidth="1"/>
    <col min="9734" max="9734" width="31.7109375" style="130" bestFit="1" customWidth="1"/>
    <col min="9735" max="9978" width="9.140625" style="130"/>
    <col min="9979" max="9979" width="5.85546875" style="130" customWidth="1"/>
    <col min="9980" max="9980" width="50.42578125" style="130" customWidth="1"/>
    <col min="9981" max="9984" width="7.7109375" style="130" customWidth="1"/>
    <col min="9985" max="9985" width="10.140625" style="130" customWidth="1"/>
    <col min="9986" max="9989" width="7.7109375" style="130" customWidth="1"/>
    <col min="9990" max="9990" width="31.7109375" style="130" bestFit="1" customWidth="1"/>
    <col min="9991" max="10234" width="9.140625" style="130"/>
    <col min="10235" max="10235" width="5.85546875" style="130" customWidth="1"/>
    <col min="10236" max="10236" width="50.42578125" style="130" customWidth="1"/>
    <col min="10237" max="10240" width="7.7109375" style="130" customWidth="1"/>
    <col min="10241" max="10241" width="10.140625" style="130" customWidth="1"/>
    <col min="10242" max="10245" width="7.7109375" style="130" customWidth="1"/>
    <col min="10246" max="10246" width="31.7109375" style="130" bestFit="1" customWidth="1"/>
    <col min="10247" max="10490" width="9.140625" style="130"/>
    <col min="10491" max="10491" width="5.85546875" style="130" customWidth="1"/>
    <col min="10492" max="10492" width="50.42578125" style="130" customWidth="1"/>
    <col min="10493" max="10496" width="7.7109375" style="130" customWidth="1"/>
    <col min="10497" max="10497" width="10.140625" style="130" customWidth="1"/>
    <col min="10498" max="10501" width="7.7109375" style="130" customWidth="1"/>
    <col min="10502" max="10502" width="31.7109375" style="130" bestFit="1" customWidth="1"/>
    <col min="10503" max="10746" width="9.140625" style="130"/>
    <col min="10747" max="10747" width="5.85546875" style="130" customWidth="1"/>
    <col min="10748" max="10748" width="50.42578125" style="130" customWidth="1"/>
    <col min="10749" max="10752" width="7.7109375" style="130" customWidth="1"/>
    <col min="10753" max="10753" width="10.140625" style="130" customWidth="1"/>
    <col min="10754" max="10757" width="7.7109375" style="130" customWidth="1"/>
    <col min="10758" max="10758" width="31.7109375" style="130" bestFit="1" customWidth="1"/>
    <col min="10759" max="11002" width="9.140625" style="130"/>
    <col min="11003" max="11003" width="5.85546875" style="130" customWidth="1"/>
    <col min="11004" max="11004" width="50.42578125" style="130" customWidth="1"/>
    <col min="11005" max="11008" width="7.7109375" style="130" customWidth="1"/>
    <col min="11009" max="11009" width="10.140625" style="130" customWidth="1"/>
    <col min="11010" max="11013" width="7.7109375" style="130" customWidth="1"/>
    <col min="11014" max="11014" width="31.7109375" style="130" bestFit="1" customWidth="1"/>
    <col min="11015" max="11258" width="9.140625" style="130"/>
    <col min="11259" max="11259" width="5.85546875" style="130" customWidth="1"/>
    <col min="11260" max="11260" width="50.42578125" style="130" customWidth="1"/>
    <col min="11261" max="11264" width="7.7109375" style="130" customWidth="1"/>
    <col min="11265" max="11265" width="10.140625" style="130" customWidth="1"/>
    <col min="11266" max="11269" width="7.7109375" style="130" customWidth="1"/>
    <col min="11270" max="11270" width="31.7109375" style="130" bestFit="1" customWidth="1"/>
    <col min="11271" max="11514" width="9.140625" style="130"/>
    <col min="11515" max="11515" width="5.85546875" style="130" customWidth="1"/>
    <col min="11516" max="11516" width="50.42578125" style="130" customWidth="1"/>
    <col min="11517" max="11520" width="7.7109375" style="130" customWidth="1"/>
    <col min="11521" max="11521" width="10.140625" style="130" customWidth="1"/>
    <col min="11522" max="11525" width="7.7109375" style="130" customWidth="1"/>
    <col min="11526" max="11526" width="31.7109375" style="130" bestFit="1" customWidth="1"/>
    <col min="11527" max="11770" width="9.140625" style="130"/>
    <col min="11771" max="11771" width="5.85546875" style="130" customWidth="1"/>
    <col min="11772" max="11772" width="50.42578125" style="130" customWidth="1"/>
    <col min="11773" max="11776" width="7.7109375" style="130" customWidth="1"/>
    <col min="11777" max="11777" width="10.140625" style="130" customWidth="1"/>
    <col min="11778" max="11781" width="7.7109375" style="130" customWidth="1"/>
    <col min="11782" max="11782" width="31.7109375" style="130" bestFit="1" customWidth="1"/>
    <col min="11783" max="12026" width="9.140625" style="130"/>
    <col min="12027" max="12027" width="5.85546875" style="130" customWidth="1"/>
    <col min="12028" max="12028" width="50.42578125" style="130" customWidth="1"/>
    <col min="12029" max="12032" width="7.7109375" style="130" customWidth="1"/>
    <col min="12033" max="12033" width="10.140625" style="130" customWidth="1"/>
    <col min="12034" max="12037" width="7.7109375" style="130" customWidth="1"/>
    <col min="12038" max="12038" width="31.7109375" style="130" bestFit="1" customWidth="1"/>
    <col min="12039" max="12282" width="9.140625" style="130"/>
    <col min="12283" max="12283" width="5.85546875" style="130" customWidth="1"/>
    <col min="12284" max="12284" width="50.42578125" style="130" customWidth="1"/>
    <col min="12285" max="12288" width="7.7109375" style="130" customWidth="1"/>
    <col min="12289" max="12289" width="10.140625" style="130" customWidth="1"/>
    <col min="12290" max="12293" width="7.7109375" style="130" customWidth="1"/>
    <col min="12294" max="12294" width="31.7109375" style="130" bestFit="1" customWidth="1"/>
    <col min="12295" max="12538" width="9.140625" style="130"/>
    <col min="12539" max="12539" width="5.85546875" style="130" customWidth="1"/>
    <col min="12540" max="12540" width="50.42578125" style="130" customWidth="1"/>
    <col min="12541" max="12544" width="7.7109375" style="130" customWidth="1"/>
    <col min="12545" max="12545" width="10.140625" style="130" customWidth="1"/>
    <col min="12546" max="12549" width="7.7109375" style="130" customWidth="1"/>
    <col min="12550" max="12550" width="31.7109375" style="130" bestFit="1" customWidth="1"/>
    <col min="12551" max="12794" width="9.140625" style="130"/>
    <col min="12795" max="12795" width="5.85546875" style="130" customWidth="1"/>
    <col min="12796" max="12796" width="50.42578125" style="130" customWidth="1"/>
    <col min="12797" max="12800" width="7.7109375" style="130" customWidth="1"/>
    <col min="12801" max="12801" width="10.140625" style="130" customWidth="1"/>
    <col min="12802" max="12805" width="7.7109375" style="130" customWidth="1"/>
    <col min="12806" max="12806" width="31.7109375" style="130" bestFit="1" customWidth="1"/>
    <col min="12807" max="13050" width="9.140625" style="130"/>
    <col min="13051" max="13051" width="5.85546875" style="130" customWidth="1"/>
    <col min="13052" max="13052" width="50.42578125" style="130" customWidth="1"/>
    <col min="13053" max="13056" width="7.7109375" style="130" customWidth="1"/>
    <col min="13057" max="13057" width="10.140625" style="130" customWidth="1"/>
    <col min="13058" max="13061" width="7.7109375" style="130" customWidth="1"/>
    <col min="13062" max="13062" width="31.7109375" style="130" bestFit="1" customWidth="1"/>
    <col min="13063" max="13306" width="9.140625" style="130"/>
    <col min="13307" max="13307" width="5.85546875" style="130" customWidth="1"/>
    <col min="13308" max="13308" width="50.42578125" style="130" customWidth="1"/>
    <col min="13309" max="13312" width="7.7109375" style="130" customWidth="1"/>
    <col min="13313" max="13313" width="10.140625" style="130" customWidth="1"/>
    <col min="13314" max="13317" width="7.7109375" style="130" customWidth="1"/>
    <col min="13318" max="13318" width="31.7109375" style="130" bestFit="1" customWidth="1"/>
    <col min="13319" max="13562" width="9.140625" style="130"/>
    <col min="13563" max="13563" width="5.85546875" style="130" customWidth="1"/>
    <col min="13564" max="13564" width="50.42578125" style="130" customWidth="1"/>
    <col min="13565" max="13568" width="7.7109375" style="130" customWidth="1"/>
    <col min="13569" max="13569" width="10.140625" style="130" customWidth="1"/>
    <col min="13570" max="13573" width="7.7109375" style="130" customWidth="1"/>
    <col min="13574" max="13574" width="31.7109375" style="130" bestFit="1" customWidth="1"/>
    <col min="13575" max="13818" width="9.140625" style="130"/>
    <col min="13819" max="13819" width="5.85546875" style="130" customWidth="1"/>
    <col min="13820" max="13820" width="50.42578125" style="130" customWidth="1"/>
    <col min="13821" max="13824" width="7.7109375" style="130" customWidth="1"/>
    <col min="13825" max="13825" width="10.140625" style="130" customWidth="1"/>
    <col min="13826" max="13829" width="7.7109375" style="130" customWidth="1"/>
    <col min="13830" max="13830" width="31.7109375" style="130" bestFit="1" customWidth="1"/>
    <col min="13831" max="14074" width="9.140625" style="130"/>
    <col min="14075" max="14075" width="5.85546875" style="130" customWidth="1"/>
    <col min="14076" max="14076" width="50.42578125" style="130" customWidth="1"/>
    <col min="14077" max="14080" width="7.7109375" style="130" customWidth="1"/>
    <col min="14081" max="14081" width="10.140625" style="130" customWidth="1"/>
    <col min="14082" max="14085" width="7.7109375" style="130" customWidth="1"/>
    <col min="14086" max="14086" width="31.7109375" style="130" bestFit="1" customWidth="1"/>
    <col min="14087" max="14330" width="9.140625" style="130"/>
    <col min="14331" max="14331" width="5.85546875" style="130" customWidth="1"/>
    <col min="14332" max="14332" width="50.42578125" style="130" customWidth="1"/>
    <col min="14333" max="14336" width="7.7109375" style="130" customWidth="1"/>
    <col min="14337" max="14337" width="10.140625" style="130" customWidth="1"/>
    <col min="14338" max="14341" width="7.7109375" style="130" customWidth="1"/>
    <col min="14342" max="14342" width="31.7109375" style="130" bestFit="1" customWidth="1"/>
    <col min="14343" max="14586" width="9.140625" style="130"/>
    <col min="14587" max="14587" width="5.85546875" style="130" customWidth="1"/>
    <col min="14588" max="14588" width="50.42578125" style="130" customWidth="1"/>
    <col min="14589" max="14592" width="7.7109375" style="130" customWidth="1"/>
    <col min="14593" max="14593" width="10.140625" style="130" customWidth="1"/>
    <col min="14594" max="14597" width="7.7109375" style="130" customWidth="1"/>
    <col min="14598" max="14598" width="31.7109375" style="130" bestFit="1" customWidth="1"/>
    <col min="14599" max="14842" width="9.140625" style="130"/>
    <col min="14843" max="14843" width="5.85546875" style="130" customWidth="1"/>
    <col min="14844" max="14844" width="50.42578125" style="130" customWidth="1"/>
    <col min="14845" max="14848" width="7.7109375" style="130" customWidth="1"/>
    <col min="14849" max="14849" width="10.140625" style="130" customWidth="1"/>
    <col min="14850" max="14853" width="7.7109375" style="130" customWidth="1"/>
    <col min="14854" max="14854" width="31.7109375" style="130" bestFit="1" customWidth="1"/>
    <col min="14855" max="15098" width="9.140625" style="130"/>
    <col min="15099" max="15099" width="5.85546875" style="130" customWidth="1"/>
    <col min="15100" max="15100" width="50.42578125" style="130" customWidth="1"/>
    <col min="15101" max="15104" width="7.7109375" style="130" customWidth="1"/>
    <col min="15105" max="15105" width="10.140625" style="130" customWidth="1"/>
    <col min="15106" max="15109" width="7.7109375" style="130" customWidth="1"/>
    <col min="15110" max="15110" width="31.7109375" style="130" bestFit="1" customWidth="1"/>
    <col min="15111" max="15354" width="9.140625" style="130"/>
    <col min="15355" max="15355" width="5.85546875" style="130" customWidth="1"/>
    <col min="15356" max="15356" width="50.42578125" style="130" customWidth="1"/>
    <col min="15357" max="15360" width="7.7109375" style="130" customWidth="1"/>
    <col min="15361" max="15361" width="10.140625" style="130" customWidth="1"/>
    <col min="15362" max="15365" width="7.7109375" style="130" customWidth="1"/>
    <col min="15366" max="15366" width="31.7109375" style="130" bestFit="1" customWidth="1"/>
    <col min="15367" max="15610" width="9.140625" style="130"/>
    <col min="15611" max="15611" width="5.85546875" style="130" customWidth="1"/>
    <col min="15612" max="15612" width="50.42578125" style="130" customWidth="1"/>
    <col min="15613" max="15616" width="7.7109375" style="130" customWidth="1"/>
    <col min="15617" max="15617" width="10.140625" style="130" customWidth="1"/>
    <col min="15618" max="15621" width="7.7109375" style="130" customWidth="1"/>
    <col min="15622" max="15622" width="31.7109375" style="130" bestFit="1" customWidth="1"/>
    <col min="15623" max="15866" width="9.140625" style="130"/>
    <col min="15867" max="15867" width="5.85546875" style="130" customWidth="1"/>
    <col min="15868" max="15868" width="50.42578125" style="130" customWidth="1"/>
    <col min="15869" max="15872" width="7.7109375" style="130" customWidth="1"/>
    <col min="15873" max="15873" width="10.140625" style="130" customWidth="1"/>
    <col min="15874" max="15877" width="7.7109375" style="130" customWidth="1"/>
    <col min="15878" max="15878" width="31.7109375" style="130" bestFit="1" customWidth="1"/>
    <col min="15879" max="16122" width="9.140625" style="130"/>
    <col min="16123" max="16123" width="5.85546875" style="130" customWidth="1"/>
    <col min="16124" max="16124" width="50.42578125" style="130" customWidth="1"/>
    <col min="16125" max="16128" width="7.7109375" style="130" customWidth="1"/>
    <col min="16129" max="16129" width="10.140625" style="130" customWidth="1"/>
    <col min="16130" max="16133" width="7.7109375" style="130" customWidth="1"/>
    <col min="16134" max="16134" width="31.7109375" style="130" bestFit="1" customWidth="1"/>
    <col min="16135" max="16384" width="9.140625" style="130"/>
  </cols>
  <sheetData>
    <row r="1" spans="1:8" s="337" customFormat="1">
      <c r="A1" s="333" t="s">
        <v>541</v>
      </c>
      <c r="B1" s="334"/>
      <c r="C1" s="335"/>
      <c r="D1" s="336"/>
      <c r="F1" s="334"/>
      <c r="G1" s="334"/>
      <c r="H1" s="334"/>
    </row>
    <row r="3" spans="1:8">
      <c r="A3" s="130" t="s">
        <v>542</v>
      </c>
    </row>
    <row r="4" spans="1:8">
      <c r="A4" s="130" t="s">
        <v>543</v>
      </c>
      <c r="B4" s="148" t="s">
        <v>544</v>
      </c>
      <c r="C4" s="339"/>
    </row>
    <row r="5" spans="1:8" ht="22.5" customHeight="1">
      <c r="A5" s="130" t="s">
        <v>78</v>
      </c>
      <c r="B5" s="1356" t="s">
        <v>545</v>
      </c>
      <c r="C5" s="1356"/>
      <c r="D5" s="375" t="s">
        <v>345</v>
      </c>
      <c r="E5" s="338" t="s">
        <v>2</v>
      </c>
      <c r="F5" s="338"/>
      <c r="G5" s="338"/>
    </row>
    <row r="6" spans="1:8" ht="22.5">
      <c r="A6" s="341" t="s">
        <v>30</v>
      </c>
      <c r="B6" s="342" t="s">
        <v>19</v>
      </c>
      <c r="C6" s="343" t="s">
        <v>82</v>
      </c>
      <c r="D6" s="343" t="s">
        <v>79</v>
      </c>
      <c r="E6" s="344" t="s">
        <v>83</v>
      </c>
      <c r="F6" s="345" t="s">
        <v>84</v>
      </c>
      <c r="G6" s="346" t="s">
        <v>85</v>
      </c>
    </row>
    <row r="7" spans="1:8" ht="15" customHeight="1">
      <c r="A7" s="341" t="s">
        <v>546</v>
      </c>
      <c r="B7" s="347" t="s">
        <v>547</v>
      </c>
      <c r="C7" s="345" t="s">
        <v>89</v>
      </c>
      <c r="D7" s="343" t="s">
        <v>344</v>
      </c>
      <c r="E7" s="344" t="s">
        <v>548</v>
      </c>
      <c r="F7" s="344">
        <v>10.62</v>
      </c>
      <c r="G7" s="346">
        <f t="shared" ref="G7:G19" si="0">TRUNC(E7*F7,2)</f>
        <v>0.08</v>
      </c>
    </row>
    <row r="8" spans="1:8" ht="30" customHeight="1">
      <c r="A8" s="341" t="s">
        <v>549</v>
      </c>
      <c r="B8" s="347" t="s">
        <v>550</v>
      </c>
      <c r="C8" s="345" t="s">
        <v>89</v>
      </c>
      <c r="D8" s="343" t="s">
        <v>344</v>
      </c>
      <c r="E8" s="344" t="s">
        <v>551</v>
      </c>
      <c r="F8" s="344">
        <v>103.29</v>
      </c>
      <c r="G8" s="346">
        <f t="shared" si="0"/>
        <v>0.06</v>
      </c>
    </row>
    <row r="9" spans="1:8" ht="37.5" customHeight="1">
      <c r="A9" s="341" t="s">
        <v>552</v>
      </c>
      <c r="B9" s="347" t="s">
        <v>553</v>
      </c>
      <c r="C9" s="345" t="s">
        <v>89</v>
      </c>
      <c r="D9" s="343" t="s">
        <v>344</v>
      </c>
      <c r="E9" s="344" t="s">
        <v>554</v>
      </c>
      <c r="F9" s="348">
        <v>532.5</v>
      </c>
      <c r="G9" s="346">
        <f t="shared" si="0"/>
        <v>0.03</v>
      </c>
    </row>
    <row r="10" spans="1:8" ht="15" customHeight="1">
      <c r="A10" s="341" t="s">
        <v>555</v>
      </c>
      <c r="B10" s="347" t="s">
        <v>556</v>
      </c>
      <c r="C10" s="345" t="s">
        <v>89</v>
      </c>
      <c r="D10" s="343" t="s">
        <v>344</v>
      </c>
      <c r="E10" s="344" t="s">
        <v>557</v>
      </c>
      <c r="F10" s="344">
        <v>6.74</v>
      </c>
      <c r="G10" s="346">
        <f t="shared" si="0"/>
        <v>0.06</v>
      </c>
    </row>
    <row r="11" spans="1:8" ht="15" customHeight="1">
      <c r="A11" s="341" t="s">
        <v>558</v>
      </c>
      <c r="B11" s="347" t="s">
        <v>559</v>
      </c>
      <c r="C11" s="345" t="s">
        <v>89</v>
      </c>
      <c r="D11" s="343" t="s">
        <v>560</v>
      </c>
      <c r="E11" s="344" t="s">
        <v>561</v>
      </c>
      <c r="F11" s="344">
        <v>14.79</v>
      </c>
      <c r="G11" s="346">
        <f t="shared" si="0"/>
        <v>0.02</v>
      </c>
    </row>
    <row r="12" spans="1:8" ht="15" customHeight="1">
      <c r="A12" s="341" t="s">
        <v>562</v>
      </c>
      <c r="B12" s="347" t="s">
        <v>563</v>
      </c>
      <c r="C12" s="345" t="s">
        <v>89</v>
      </c>
      <c r="D12" s="343" t="s">
        <v>344</v>
      </c>
      <c r="E12" s="344" t="s">
        <v>564</v>
      </c>
      <c r="F12" s="344">
        <v>8.7899999999999991</v>
      </c>
      <c r="G12" s="346">
        <f t="shared" si="0"/>
        <v>0.02</v>
      </c>
    </row>
    <row r="13" spans="1:8" ht="15" customHeight="1">
      <c r="A13" s="341" t="s">
        <v>565</v>
      </c>
      <c r="B13" s="347" t="s">
        <v>566</v>
      </c>
      <c r="C13" s="345" t="s">
        <v>89</v>
      </c>
      <c r="D13" s="343" t="s">
        <v>344</v>
      </c>
      <c r="E13" s="344" t="s">
        <v>561</v>
      </c>
      <c r="F13" s="348">
        <v>26.5</v>
      </c>
      <c r="G13" s="346">
        <f t="shared" si="0"/>
        <v>0.04</v>
      </c>
    </row>
    <row r="14" spans="1:8" ht="15" customHeight="1">
      <c r="A14" s="341" t="s">
        <v>567</v>
      </c>
      <c r="B14" s="347" t="s">
        <v>568</v>
      </c>
      <c r="C14" s="345" t="s">
        <v>89</v>
      </c>
      <c r="D14" s="343" t="s">
        <v>344</v>
      </c>
      <c r="E14" s="344" t="s">
        <v>561</v>
      </c>
      <c r="F14" s="344">
        <v>11.95</v>
      </c>
      <c r="G14" s="346">
        <f t="shared" si="0"/>
        <v>0.01</v>
      </c>
    </row>
    <row r="15" spans="1:8" ht="15" customHeight="1">
      <c r="A15" s="341" t="s">
        <v>569</v>
      </c>
      <c r="B15" s="347" t="s">
        <v>570</v>
      </c>
      <c r="C15" s="345" t="s">
        <v>89</v>
      </c>
      <c r="D15" s="343" t="s">
        <v>344</v>
      </c>
      <c r="E15" s="344" t="s">
        <v>571</v>
      </c>
      <c r="F15" s="344">
        <v>401.46</v>
      </c>
      <c r="G15" s="346">
        <f t="shared" si="0"/>
        <v>0.02</v>
      </c>
    </row>
    <row r="16" spans="1:8" ht="15" customHeight="1">
      <c r="A16" s="341" t="s">
        <v>572</v>
      </c>
      <c r="B16" s="347" t="s">
        <v>573</v>
      </c>
      <c r="C16" s="345" t="s">
        <v>89</v>
      </c>
      <c r="D16" s="343" t="s">
        <v>344</v>
      </c>
      <c r="E16" s="344" t="s">
        <v>574</v>
      </c>
      <c r="F16" s="344">
        <v>127.63</v>
      </c>
      <c r="G16" s="346">
        <f t="shared" si="0"/>
        <v>0.03</v>
      </c>
    </row>
    <row r="17" spans="1:9" ht="30" customHeight="1">
      <c r="A17" s="341" t="s">
        <v>575</v>
      </c>
      <c r="B17" s="347" t="s">
        <v>576</v>
      </c>
      <c r="C17" s="345" t="s">
        <v>89</v>
      </c>
      <c r="D17" s="343" t="s">
        <v>344</v>
      </c>
      <c r="E17" s="344" t="s">
        <v>577</v>
      </c>
      <c r="F17" s="348">
        <v>549</v>
      </c>
      <c r="G17" s="346">
        <f t="shared" si="0"/>
        <v>0.02</v>
      </c>
    </row>
    <row r="18" spans="1:9" ht="30" customHeight="1">
      <c r="A18" s="341" t="s">
        <v>578</v>
      </c>
      <c r="B18" s="347" t="s">
        <v>579</v>
      </c>
      <c r="C18" s="345" t="s">
        <v>89</v>
      </c>
      <c r="D18" s="343" t="s">
        <v>344</v>
      </c>
      <c r="E18" s="344" t="s">
        <v>580</v>
      </c>
      <c r="F18" s="344">
        <v>192.31</v>
      </c>
      <c r="G18" s="346">
        <f t="shared" si="0"/>
        <v>0.03</v>
      </c>
    </row>
    <row r="19" spans="1:9" ht="30" customHeight="1">
      <c r="A19" s="341" t="s">
        <v>581</v>
      </c>
      <c r="B19" s="347" t="s">
        <v>582</v>
      </c>
      <c r="C19" s="345" t="s">
        <v>89</v>
      </c>
      <c r="D19" s="343" t="s">
        <v>344</v>
      </c>
      <c r="E19" s="344" t="s">
        <v>577</v>
      </c>
      <c r="F19" s="344">
        <v>544.62</v>
      </c>
      <c r="G19" s="346">
        <f t="shared" si="0"/>
        <v>0.02</v>
      </c>
    </row>
    <row r="20" spans="1:9" ht="14.1" customHeight="1">
      <c r="D20" s="349"/>
      <c r="E20" s="350"/>
      <c r="F20" s="351" t="s">
        <v>92</v>
      </c>
      <c r="G20" s="346"/>
    </row>
    <row r="21" spans="1:9" ht="14.1" customHeight="1">
      <c r="D21" s="349"/>
      <c r="E21" s="350"/>
      <c r="F21" s="351" t="s">
        <v>94</v>
      </c>
      <c r="G21" s="346">
        <f>SUM(G7:G19)</f>
        <v>0.44000000000000006</v>
      </c>
    </row>
    <row r="22" spans="1:9" ht="14.1" customHeight="1">
      <c r="A22" s="352"/>
      <c r="D22" s="349"/>
      <c r="E22" s="350"/>
      <c r="F22" s="351" t="s">
        <v>95</v>
      </c>
      <c r="G22" s="353">
        <f>SUM(G20:G21)</f>
        <v>0.44000000000000006</v>
      </c>
      <c r="H22" s="354"/>
    </row>
    <row r="23" spans="1:9">
      <c r="A23" s="355"/>
      <c r="B23" s="356"/>
      <c r="C23" s="357"/>
      <c r="D23" s="358"/>
      <c r="E23" s="355"/>
      <c r="F23" s="356"/>
      <c r="G23" s="356"/>
      <c r="H23" s="356"/>
      <c r="I23" s="355"/>
    </row>
    <row r="25" spans="1:9" ht="15" customHeight="1">
      <c r="A25" s="130" t="s">
        <v>542</v>
      </c>
    </row>
    <row r="26" spans="1:9" ht="15" customHeight="1">
      <c r="A26" s="130" t="s">
        <v>543</v>
      </c>
      <c r="B26" s="149" t="s">
        <v>583</v>
      </c>
      <c r="C26" s="339"/>
    </row>
    <row r="27" spans="1:9" ht="20.25" customHeight="1">
      <c r="A27" s="130" t="s">
        <v>78</v>
      </c>
      <c r="B27" s="340" t="s">
        <v>584</v>
      </c>
      <c r="C27" s="375" t="s">
        <v>345</v>
      </c>
      <c r="E27" s="338" t="s">
        <v>2</v>
      </c>
      <c r="F27" s="338"/>
      <c r="G27" s="338"/>
    </row>
    <row r="28" spans="1:9" ht="22.5">
      <c r="A28" s="341" t="s">
        <v>30</v>
      </c>
      <c r="B28" s="342" t="s">
        <v>19</v>
      </c>
      <c r="C28" s="343" t="s">
        <v>82</v>
      </c>
      <c r="D28" s="343" t="s">
        <v>79</v>
      </c>
      <c r="E28" s="344" t="s">
        <v>83</v>
      </c>
      <c r="F28" s="345" t="s">
        <v>84</v>
      </c>
      <c r="G28" s="346" t="s">
        <v>85</v>
      </c>
    </row>
    <row r="29" spans="1:9" ht="15" customHeight="1">
      <c r="A29" s="341" t="s">
        <v>87</v>
      </c>
      <c r="B29" s="347" t="s">
        <v>88</v>
      </c>
      <c r="C29" s="345" t="s">
        <v>89</v>
      </c>
      <c r="D29" s="343" t="s">
        <v>585</v>
      </c>
      <c r="E29" s="344" t="s">
        <v>586</v>
      </c>
      <c r="F29" s="348">
        <v>10.8</v>
      </c>
      <c r="G29" s="346">
        <f t="shared" ref="G29:G35" si="1">TRUNC(E29*F29,2)</f>
        <v>0.14000000000000001</v>
      </c>
    </row>
    <row r="30" spans="1:9" ht="30" customHeight="1">
      <c r="A30" s="341" t="s">
        <v>90</v>
      </c>
      <c r="B30" s="347" t="s">
        <v>91</v>
      </c>
      <c r="C30" s="345" t="s">
        <v>89</v>
      </c>
      <c r="D30" s="343" t="s">
        <v>585</v>
      </c>
      <c r="E30" s="344" t="s">
        <v>587</v>
      </c>
      <c r="F30" s="348">
        <v>57.6</v>
      </c>
      <c r="G30" s="346">
        <f t="shared" si="1"/>
        <v>0.09</v>
      </c>
    </row>
    <row r="31" spans="1:9" ht="30" customHeight="1">
      <c r="A31" s="341" t="s">
        <v>588</v>
      </c>
      <c r="B31" s="347" t="s">
        <v>589</v>
      </c>
      <c r="C31" s="345" t="s">
        <v>89</v>
      </c>
      <c r="D31" s="343" t="s">
        <v>344</v>
      </c>
      <c r="E31" s="344" t="s">
        <v>590</v>
      </c>
      <c r="F31" s="348">
        <v>1.34</v>
      </c>
      <c r="G31" s="346">
        <f t="shared" si="1"/>
        <v>0.14000000000000001</v>
      </c>
    </row>
    <row r="32" spans="1:9" ht="15" customHeight="1">
      <c r="A32" s="341" t="s">
        <v>591</v>
      </c>
      <c r="B32" s="347" t="s">
        <v>592</v>
      </c>
      <c r="C32" s="345" t="s">
        <v>89</v>
      </c>
      <c r="D32" s="343" t="s">
        <v>344</v>
      </c>
      <c r="E32" s="344" t="s">
        <v>593</v>
      </c>
      <c r="F32" s="348">
        <v>204</v>
      </c>
      <c r="G32" s="346">
        <f t="shared" si="1"/>
        <v>0.25</v>
      </c>
    </row>
    <row r="33" spans="1:9" ht="33.75">
      <c r="A33" s="341" t="s">
        <v>594</v>
      </c>
      <c r="B33" s="347" t="s">
        <v>595</v>
      </c>
      <c r="C33" s="345" t="s">
        <v>89</v>
      </c>
      <c r="D33" s="343" t="s">
        <v>344</v>
      </c>
      <c r="E33" s="344" t="s">
        <v>596</v>
      </c>
      <c r="F33" s="348">
        <v>141</v>
      </c>
      <c r="G33" s="346">
        <f t="shared" si="1"/>
        <v>0.1</v>
      </c>
    </row>
    <row r="34" spans="1:9" ht="30" customHeight="1">
      <c r="A34" s="341" t="s">
        <v>597</v>
      </c>
      <c r="B34" s="347" t="s">
        <v>598</v>
      </c>
      <c r="C34" s="345" t="s">
        <v>89</v>
      </c>
      <c r="D34" s="343" t="s">
        <v>344</v>
      </c>
      <c r="E34" s="344" t="s">
        <v>599</v>
      </c>
      <c r="F34" s="348">
        <v>35.64</v>
      </c>
      <c r="G34" s="346">
        <f t="shared" si="1"/>
        <v>0.09</v>
      </c>
    </row>
    <row r="35" spans="1:9" ht="33.75">
      <c r="A35" s="341" t="s">
        <v>600</v>
      </c>
      <c r="B35" s="347" t="s">
        <v>601</v>
      </c>
      <c r="C35" s="345" t="s">
        <v>89</v>
      </c>
      <c r="D35" s="343" t="s">
        <v>344</v>
      </c>
      <c r="E35" s="344" t="s">
        <v>602</v>
      </c>
      <c r="F35" s="348">
        <v>160.5</v>
      </c>
      <c r="G35" s="346">
        <f t="shared" si="1"/>
        <v>0.17</v>
      </c>
    </row>
    <row r="36" spans="1:9" ht="15" customHeight="1">
      <c r="D36" s="349"/>
      <c r="E36" s="350"/>
      <c r="F36" s="351" t="s">
        <v>92</v>
      </c>
      <c r="G36" s="346"/>
    </row>
    <row r="37" spans="1:9" ht="15" customHeight="1">
      <c r="D37" s="349"/>
      <c r="E37" s="350"/>
      <c r="F37" s="351" t="s">
        <v>94</v>
      </c>
      <c r="G37" s="346">
        <f>SUM(G29:G35)</f>
        <v>0.98</v>
      </c>
    </row>
    <row r="38" spans="1:9" ht="15" customHeight="1">
      <c r="A38" s="352"/>
      <c r="D38" s="349"/>
      <c r="E38" s="350"/>
      <c r="F38" s="351" t="s">
        <v>95</v>
      </c>
      <c r="G38" s="353">
        <f>SUM(G36:G37)</f>
        <v>0.98</v>
      </c>
      <c r="H38" s="354"/>
    </row>
    <row r="39" spans="1:9">
      <c r="A39" s="355"/>
      <c r="B39" s="356"/>
      <c r="C39" s="357"/>
      <c r="D39" s="358"/>
      <c r="E39" s="355"/>
      <c r="F39" s="356"/>
      <c r="G39" s="356"/>
      <c r="H39" s="356"/>
      <c r="I39" s="355"/>
    </row>
    <row r="41" spans="1:9">
      <c r="A41" s="130" t="s">
        <v>542</v>
      </c>
      <c r="C41" s="133"/>
      <c r="D41" s="130"/>
      <c r="E41" s="135"/>
      <c r="H41" s="337"/>
    </row>
    <row r="42" spans="1:9">
      <c r="A42" s="130" t="s">
        <v>835</v>
      </c>
      <c r="C42" s="133"/>
      <c r="D42" s="130"/>
      <c r="E42" s="135"/>
      <c r="H42" s="337"/>
    </row>
    <row r="43" spans="1:9" ht="19.5" customHeight="1">
      <c r="A43" s="418" t="s">
        <v>820</v>
      </c>
      <c r="B43" s="1356" t="s">
        <v>836</v>
      </c>
      <c r="C43" s="1356"/>
      <c r="D43" s="1356"/>
      <c r="E43" s="419" t="s">
        <v>345</v>
      </c>
      <c r="G43" s="419"/>
      <c r="H43" s="337"/>
    </row>
    <row r="44" spans="1:9" ht="22.5">
      <c r="A44" s="415" t="s">
        <v>30</v>
      </c>
      <c r="B44" s="420" t="s">
        <v>19</v>
      </c>
      <c r="C44" s="343" t="s">
        <v>82</v>
      </c>
      <c r="D44" s="344" t="s">
        <v>79</v>
      </c>
      <c r="E44" s="344" t="s">
        <v>83</v>
      </c>
      <c r="F44" s="345" t="s">
        <v>84</v>
      </c>
      <c r="G44" s="421" t="s">
        <v>85</v>
      </c>
      <c r="H44" s="337"/>
    </row>
    <row r="45" spans="1:9" ht="14.1" customHeight="1">
      <c r="A45" s="415" t="s">
        <v>605</v>
      </c>
      <c r="B45" s="347" t="s">
        <v>606</v>
      </c>
      <c r="C45" s="344" t="s">
        <v>102</v>
      </c>
      <c r="D45" s="343" t="s">
        <v>345</v>
      </c>
      <c r="E45" s="387">
        <v>1</v>
      </c>
      <c r="F45" s="432">
        <f>10.6</f>
        <v>10.6</v>
      </c>
      <c r="G45" s="369">
        <f>TRUNC(E45*F45,2)</f>
        <v>10.6</v>
      </c>
    </row>
    <row r="46" spans="1:9" ht="22.5">
      <c r="A46" s="415" t="s">
        <v>656</v>
      </c>
      <c r="B46" s="347" t="s">
        <v>657</v>
      </c>
      <c r="C46" s="344" t="s">
        <v>658</v>
      </c>
      <c r="D46" s="343" t="s">
        <v>345</v>
      </c>
      <c r="E46" s="387">
        <v>1</v>
      </c>
      <c r="F46" s="388">
        <v>2.15</v>
      </c>
      <c r="G46" s="346">
        <f t="shared" ref="G46:G52" si="2">TRUNC(E46*F46,2)</f>
        <v>2.15</v>
      </c>
    </row>
    <row r="47" spans="1:9" ht="22.5">
      <c r="A47" s="415" t="s">
        <v>659</v>
      </c>
      <c r="B47" s="347" t="s">
        <v>660</v>
      </c>
      <c r="C47" s="344" t="s">
        <v>658</v>
      </c>
      <c r="D47" s="343" t="s">
        <v>345</v>
      </c>
      <c r="E47" s="387">
        <v>1</v>
      </c>
      <c r="F47" s="388">
        <v>0.6</v>
      </c>
      <c r="G47" s="369">
        <f t="shared" si="2"/>
        <v>0.6</v>
      </c>
    </row>
    <row r="48" spans="1:9" ht="22.5">
      <c r="A48" s="415" t="s">
        <v>661</v>
      </c>
      <c r="B48" s="347" t="s">
        <v>662</v>
      </c>
      <c r="C48" s="344" t="s">
        <v>658</v>
      </c>
      <c r="D48" s="343" t="s">
        <v>345</v>
      </c>
      <c r="E48" s="387">
        <v>1</v>
      </c>
      <c r="F48" s="388">
        <v>0.37</v>
      </c>
      <c r="G48" s="346">
        <f t="shared" si="2"/>
        <v>0.37</v>
      </c>
    </row>
    <row r="49" spans="1:9" ht="22.5">
      <c r="A49" s="415" t="s">
        <v>663</v>
      </c>
      <c r="B49" s="347" t="s">
        <v>664</v>
      </c>
      <c r="C49" s="344" t="s">
        <v>658</v>
      </c>
      <c r="D49" s="343" t="s">
        <v>345</v>
      </c>
      <c r="E49" s="387">
        <v>1</v>
      </c>
      <c r="F49" s="388">
        <v>0.02</v>
      </c>
      <c r="G49" s="346">
        <f t="shared" si="2"/>
        <v>0.02</v>
      </c>
    </row>
    <row r="50" spans="1:9" ht="22.5">
      <c r="A50" s="415" t="s">
        <v>837</v>
      </c>
      <c r="B50" s="347" t="s">
        <v>545</v>
      </c>
      <c r="C50" s="344" t="s">
        <v>89</v>
      </c>
      <c r="D50" s="343" t="s">
        <v>345</v>
      </c>
      <c r="E50" s="387">
        <v>1</v>
      </c>
      <c r="F50" s="388">
        <f>G22</f>
        <v>0.44000000000000006</v>
      </c>
      <c r="G50" s="346">
        <f t="shared" si="2"/>
        <v>0.44</v>
      </c>
    </row>
    <row r="51" spans="1:9" ht="14.1" customHeight="1">
      <c r="A51" s="415" t="s">
        <v>665</v>
      </c>
      <c r="B51" s="347" t="s">
        <v>584</v>
      </c>
      <c r="C51" s="344" t="s">
        <v>89</v>
      </c>
      <c r="D51" s="343" t="s">
        <v>345</v>
      </c>
      <c r="E51" s="387">
        <v>1</v>
      </c>
      <c r="F51" s="388">
        <f>G38</f>
        <v>0.98</v>
      </c>
      <c r="G51" s="346">
        <f t="shared" si="2"/>
        <v>0.98</v>
      </c>
    </row>
    <row r="52" spans="1:9" ht="33.75">
      <c r="A52" s="415" t="s">
        <v>838</v>
      </c>
      <c r="B52" s="347" t="s">
        <v>604</v>
      </c>
      <c r="C52" s="344" t="s">
        <v>102</v>
      </c>
      <c r="D52" s="343" t="s">
        <v>345</v>
      </c>
      <c r="E52" s="387">
        <v>1</v>
      </c>
      <c r="F52" s="388">
        <f>G492</f>
        <v>0.14000000000000001</v>
      </c>
      <c r="G52" s="346">
        <f t="shared" si="2"/>
        <v>0.14000000000000001</v>
      </c>
    </row>
    <row r="53" spans="1:9" ht="14.1" customHeight="1">
      <c r="C53" s="130"/>
      <c r="D53" s="389"/>
      <c r="E53" s="350"/>
      <c r="F53" s="351" t="s">
        <v>92</v>
      </c>
      <c r="G53" s="369">
        <f>G45+G52</f>
        <v>10.74</v>
      </c>
    </row>
    <row r="54" spans="1:9" ht="14.1" customHeight="1">
      <c r="C54" s="130"/>
      <c r="D54" s="147"/>
      <c r="E54" s="350"/>
      <c r="F54" s="351" t="s">
        <v>94</v>
      </c>
      <c r="G54" s="369">
        <f>SUM(G46:G51)</f>
        <v>4.5600000000000005</v>
      </c>
    </row>
    <row r="55" spans="1:9" ht="14.1" customHeight="1">
      <c r="A55" s="390"/>
      <c r="B55" s="146"/>
      <c r="C55" s="130"/>
      <c r="D55" s="376"/>
      <c r="E55" s="350"/>
      <c r="F55" s="351" t="s">
        <v>95</v>
      </c>
      <c r="G55" s="370">
        <f>SUM(G53:G54)</f>
        <v>15.3</v>
      </c>
      <c r="H55" s="354"/>
    </row>
    <row r="56" spans="1:9">
      <c r="A56" s="434"/>
      <c r="B56" s="435"/>
      <c r="C56" s="358"/>
      <c r="D56" s="355"/>
      <c r="E56" s="356"/>
      <c r="F56" s="356"/>
      <c r="G56" s="356"/>
      <c r="H56" s="355"/>
      <c r="I56" s="355"/>
    </row>
    <row r="58" spans="1:9">
      <c r="A58" s="130" t="s">
        <v>542</v>
      </c>
      <c r="C58" s="133"/>
      <c r="D58" s="130"/>
      <c r="E58" s="135"/>
      <c r="H58" s="337"/>
    </row>
    <row r="59" spans="1:9">
      <c r="A59" s="130" t="s">
        <v>2070</v>
      </c>
      <c r="C59" s="133"/>
      <c r="D59" s="130"/>
      <c r="E59" s="135"/>
      <c r="H59" s="337"/>
    </row>
    <row r="60" spans="1:9" ht="15" customHeight="1">
      <c r="A60" s="418" t="s">
        <v>820</v>
      </c>
      <c r="B60" s="1356" t="s">
        <v>2069</v>
      </c>
      <c r="C60" s="1356"/>
      <c r="D60" s="419" t="s">
        <v>345</v>
      </c>
      <c r="G60" s="419"/>
      <c r="H60" s="337"/>
    </row>
    <row r="61" spans="1:9" ht="22.5">
      <c r="A61" s="1013" t="s">
        <v>30</v>
      </c>
      <c r="B61" s="420" t="s">
        <v>19</v>
      </c>
      <c r="C61" s="343" t="s">
        <v>82</v>
      </c>
      <c r="D61" s="1004" t="s">
        <v>79</v>
      </c>
      <c r="E61" s="1004" t="s">
        <v>83</v>
      </c>
      <c r="F61" s="345" t="s">
        <v>84</v>
      </c>
      <c r="G61" s="421" t="s">
        <v>85</v>
      </c>
      <c r="H61" s="337"/>
    </row>
    <row r="62" spans="1:9" ht="15" customHeight="1">
      <c r="A62" s="1013">
        <v>6127</v>
      </c>
      <c r="B62" s="1011" t="s">
        <v>2071</v>
      </c>
      <c r="C62" s="1004" t="s">
        <v>102</v>
      </c>
      <c r="D62" s="343" t="s">
        <v>345</v>
      </c>
      <c r="E62" s="387">
        <v>1</v>
      </c>
      <c r="F62" s="432">
        <f>10.9</f>
        <v>10.9</v>
      </c>
      <c r="G62" s="369">
        <f>TRUNC(E62*F62,2)</f>
        <v>10.9</v>
      </c>
    </row>
    <row r="63" spans="1:9" ht="22.5">
      <c r="A63" s="1013" t="s">
        <v>656</v>
      </c>
      <c r="B63" s="1011" t="s">
        <v>657</v>
      </c>
      <c r="C63" s="1004" t="s">
        <v>658</v>
      </c>
      <c r="D63" s="343" t="s">
        <v>345</v>
      </c>
      <c r="E63" s="387">
        <v>1</v>
      </c>
      <c r="F63" s="388">
        <v>2.15</v>
      </c>
      <c r="G63" s="346">
        <f t="shared" ref="G63:G69" si="3">TRUNC(E63*F63,2)</f>
        <v>2.15</v>
      </c>
    </row>
    <row r="64" spans="1:9" ht="22.5">
      <c r="A64" s="1013" t="s">
        <v>659</v>
      </c>
      <c r="B64" s="1011" t="s">
        <v>660</v>
      </c>
      <c r="C64" s="1004" t="s">
        <v>658</v>
      </c>
      <c r="D64" s="343" t="s">
        <v>345</v>
      </c>
      <c r="E64" s="387">
        <v>1</v>
      </c>
      <c r="F64" s="388">
        <v>0.6</v>
      </c>
      <c r="G64" s="369">
        <f t="shared" si="3"/>
        <v>0.6</v>
      </c>
    </row>
    <row r="65" spans="1:8" ht="22.5">
      <c r="A65" s="1013" t="s">
        <v>661</v>
      </c>
      <c r="B65" s="1011" t="s">
        <v>662</v>
      </c>
      <c r="C65" s="1004" t="s">
        <v>658</v>
      </c>
      <c r="D65" s="343" t="s">
        <v>345</v>
      </c>
      <c r="E65" s="387">
        <v>1</v>
      </c>
      <c r="F65" s="388">
        <v>0.37</v>
      </c>
      <c r="G65" s="346">
        <f t="shared" si="3"/>
        <v>0.37</v>
      </c>
    </row>
    <row r="66" spans="1:8" ht="22.5">
      <c r="A66" s="1013" t="s">
        <v>663</v>
      </c>
      <c r="B66" s="1011" t="s">
        <v>664</v>
      </c>
      <c r="C66" s="1004" t="s">
        <v>658</v>
      </c>
      <c r="D66" s="343" t="s">
        <v>345</v>
      </c>
      <c r="E66" s="387">
        <v>1</v>
      </c>
      <c r="F66" s="388">
        <v>0.02</v>
      </c>
      <c r="G66" s="346">
        <f t="shared" si="3"/>
        <v>0.02</v>
      </c>
    </row>
    <row r="67" spans="1:8" ht="22.5">
      <c r="A67" s="1013" t="s">
        <v>837</v>
      </c>
      <c r="B67" s="1011" t="s">
        <v>545</v>
      </c>
      <c r="C67" s="1004" t="s">
        <v>89</v>
      </c>
      <c r="D67" s="343" t="s">
        <v>345</v>
      </c>
      <c r="E67" s="387">
        <v>1</v>
      </c>
      <c r="F67" s="388">
        <f>G22</f>
        <v>0.44000000000000006</v>
      </c>
      <c r="G67" s="346">
        <f t="shared" si="3"/>
        <v>0.44</v>
      </c>
    </row>
    <row r="68" spans="1:8" ht="15" customHeight="1">
      <c r="A68" s="1013" t="s">
        <v>665</v>
      </c>
      <c r="B68" s="1011" t="s">
        <v>584</v>
      </c>
      <c r="C68" s="1004" t="s">
        <v>89</v>
      </c>
      <c r="D68" s="343" t="s">
        <v>345</v>
      </c>
      <c r="E68" s="387">
        <v>1</v>
      </c>
      <c r="F68" s="388">
        <f>G38</f>
        <v>0.98</v>
      </c>
      <c r="G68" s="346">
        <f t="shared" si="3"/>
        <v>0.98</v>
      </c>
    </row>
    <row r="69" spans="1:8" ht="22.5">
      <c r="A69" s="1010">
        <v>95312</v>
      </c>
      <c r="B69" s="1011" t="s">
        <v>2072</v>
      </c>
      <c r="C69" s="1004" t="s">
        <v>102</v>
      </c>
      <c r="D69" s="343" t="s">
        <v>345</v>
      </c>
      <c r="E69" s="387">
        <v>1</v>
      </c>
      <c r="F69" s="388">
        <f>G502</f>
        <v>0.12</v>
      </c>
      <c r="G69" s="346">
        <f t="shared" si="3"/>
        <v>0.12</v>
      </c>
    </row>
    <row r="70" spans="1:8" ht="14.1" customHeight="1">
      <c r="C70" s="130"/>
      <c r="D70" s="389"/>
      <c r="E70" s="350"/>
      <c r="F70" s="351" t="s">
        <v>92</v>
      </c>
      <c r="G70" s="369">
        <f>G62+G69</f>
        <v>11.02</v>
      </c>
    </row>
    <row r="71" spans="1:8" ht="14.1" customHeight="1">
      <c r="C71" s="130"/>
      <c r="D71" s="147"/>
      <c r="E71" s="350"/>
      <c r="F71" s="351" t="s">
        <v>94</v>
      </c>
      <c r="G71" s="369">
        <f>SUM(G63:G68)</f>
        <v>4.5600000000000005</v>
      </c>
    </row>
    <row r="72" spans="1:8" ht="14.1" customHeight="1">
      <c r="A72" s="390"/>
      <c r="B72" s="146"/>
      <c r="C72" s="130"/>
      <c r="D72" s="376"/>
      <c r="E72" s="350"/>
      <c r="F72" s="351" t="s">
        <v>95</v>
      </c>
      <c r="G72" s="370">
        <f>SUM(G70:G71)</f>
        <v>15.58</v>
      </c>
      <c r="H72" s="354"/>
    </row>
    <row r="73" spans="1:8">
      <c r="A73" s="434"/>
      <c r="B73" s="435"/>
      <c r="C73" s="358"/>
      <c r="D73" s="355"/>
      <c r="E73" s="356"/>
      <c r="F73" s="356"/>
      <c r="G73" s="356"/>
      <c r="H73" s="355"/>
    </row>
    <row r="75" spans="1:8">
      <c r="A75" s="130" t="s">
        <v>653</v>
      </c>
      <c r="C75" s="133"/>
      <c r="D75" s="130"/>
      <c r="E75" s="135"/>
      <c r="H75" s="130"/>
    </row>
    <row r="76" spans="1:8" ht="14.25" customHeight="1">
      <c r="A76" s="130" t="s">
        <v>33</v>
      </c>
      <c r="B76" s="149" t="s">
        <v>839</v>
      </c>
      <c r="C76" s="133"/>
      <c r="D76" s="130"/>
      <c r="E76" s="135"/>
      <c r="H76" s="130"/>
    </row>
    <row r="77" spans="1:8" ht="18" customHeight="1">
      <c r="A77" s="130" t="s">
        <v>78</v>
      </c>
      <c r="B77" s="1456" t="s">
        <v>116</v>
      </c>
      <c r="C77" s="1456"/>
      <c r="D77" s="375" t="s">
        <v>345</v>
      </c>
      <c r="H77" s="130"/>
    </row>
    <row r="78" spans="1:8" ht="22.5">
      <c r="A78" s="428" t="s">
        <v>30</v>
      </c>
      <c r="B78" s="347" t="s">
        <v>19</v>
      </c>
      <c r="C78" s="343" t="s">
        <v>82</v>
      </c>
      <c r="D78" s="343" t="s">
        <v>79</v>
      </c>
      <c r="E78" s="344" t="s">
        <v>83</v>
      </c>
      <c r="F78" s="345" t="s">
        <v>84</v>
      </c>
      <c r="G78" s="382" t="s">
        <v>85</v>
      </c>
    </row>
    <row r="79" spans="1:8" ht="14.1" customHeight="1">
      <c r="A79" s="415">
        <v>1213</v>
      </c>
      <c r="B79" s="347" t="s">
        <v>617</v>
      </c>
      <c r="C79" s="344" t="s">
        <v>102</v>
      </c>
      <c r="D79" s="343" t="s">
        <v>345</v>
      </c>
      <c r="E79" s="387">
        <v>1</v>
      </c>
      <c r="F79" s="385">
        <f>14.68</f>
        <v>14.68</v>
      </c>
      <c r="G79" s="369">
        <f>TRUNC(E79*F79,2)</f>
        <v>14.68</v>
      </c>
    </row>
    <row r="80" spans="1:8" ht="22.5">
      <c r="A80" s="415" t="s">
        <v>656</v>
      </c>
      <c r="B80" s="347" t="s">
        <v>657</v>
      </c>
      <c r="C80" s="344" t="s">
        <v>658</v>
      </c>
      <c r="D80" s="343" t="s">
        <v>345</v>
      </c>
      <c r="E80" s="387">
        <v>1</v>
      </c>
      <c r="F80" s="388">
        <v>2.15</v>
      </c>
      <c r="G80" s="346">
        <f t="shared" ref="G80:G86" si="4">TRUNC(E80*F80,2)</f>
        <v>2.15</v>
      </c>
    </row>
    <row r="81" spans="1:9" ht="22.5">
      <c r="A81" s="415" t="s">
        <v>659</v>
      </c>
      <c r="B81" s="347" t="s">
        <v>660</v>
      </c>
      <c r="C81" s="344" t="s">
        <v>658</v>
      </c>
      <c r="D81" s="343" t="s">
        <v>345</v>
      </c>
      <c r="E81" s="387">
        <v>1</v>
      </c>
      <c r="F81" s="388">
        <v>0.6</v>
      </c>
      <c r="G81" s="369">
        <f t="shared" si="4"/>
        <v>0.6</v>
      </c>
    </row>
    <row r="82" spans="1:9" ht="22.5">
      <c r="A82" s="415" t="s">
        <v>661</v>
      </c>
      <c r="B82" s="347" t="s">
        <v>662</v>
      </c>
      <c r="C82" s="344" t="s">
        <v>658</v>
      </c>
      <c r="D82" s="343" t="s">
        <v>345</v>
      </c>
      <c r="E82" s="387">
        <v>1</v>
      </c>
      <c r="F82" s="388">
        <v>0.37</v>
      </c>
      <c r="G82" s="346">
        <f t="shared" si="4"/>
        <v>0.37</v>
      </c>
    </row>
    <row r="83" spans="1:9" ht="22.5">
      <c r="A83" s="415" t="s">
        <v>663</v>
      </c>
      <c r="B83" s="347" t="s">
        <v>664</v>
      </c>
      <c r="C83" s="344" t="s">
        <v>658</v>
      </c>
      <c r="D83" s="343" t="s">
        <v>345</v>
      </c>
      <c r="E83" s="387">
        <v>1</v>
      </c>
      <c r="F83" s="388">
        <v>0.02</v>
      </c>
      <c r="G83" s="346">
        <f t="shared" si="4"/>
        <v>0.02</v>
      </c>
    </row>
    <row r="84" spans="1:9" ht="22.5">
      <c r="A84" s="415" t="s">
        <v>837</v>
      </c>
      <c r="B84" s="347" t="s">
        <v>545</v>
      </c>
      <c r="C84" s="344" t="s">
        <v>89</v>
      </c>
      <c r="D84" s="343" t="s">
        <v>345</v>
      </c>
      <c r="E84" s="387">
        <v>1</v>
      </c>
      <c r="F84" s="388">
        <f>G22</f>
        <v>0.44000000000000006</v>
      </c>
      <c r="G84" s="346">
        <f t="shared" si="4"/>
        <v>0.44</v>
      </c>
    </row>
    <row r="85" spans="1:9" ht="14.1" customHeight="1">
      <c r="A85" s="415" t="s">
        <v>665</v>
      </c>
      <c r="B85" s="347" t="s">
        <v>584</v>
      </c>
      <c r="C85" s="344" t="s">
        <v>89</v>
      </c>
      <c r="D85" s="343" t="s">
        <v>345</v>
      </c>
      <c r="E85" s="387">
        <v>1</v>
      </c>
      <c r="F85" s="388">
        <f>G38</f>
        <v>0.98</v>
      </c>
      <c r="G85" s="346">
        <f t="shared" si="4"/>
        <v>0.98</v>
      </c>
    </row>
    <row r="86" spans="1:9" ht="22.5">
      <c r="A86" s="361">
        <v>95330</v>
      </c>
      <c r="B86" s="362" t="s">
        <v>840</v>
      </c>
      <c r="C86" s="344" t="s">
        <v>102</v>
      </c>
      <c r="D86" s="343" t="s">
        <v>345</v>
      </c>
      <c r="E86" s="387">
        <v>1</v>
      </c>
      <c r="F86" s="388">
        <f>G552</f>
        <v>0.13</v>
      </c>
      <c r="G86" s="346">
        <f t="shared" si="4"/>
        <v>0.13</v>
      </c>
    </row>
    <row r="87" spans="1:9" ht="14.1" customHeight="1">
      <c r="C87" s="130"/>
      <c r="D87" s="389"/>
      <c r="E87" s="350"/>
      <c r="F87" s="351" t="s">
        <v>92</v>
      </c>
      <c r="G87" s="369">
        <f>G79+G86</f>
        <v>14.81</v>
      </c>
    </row>
    <row r="88" spans="1:9" ht="14.1" customHeight="1">
      <c r="C88" s="130"/>
      <c r="D88" s="147"/>
      <c r="E88" s="350"/>
      <c r="F88" s="351" t="s">
        <v>94</v>
      </c>
      <c r="G88" s="369">
        <f>SUM(G80:G85)</f>
        <v>4.5600000000000005</v>
      </c>
    </row>
    <row r="89" spans="1:9" ht="14.1" customHeight="1">
      <c r="A89" s="390"/>
      <c r="B89" s="146"/>
      <c r="C89" s="130"/>
      <c r="D89" s="376"/>
      <c r="E89" s="350"/>
      <c r="F89" s="351" t="s">
        <v>95</v>
      </c>
      <c r="G89" s="353">
        <f>SUM(G87:G88)</f>
        <v>19.37</v>
      </c>
      <c r="H89" s="354"/>
    </row>
    <row r="90" spans="1:9">
      <c r="A90" s="355"/>
      <c r="B90" s="356"/>
      <c r="C90" s="358"/>
      <c r="D90" s="355"/>
      <c r="E90" s="356"/>
      <c r="F90" s="356"/>
      <c r="G90" s="356"/>
      <c r="H90" s="355"/>
      <c r="I90" s="355"/>
    </row>
    <row r="92" spans="1:9">
      <c r="A92" s="130" t="s">
        <v>653</v>
      </c>
      <c r="C92" s="133"/>
      <c r="D92" s="130"/>
      <c r="E92" s="135"/>
      <c r="H92" s="130"/>
    </row>
    <row r="93" spans="1:9">
      <c r="A93" s="130" t="s">
        <v>33</v>
      </c>
      <c r="B93" s="149" t="s">
        <v>841</v>
      </c>
      <c r="C93" s="133"/>
      <c r="D93" s="130"/>
      <c r="E93" s="135"/>
      <c r="H93" s="130"/>
    </row>
    <row r="94" spans="1:9" ht="15.75" customHeight="1">
      <c r="A94" s="130" t="s">
        <v>78</v>
      </c>
      <c r="B94" s="340" t="s">
        <v>106</v>
      </c>
      <c r="C94" s="375" t="s">
        <v>345</v>
      </c>
      <c r="D94" s="130" t="s">
        <v>2</v>
      </c>
      <c r="E94" s="135"/>
      <c r="H94" s="130"/>
    </row>
    <row r="95" spans="1:9" ht="22.5">
      <c r="A95" s="428" t="s">
        <v>30</v>
      </c>
      <c r="B95" s="347" t="s">
        <v>19</v>
      </c>
      <c r="C95" s="343" t="s">
        <v>82</v>
      </c>
      <c r="D95" s="343" t="s">
        <v>79</v>
      </c>
      <c r="E95" s="344" t="s">
        <v>83</v>
      </c>
      <c r="F95" s="345" t="s">
        <v>84</v>
      </c>
      <c r="G95" s="382" t="s">
        <v>85</v>
      </c>
      <c r="H95" s="130"/>
    </row>
    <row r="96" spans="1:9" ht="14.1" customHeight="1">
      <c r="A96" s="415">
        <v>6111</v>
      </c>
      <c r="B96" s="347" t="s">
        <v>609</v>
      </c>
      <c r="C96" s="343" t="s">
        <v>102</v>
      </c>
      <c r="D96" s="343" t="s">
        <v>345</v>
      </c>
      <c r="E96" s="387">
        <v>1</v>
      </c>
      <c r="F96" s="432">
        <f>10.92</f>
        <v>10.92</v>
      </c>
      <c r="G96" s="369">
        <f>TRUNC(E96*F96,2)</f>
        <v>10.92</v>
      </c>
      <c r="H96" s="130"/>
    </row>
    <row r="97" spans="1:9" ht="22.5">
      <c r="A97" s="415" t="s">
        <v>656</v>
      </c>
      <c r="B97" s="347" t="s">
        <v>657</v>
      </c>
      <c r="C97" s="343" t="s">
        <v>658</v>
      </c>
      <c r="D97" s="343" t="s">
        <v>345</v>
      </c>
      <c r="E97" s="387">
        <v>1</v>
      </c>
      <c r="F97" s="388">
        <v>2.15</v>
      </c>
      <c r="G97" s="346">
        <f t="shared" ref="G97:G103" si="5">TRUNC(E97*F97,2)</f>
        <v>2.15</v>
      </c>
      <c r="H97" s="130"/>
    </row>
    <row r="98" spans="1:9" ht="22.5">
      <c r="A98" s="415" t="s">
        <v>659</v>
      </c>
      <c r="B98" s="347" t="s">
        <v>660</v>
      </c>
      <c r="C98" s="343" t="s">
        <v>658</v>
      </c>
      <c r="D98" s="343" t="s">
        <v>345</v>
      </c>
      <c r="E98" s="387">
        <v>1</v>
      </c>
      <c r="F98" s="388">
        <v>0.6</v>
      </c>
      <c r="G98" s="369">
        <f t="shared" si="5"/>
        <v>0.6</v>
      </c>
      <c r="H98" s="130"/>
    </row>
    <row r="99" spans="1:9" ht="22.5">
      <c r="A99" s="415" t="s">
        <v>661</v>
      </c>
      <c r="B99" s="347" t="s">
        <v>662</v>
      </c>
      <c r="C99" s="343" t="s">
        <v>658</v>
      </c>
      <c r="D99" s="343" t="s">
        <v>345</v>
      </c>
      <c r="E99" s="387">
        <v>1</v>
      </c>
      <c r="F99" s="388">
        <v>0.37</v>
      </c>
      <c r="G99" s="346">
        <f t="shared" si="5"/>
        <v>0.37</v>
      </c>
      <c r="H99" s="130"/>
    </row>
    <row r="100" spans="1:9" ht="22.5">
      <c r="A100" s="415" t="s">
        <v>663</v>
      </c>
      <c r="B100" s="347" t="s">
        <v>664</v>
      </c>
      <c r="C100" s="343" t="s">
        <v>658</v>
      </c>
      <c r="D100" s="343" t="s">
        <v>345</v>
      </c>
      <c r="E100" s="387">
        <v>1</v>
      </c>
      <c r="F100" s="388">
        <v>0.02</v>
      </c>
      <c r="G100" s="346">
        <f t="shared" si="5"/>
        <v>0.02</v>
      </c>
      <c r="H100" s="130"/>
    </row>
    <row r="101" spans="1:9" ht="22.5">
      <c r="A101" s="415" t="s">
        <v>837</v>
      </c>
      <c r="B101" s="347" t="s">
        <v>545</v>
      </c>
      <c r="C101" s="343" t="s">
        <v>89</v>
      </c>
      <c r="D101" s="343" t="s">
        <v>345</v>
      </c>
      <c r="E101" s="387">
        <v>1</v>
      </c>
      <c r="F101" s="388">
        <f>G22</f>
        <v>0.44000000000000006</v>
      </c>
      <c r="G101" s="346">
        <f t="shared" si="5"/>
        <v>0.44</v>
      </c>
      <c r="H101" s="130"/>
    </row>
    <row r="102" spans="1:9" ht="14.1" customHeight="1">
      <c r="A102" s="415" t="s">
        <v>665</v>
      </c>
      <c r="B102" s="347" t="s">
        <v>584</v>
      </c>
      <c r="C102" s="343" t="s">
        <v>89</v>
      </c>
      <c r="D102" s="343" t="s">
        <v>345</v>
      </c>
      <c r="E102" s="387">
        <v>1</v>
      </c>
      <c r="F102" s="388">
        <f>G38</f>
        <v>0.98</v>
      </c>
      <c r="G102" s="346">
        <f t="shared" si="5"/>
        <v>0.98</v>
      </c>
      <c r="H102" s="130"/>
    </row>
    <row r="103" spans="1:9" ht="22.5">
      <c r="A103" s="415">
        <v>95378</v>
      </c>
      <c r="B103" s="347" t="s">
        <v>608</v>
      </c>
      <c r="C103" s="343" t="s">
        <v>102</v>
      </c>
      <c r="D103" s="343" t="s">
        <v>345</v>
      </c>
      <c r="E103" s="387">
        <v>1</v>
      </c>
      <c r="F103" s="388">
        <f>G522</f>
        <v>0.18</v>
      </c>
      <c r="G103" s="346">
        <f t="shared" si="5"/>
        <v>0.18</v>
      </c>
      <c r="H103" s="130"/>
    </row>
    <row r="104" spans="1:9" ht="14.1" customHeight="1">
      <c r="C104" s="133"/>
      <c r="D104" s="389"/>
      <c r="E104" s="350"/>
      <c r="F104" s="351" t="s">
        <v>92</v>
      </c>
      <c r="G104" s="369">
        <f>G96+G103</f>
        <v>11.1</v>
      </c>
      <c r="H104" s="130"/>
    </row>
    <row r="105" spans="1:9" ht="14.1" customHeight="1">
      <c r="C105" s="133"/>
      <c r="D105" s="147"/>
      <c r="E105" s="350"/>
      <c r="F105" s="351" t="s">
        <v>94</v>
      </c>
      <c r="G105" s="369">
        <f>SUM(G97:G102)</f>
        <v>4.5600000000000005</v>
      </c>
      <c r="H105" s="130"/>
    </row>
    <row r="106" spans="1:9" ht="14.1" customHeight="1">
      <c r="A106" s="390"/>
      <c r="B106" s="146"/>
      <c r="C106" s="133"/>
      <c r="D106" s="376"/>
      <c r="E106" s="350"/>
      <c r="F106" s="351" t="s">
        <v>95</v>
      </c>
      <c r="G106" s="353">
        <f>SUM(G104:G105)</f>
        <v>15.66</v>
      </c>
      <c r="H106" s="130"/>
    </row>
    <row r="107" spans="1:9">
      <c r="A107" s="355"/>
      <c r="B107" s="356"/>
      <c r="C107" s="358"/>
      <c r="D107" s="355"/>
      <c r="E107" s="356"/>
      <c r="F107" s="356"/>
      <c r="G107" s="356"/>
      <c r="H107" s="355"/>
      <c r="I107" s="355"/>
    </row>
    <row r="109" spans="1:9">
      <c r="A109" s="130" t="s">
        <v>653</v>
      </c>
      <c r="C109" s="133"/>
      <c r="D109" s="130"/>
      <c r="E109" s="135"/>
      <c r="H109" s="130"/>
    </row>
    <row r="110" spans="1:9">
      <c r="A110" s="130" t="s">
        <v>33</v>
      </c>
      <c r="B110" s="149" t="s">
        <v>842</v>
      </c>
      <c r="C110" s="133"/>
      <c r="D110" s="130"/>
      <c r="E110" s="135"/>
      <c r="H110" s="130"/>
    </row>
    <row r="111" spans="1:9" ht="25.5" customHeight="1">
      <c r="A111" s="130" t="s">
        <v>78</v>
      </c>
      <c r="B111" s="1456" t="s">
        <v>843</v>
      </c>
      <c r="C111" s="1456"/>
      <c r="D111" s="150" t="s">
        <v>345</v>
      </c>
      <c r="H111" s="130"/>
    </row>
    <row r="112" spans="1:9" ht="22.5">
      <c r="A112" s="428" t="s">
        <v>30</v>
      </c>
      <c r="B112" s="347" t="s">
        <v>19</v>
      </c>
      <c r="C112" s="343" t="s">
        <v>82</v>
      </c>
      <c r="D112" s="343" t="s">
        <v>79</v>
      </c>
      <c r="E112" s="344" t="s">
        <v>83</v>
      </c>
      <c r="F112" s="345" t="s">
        <v>84</v>
      </c>
      <c r="G112" s="382" t="s">
        <v>85</v>
      </c>
      <c r="H112" s="130"/>
    </row>
    <row r="113" spans="1:9" ht="14.1" customHeight="1">
      <c r="A113" s="361">
        <v>4094</v>
      </c>
      <c r="B113" s="362" t="s">
        <v>844</v>
      </c>
      <c r="C113" s="343" t="s">
        <v>102</v>
      </c>
      <c r="D113" s="383" t="s">
        <v>345</v>
      </c>
      <c r="E113" s="384">
        <v>1</v>
      </c>
      <c r="F113" s="385">
        <f>16.13</f>
        <v>16.13</v>
      </c>
      <c r="G113" s="386">
        <f>TRUNC(E113*F113,2)</f>
        <v>16.13</v>
      </c>
      <c r="H113" s="130"/>
    </row>
    <row r="114" spans="1:9" ht="22.5">
      <c r="A114" s="415" t="s">
        <v>656</v>
      </c>
      <c r="B114" s="347" t="s">
        <v>657</v>
      </c>
      <c r="C114" s="343" t="s">
        <v>658</v>
      </c>
      <c r="D114" s="343" t="s">
        <v>345</v>
      </c>
      <c r="E114" s="387">
        <v>1</v>
      </c>
      <c r="F114" s="388">
        <v>2.15</v>
      </c>
      <c r="G114" s="346">
        <f t="shared" ref="G114:G118" si="6">TRUNC(E114*F114,2)</f>
        <v>2.15</v>
      </c>
      <c r="H114" s="130"/>
    </row>
    <row r="115" spans="1:9" ht="22.5">
      <c r="A115" s="415" t="s">
        <v>659</v>
      </c>
      <c r="B115" s="347" t="s">
        <v>660</v>
      </c>
      <c r="C115" s="343" t="s">
        <v>658</v>
      </c>
      <c r="D115" s="343" t="s">
        <v>345</v>
      </c>
      <c r="E115" s="387">
        <v>1</v>
      </c>
      <c r="F115" s="388">
        <v>0.6</v>
      </c>
      <c r="G115" s="369">
        <f t="shared" si="6"/>
        <v>0.6</v>
      </c>
      <c r="H115" s="130"/>
    </row>
    <row r="116" spans="1:9" ht="22.5">
      <c r="A116" s="415" t="s">
        <v>661</v>
      </c>
      <c r="B116" s="347" t="s">
        <v>662</v>
      </c>
      <c r="C116" s="343" t="s">
        <v>658</v>
      </c>
      <c r="D116" s="343" t="s">
        <v>345</v>
      </c>
      <c r="E116" s="387">
        <v>1</v>
      </c>
      <c r="F116" s="388">
        <v>0.37</v>
      </c>
      <c r="G116" s="346">
        <f t="shared" si="6"/>
        <v>0.37</v>
      </c>
      <c r="H116" s="130"/>
    </row>
    <row r="117" spans="1:9" ht="22.5">
      <c r="A117" s="415" t="s">
        <v>663</v>
      </c>
      <c r="B117" s="347" t="s">
        <v>664</v>
      </c>
      <c r="C117" s="343" t="s">
        <v>658</v>
      </c>
      <c r="D117" s="343" t="s">
        <v>345</v>
      </c>
      <c r="E117" s="387">
        <v>1</v>
      </c>
      <c r="F117" s="388">
        <v>0.02</v>
      </c>
      <c r="G117" s="346">
        <f t="shared" si="6"/>
        <v>0.02</v>
      </c>
      <c r="H117" s="130"/>
    </row>
    <row r="118" spans="1:9" ht="33.75">
      <c r="A118" s="361">
        <v>95348</v>
      </c>
      <c r="B118" s="362" t="s">
        <v>845</v>
      </c>
      <c r="C118" s="343" t="s">
        <v>102</v>
      </c>
      <c r="D118" s="343" t="s">
        <v>345</v>
      </c>
      <c r="E118" s="387">
        <v>1</v>
      </c>
      <c r="F118" s="388">
        <f>G532</f>
        <v>0.06</v>
      </c>
      <c r="G118" s="346">
        <f t="shared" si="6"/>
        <v>0.06</v>
      </c>
      <c r="H118" s="130"/>
    </row>
    <row r="119" spans="1:9" ht="14.1" customHeight="1">
      <c r="C119" s="133"/>
      <c r="D119" s="389"/>
      <c r="E119" s="350"/>
      <c r="F119" s="351" t="s">
        <v>92</v>
      </c>
      <c r="G119" s="369">
        <f>G113+G118</f>
        <v>16.189999999999998</v>
      </c>
      <c r="H119" s="130"/>
    </row>
    <row r="120" spans="1:9" ht="14.1" customHeight="1">
      <c r="C120" s="133"/>
      <c r="D120" s="147"/>
      <c r="E120" s="350"/>
      <c r="F120" s="351" t="s">
        <v>94</v>
      </c>
      <c r="G120" s="369">
        <f>SUM(G114:G117)</f>
        <v>3.14</v>
      </c>
      <c r="H120" s="130"/>
    </row>
    <row r="121" spans="1:9" ht="14.1" customHeight="1">
      <c r="A121" s="390"/>
      <c r="B121" s="146"/>
      <c r="C121" s="133"/>
      <c r="D121" s="376"/>
      <c r="E121" s="350"/>
      <c r="F121" s="351" t="s">
        <v>95</v>
      </c>
      <c r="G121" s="353">
        <f>SUM(G119:G120)</f>
        <v>19.329999999999998</v>
      </c>
      <c r="H121" s="130"/>
    </row>
    <row r="122" spans="1:9">
      <c r="A122" s="355"/>
      <c r="B122" s="356"/>
      <c r="C122" s="358"/>
      <c r="D122" s="355"/>
      <c r="E122" s="356"/>
      <c r="F122" s="356"/>
      <c r="G122" s="356"/>
      <c r="H122" s="355"/>
      <c r="I122" s="355"/>
    </row>
    <row r="124" spans="1:9">
      <c r="A124" s="130" t="s">
        <v>653</v>
      </c>
      <c r="C124" s="133"/>
      <c r="D124" s="130"/>
      <c r="E124" s="135"/>
      <c r="H124" s="130"/>
    </row>
    <row r="125" spans="1:9">
      <c r="A125" s="130" t="s">
        <v>33</v>
      </c>
      <c r="B125" s="149" t="s">
        <v>846</v>
      </c>
      <c r="C125" s="133"/>
      <c r="D125" s="130"/>
      <c r="E125" s="135"/>
      <c r="H125" s="130"/>
    </row>
    <row r="126" spans="1:9" ht="16.5" customHeight="1">
      <c r="A126" s="130" t="s">
        <v>78</v>
      </c>
      <c r="B126" s="1456" t="s">
        <v>623</v>
      </c>
      <c r="C126" s="1456"/>
      <c r="D126" s="150" t="s">
        <v>345</v>
      </c>
      <c r="H126" s="130"/>
    </row>
    <row r="127" spans="1:9" ht="22.5">
      <c r="A127" s="428" t="s">
        <v>30</v>
      </c>
      <c r="B127" s="347" t="s">
        <v>19</v>
      </c>
      <c r="C127" s="343" t="s">
        <v>82</v>
      </c>
      <c r="D127" s="343" t="s">
        <v>79</v>
      </c>
      <c r="E127" s="344" t="s">
        <v>83</v>
      </c>
      <c r="F127" s="345" t="s">
        <v>84</v>
      </c>
      <c r="G127" s="382" t="s">
        <v>85</v>
      </c>
      <c r="H127" s="130"/>
    </row>
    <row r="128" spans="1:9" ht="14.1" customHeight="1">
      <c r="A128" s="361">
        <v>20020</v>
      </c>
      <c r="B128" s="362" t="s">
        <v>847</v>
      </c>
      <c r="C128" s="343" t="s">
        <v>102</v>
      </c>
      <c r="D128" s="383" t="s">
        <v>345</v>
      </c>
      <c r="E128" s="384">
        <v>1</v>
      </c>
      <c r="F128" s="385">
        <f>11.38</f>
        <v>11.38</v>
      </c>
      <c r="G128" s="386">
        <f>TRUNC(E128*F128,2)</f>
        <v>11.38</v>
      </c>
      <c r="H128" s="130"/>
    </row>
    <row r="129" spans="1:9" ht="22.5">
      <c r="A129" s="415" t="s">
        <v>656</v>
      </c>
      <c r="B129" s="347" t="s">
        <v>657</v>
      </c>
      <c r="C129" s="343" t="s">
        <v>658</v>
      </c>
      <c r="D129" s="343" t="s">
        <v>345</v>
      </c>
      <c r="E129" s="387">
        <v>1</v>
      </c>
      <c r="F129" s="388">
        <v>2.15</v>
      </c>
      <c r="G129" s="346">
        <f t="shared" ref="G129:G133" si="7">TRUNC(E129*F129,2)</f>
        <v>2.15</v>
      </c>
      <c r="H129" s="130"/>
    </row>
    <row r="130" spans="1:9" ht="22.5">
      <c r="A130" s="415" t="s">
        <v>659</v>
      </c>
      <c r="B130" s="347" t="s">
        <v>660</v>
      </c>
      <c r="C130" s="343" t="s">
        <v>658</v>
      </c>
      <c r="D130" s="343" t="s">
        <v>345</v>
      </c>
      <c r="E130" s="387">
        <v>1</v>
      </c>
      <c r="F130" s="388">
        <v>0.6</v>
      </c>
      <c r="G130" s="369">
        <f t="shared" si="7"/>
        <v>0.6</v>
      </c>
      <c r="H130" s="130"/>
    </row>
    <row r="131" spans="1:9" ht="22.5">
      <c r="A131" s="415" t="s">
        <v>661</v>
      </c>
      <c r="B131" s="347" t="s">
        <v>662</v>
      </c>
      <c r="C131" s="343" t="s">
        <v>658</v>
      </c>
      <c r="D131" s="343" t="s">
        <v>345</v>
      </c>
      <c r="E131" s="387">
        <v>1</v>
      </c>
      <c r="F131" s="388">
        <v>0.37</v>
      </c>
      <c r="G131" s="346">
        <f t="shared" si="7"/>
        <v>0.37</v>
      </c>
      <c r="H131" s="130"/>
    </row>
    <row r="132" spans="1:9" ht="22.5">
      <c r="A132" s="415" t="s">
        <v>663</v>
      </c>
      <c r="B132" s="347" t="s">
        <v>664</v>
      </c>
      <c r="C132" s="343" t="s">
        <v>658</v>
      </c>
      <c r="D132" s="343" t="s">
        <v>345</v>
      </c>
      <c r="E132" s="387">
        <v>1</v>
      </c>
      <c r="F132" s="388">
        <v>0.02</v>
      </c>
      <c r="G132" s="346">
        <f t="shared" si="7"/>
        <v>0.02</v>
      </c>
      <c r="H132" s="130"/>
    </row>
    <row r="133" spans="1:9" ht="29.25" customHeight="1">
      <c r="A133" s="361">
        <v>95346</v>
      </c>
      <c r="B133" s="362" t="s">
        <v>613</v>
      </c>
      <c r="C133" s="343" t="s">
        <v>102</v>
      </c>
      <c r="D133" s="343" t="s">
        <v>345</v>
      </c>
      <c r="E133" s="387">
        <v>1</v>
      </c>
      <c r="F133" s="388">
        <f>G542</f>
        <v>0.04</v>
      </c>
      <c r="G133" s="346">
        <f t="shared" si="7"/>
        <v>0.04</v>
      </c>
      <c r="H133" s="130"/>
    </row>
    <row r="134" spans="1:9" ht="14.1" customHeight="1">
      <c r="C134" s="133"/>
      <c r="D134" s="389"/>
      <c r="E134" s="350"/>
      <c r="F134" s="351" t="s">
        <v>92</v>
      </c>
      <c r="G134" s="369">
        <f>G128+G133</f>
        <v>11.42</v>
      </c>
      <c r="H134" s="130"/>
    </row>
    <row r="135" spans="1:9" ht="14.1" customHeight="1">
      <c r="C135" s="133"/>
      <c r="D135" s="147"/>
      <c r="E135" s="350"/>
      <c r="F135" s="351" t="s">
        <v>94</v>
      </c>
      <c r="G135" s="369">
        <f>SUM(G129:G132)</f>
        <v>3.14</v>
      </c>
      <c r="H135" s="130"/>
    </row>
    <row r="136" spans="1:9" ht="14.1" customHeight="1">
      <c r="A136" s="390"/>
      <c r="B136" s="146"/>
      <c r="C136" s="133"/>
      <c r="D136" s="376"/>
      <c r="E136" s="350"/>
      <c r="F136" s="351" t="s">
        <v>95</v>
      </c>
      <c r="G136" s="353">
        <f>SUM(G134:G135)</f>
        <v>14.56</v>
      </c>
      <c r="H136" s="130"/>
    </row>
    <row r="137" spans="1:9">
      <c r="A137" s="355"/>
      <c r="B137" s="356"/>
      <c r="C137" s="358"/>
      <c r="D137" s="355"/>
      <c r="E137" s="356"/>
      <c r="F137" s="356"/>
      <c r="G137" s="356"/>
      <c r="H137" s="355"/>
      <c r="I137" s="355"/>
    </row>
    <row r="139" spans="1:9">
      <c r="A139" s="130" t="s">
        <v>653</v>
      </c>
      <c r="C139" s="133"/>
      <c r="D139" s="130"/>
      <c r="E139" s="135"/>
      <c r="H139" s="130"/>
    </row>
    <row r="140" spans="1:9">
      <c r="A140" s="130" t="s">
        <v>33</v>
      </c>
      <c r="B140" s="359" t="s">
        <v>848</v>
      </c>
      <c r="C140" s="336"/>
      <c r="D140" s="130"/>
      <c r="E140" s="135"/>
      <c r="H140" s="130"/>
    </row>
    <row r="141" spans="1:9">
      <c r="A141" s="130" t="s">
        <v>78</v>
      </c>
      <c r="B141" s="1464" t="s">
        <v>110</v>
      </c>
      <c r="C141" s="1464"/>
      <c r="D141" s="150" t="s">
        <v>345</v>
      </c>
      <c r="H141" s="130"/>
    </row>
    <row r="142" spans="1:9" ht="22.5">
      <c r="A142" s="428" t="s">
        <v>30</v>
      </c>
      <c r="B142" s="347" t="s">
        <v>19</v>
      </c>
      <c r="C142" s="343" t="s">
        <v>82</v>
      </c>
      <c r="D142" s="343" t="s">
        <v>79</v>
      </c>
      <c r="E142" s="344" t="s">
        <v>83</v>
      </c>
      <c r="F142" s="345" t="s">
        <v>84</v>
      </c>
      <c r="G142" s="382" t="s">
        <v>85</v>
      </c>
    </row>
    <row r="143" spans="1:9" ht="14.1" customHeight="1">
      <c r="A143" s="361">
        <v>4750</v>
      </c>
      <c r="B143" s="362" t="s">
        <v>113</v>
      </c>
      <c r="C143" s="344" t="s">
        <v>102</v>
      </c>
      <c r="D143" s="343" t="s">
        <v>345</v>
      </c>
      <c r="E143" s="387">
        <v>1</v>
      </c>
      <c r="F143" s="385">
        <f>14.68</f>
        <v>14.68</v>
      </c>
      <c r="G143" s="369">
        <f>TRUNC(E143*F143,2)</f>
        <v>14.68</v>
      </c>
    </row>
    <row r="144" spans="1:9" ht="22.5">
      <c r="A144" s="415" t="s">
        <v>656</v>
      </c>
      <c r="B144" s="347" t="s">
        <v>657</v>
      </c>
      <c r="C144" s="344" t="s">
        <v>658</v>
      </c>
      <c r="D144" s="343" t="s">
        <v>345</v>
      </c>
      <c r="E144" s="387">
        <v>1</v>
      </c>
      <c r="F144" s="388">
        <v>2.15</v>
      </c>
      <c r="G144" s="346">
        <f t="shared" ref="G144:G150" si="8">TRUNC(E144*F144,2)</f>
        <v>2.15</v>
      </c>
    </row>
    <row r="145" spans="1:9" ht="22.5">
      <c r="A145" s="415" t="s">
        <v>659</v>
      </c>
      <c r="B145" s="347" t="s">
        <v>660</v>
      </c>
      <c r="C145" s="344" t="s">
        <v>658</v>
      </c>
      <c r="D145" s="343" t="s">
        <v>345</v>
      </c>
      <c r="E145" s="387">
        <v>1</v>
      </c>
      <c r="F145" s="388">
        <v>0.6</v>
      </c>
      <c r="G145" s="369">
        <f t="shared" si="8"/>
        <v>0.6</v>
      </c>
    </row>
    <row r="146" spans="1:9" ht="22.5">
      <c r="A146" s="415" t="s">
        <v>661</v>
      </c>
      <c r="B146" s="347" t="s">
        <v>662</v>
      </c>
      <c r="C146" s="344" t="s">
        <v>658</v>
      </c>
      <c r="D146" s="343" t="s">
        <v>345</v>
      </c>
      <c r="E146" s="387">
        <v>1</v>
      </c>
      <c r="F146" s="388">
        <v>0.37</v>
      </c>
      <c r="G146" s="346">
        <f t="shared" si="8"/>
        <v>0.37</v>
      </c>
    </row>
    <row r="147" spans="1:9" ht="22.5">
      <c r="A147" s="415" t="s">
        <v>663</v>
      </c>
      <c r="B147" s="347" t="s">
        <v>664</v>
      </c>
      <c r="C147" s="344" t="s">
        <v>658</v>
      </c>
      <c r="D147" s="343" t="s">
        <v>345</v>
      </c>
      <c r="E147" s="387">
        <v>1</v>
      </c>
      <c r="F147" s="388">
        <v>0.02</v>
      </c>
      <c r="G147" s="346">
        <f t="shared" si="8"/>
        <v>0.02</v>
      </c>
    </row>
    <row r="148" spans="1:9" ht="22.5">
      <c r="A148" s="415" t="s">
        <v>837</v>
      </c>
      <c r="B148" s="347" t="s">
        <v>545</v>
      </c>
      <c r="C148" s="344" t="s">
        <v>89</v>
      </c>
      <c r="D148" s="343" t="s">
        <v>345</v>
      </c>
      <c r="E148" s="387">
        <v>1</v>
      </c>
      <c r="F148" s="388">
        <f>G22</f>
        <v>0.44000000000000006</v>
      </c>
      <c r="G148" s="346">
        <f t="shared" si="8"/>
        <v>0.44</v>
      </c>
    </row>
    <row r="149" spans="1:9" ht="14.1" customHeight="1">
      <c r="A149" s="415" t="s">
        <v>665</v>
      </c>
      <c r="B149" s="347" t="s">
        <v>584</v>
      </c>
      <c r="C149" s="344" t="s">
        <v>89</v>
      </c>
      <c r="D149" s="343" t="s">
        <v>345</v>
      </c>
      <c r="E149" s="387">
        <v>1</v>
      </c>
      <c r="F149" s="388">
        <f>G38</f>
        <v>0.98</v>
      </c>
      <c r="G149" s="346">
        <f t="shared" si="8"/>
        <v>0.98</v>
      </c>
    </row>
    <row r="150" spans="1:9" ht="22.5">
      <c r="A150" s="361">
        <v>95371</v>
      </c>
      <c r="B150" s="362" t="s">
        <v>619</v>
      </c>
      <c r="C150" s="344" t="s">
        <v>102</v>
      </c>
      <c r="D150" s="343" t="s">
        <v>345</v>
      </c>
      <c r="E150" s="387">
        <v>1</v>
      </c>
      <c r="F150" s="388">
        <f>G572</f>
        <v>0.25</v>
      </c>
      <c r="G150" s="346">
        <f t="shared" si="8"/>
        <v>0.25</v>
      </c>
    </row>
    <row r="151" spans="1:9" ht="14.1" customHeight="1">
      <c r="C151" s="130"/>
      <c r="D151" s="389"/>
      <c r="E151" s="350"/>
      <c r="F151" s="351" t="s">
        <v>92</v>
      </c>
      <c r="G151" s="369">
        <f>G143+G150</f>
        <v>14.93</v>
      </c>
    </row>
    <row r="152" spans="1:9" ht="14.1" customHeight="1">
      <c r="C152" s="130"/>
      <c r="D152" s="147"/>
      <c r="E152" s="350"/>
      <c r="F152" s="351" t="s">
        <v>94</v>
      </c>
      <c r="G152" s="369">
        <f>SUM(G144:G149)</f>
        <v>4.5600000000000005</v>
      </c>
    </row>
    <row r="153" spans="1:9" ht="14.1" customHeight="1">
      <c r="A153" s="390"/>
      <c r="B153" s="146"/>
      <c r="C153" s="130"/>
      <c r="D153" s="376"/>
      <c r="E153" s="350"/>
      <c r="F153" s="351" t="s">
        <v>95</v>
      </c>
      <c r="G153" s="353">
        <f>SUM(G151:G152)</f>
        <v>19.490000000000002</v>
      </c>
      <c r="H153" s="354"/>
    </row>
    <row r="154" spans="1:9">
      <c r="A154" s="355"/>
      <c r="B154" s="356"/>
      <c r="C154" s="358"/>
      <c r="D154" s="355"/>
      <c r="E154" s="356"/>
      <c r="F154" s="356"/>
      <c r="G154" s="356"/>
      <c r="H154" s="355"/>
      <c r="I154" s="355"/>
    </row>
    <row r="156" spans="1:9">
      <c r="A156" s="130" t="s">
        <v>653</v>
      </c>
      <c r="C156" s="133"/>
      <c r="D156" s="130"/>
      <c r="E156" s="135"/>
      <c r="H156" s="130"/>
    </row>
    <row r="157" spans="1:9">
      <c r="A157" s="130" t="s">
        <v>33</v>
      </c>
      <c r="B157" s="149" t="s">
        <v>849</v>
      </c>
      <c r="C157" s="133"/>
      <c r="D157" s="130"/>
      <c r="E157" s="135"/>
      <c r="H157" s="130"/>
    </row>
    <row r="158" spans="1:9">
      <c r="A158" s="130" t="s">
        <v>78</v>
      </c>
      <c r="B158" s="1456" t="s">
        <v>754</v>
      </c>
      <c r="C158" s="1456"/>
      <c r="D158" s="1456"/>
      <c r="E158" s="419" t="s">
        <v>345</v>
      </c>
      <c r="F158" s="419"/>
      <c r="H158" s="130"/>
    </row>
    <row r="159" spans="1:9" ht="22.5">
      <c r="A159" s="381" t="s">
        <v>30</v>
      </c>
      <c r="B159" s="347" t="s">
        <v>19</v>
      </c>
      <c r="C159" s="343" t="s">
        <v>82</v>
      </c>
      <c r="D159" s="343" t="s">
        <v>79</v>
      </c>
      <c r="E159" s="344" t="s">
        <v>83</v>
      </c>
      <c r="F159" s="345" t="s">
        <v>84</v>
      </c>
      <c r="G159" s="382" t="s">
        <v>85</v>
      </c>
    </row>
    <row r="160" spans="1:9" ht="14.1" customHeight="1">
      <c r="A160" s="415">
        <v>378</v>
      </c>
      <c r="B160" s="347" t="s">
        <v>860</v>
      </c>
      <c r="C160" s="344" t="s">
        <v>102</v>
      </c>
      <c r="D160" s="343" t="s">
        <v>345</v>
      </c>
      <c r="E160" s="387">
        <v>1</v>
      </c>
      <c r="F160" s="385">
        <f>14.68</f>
        <v>14.68</v>
      </c>
      <c r="G160" s="369">
        <f>TRUNC(E160*F160,2)</f>
        <v>14.68</v>
      </c>
    </row>
    <row r="161" spans="1:9" ht="22.5">
      <c r="A161" s="415" t="s">
        <v>656</v>
      </c>
      <c r="B161" s="347" t="s">
        <v>657</v>
      </c>
      <c r="C161" s="344" t="s">
        <v>658</v>
      </c>
      <c r="D161" s="343" t="s">
        <v>345</v>
      </c>
      <c r="E161" s="387">
        <v>1</v>
      </c>
      <c r="F161" s="388">
        <v>2.15</v>
      </c>
      <c r="G161" s="346">
        <f t="shared" ref="G161:G167" si="9">TRUNC(E161*F161,2)</f>
        <v>2.15</v>
      </c>
    </row>
    <row r="162" spans="1:9" ht="22.5">
      <c r="A162" s="415" t="s">
        <v>659</v>
      </c>
      <c r="B162" s="347" t="s">
        <v>660</v>
      </c>
      <c r="C162" s="344" t="s">
        <v>658</v>
      </c>
      <c r="D162" s="343" t="s">
        <v>345</v>
      </c>
      <c r="E162" s="387">
        <v>1</v>
      </c>
      <c r="F162" s="388">
        <v>0.6</v>
      </c>
      <c r="G162" s="369">
        <f t="shared" si="9"/>
        <v>0.6</v>
      </c>
    </row>
    <row r="163" spans="1:9" ht="22.5">
      <c r="A163" s="415" t="s">
        <v>661</v>
      </c>
      <c r="B163" s="347" t="s">
        <v>662</v>
      </c>
      <c r="C163" s="344" t="s">
        <v>658</v>
      </c>
      <c r="D163" s="343" t="s">
        <v>345</v>
      </c>
      <c r="E163" s="387">
        <v>1</v>
      </c>
      <c r="F163" s="388">
        <v>0.37</v>
      </c>
      <c r="G163" s="346">
        <f t="shared" si="9"/>
        <v>0.37</v>
      </c>
    </row>
    <row r="164" spans="1:9" ht="22.5">
      <c r="A164" s="415" t="s">
        <v>663</v>
      </c>
      <c r="B164" s="347" t="s">
        <v>664</v>
      </c>
      <c r="C164" s="344" t="s">
        <v>658</v>
      </c>
      <c r="D164" s="343" t="s">
        <v>345</v>
      </c>
      <c r="E164" s="387">
        <v>1</v>
      </c>
      <c r="F164" s="388">
        <v>0.02</v>
      </c>
      <c r="G164" s="346">
        <f t="shared" si="9"/>
        <v>0.02</v>
      </c>
    </row>
    <row r="165" spans="1:9" ht="22.5">
      <c r="A165" s="415" t="s">
        <v>837</v>
      </c>
      <c r="B165" s="347" t="s">
        <v>545</v>
      </c>
      <c r="C165" s="344" t="s">
        <v>89</v>
      </c>
      <c r="D165" s="343" t="s">
        <v>345</v>
      </c>
      <c r="E165" s="387">
        <v>1</v>
      </c>
      <c r="F165" s="388">
        <f>G22</f>
        <v>0.44000000000000006</v>
      </c>
      <c r="G165" s="346">
        <f t="shared" si="9"/>
        <v>0.44</v>
      </c>
    </row>
    <row r="166" spans="1:9" ht="14.1" customHeight="1">
      <c r="A166" s="415" t="s">
        <v>665</v>
      </c>
      <c r="B166" s="347" t="s">
        <v>584</v>
      </c>
      <c r="C166" s="344" t="s">
        <v>89</v>
      </c>
      <c r="D166" s="343" t="s">
        <v>345</v>
      </c>
      <c r="E166" s="387">
        <v>1</v>
      </c>
      <c r="F166" s="388">
        <f>G38</f>
        <v>0.98</v>
      </c>
      <c r="G166" s="346">
        <f t="shared" si="9"/>
        <v>0.98</v>
      </c>
    </row>
    <row r="167" spans="1:9" ht="22.5">
      <c r="A167" s="361">
        <v>95314</v>
      </c>
      <c r="B167" s="347" t="s">
        <v>747</v>
      </c>
      <c r="C167" s="344" t="s">
        <v>102</v>
      </c>
      <c r="D167" s="343" t="s">
        <v>345</v>
      </c>
      <c r="E167" s="387">
        <v>1</v>
      </c>
      <c r="F167" s="436">
        <f>G1052</f>
        <v>0.13</v>
      </c>
      <c r="G167" s="346">
        <f t="shared" si="9"/>
        <v>0.13</v>
      </c>
    </row>
    <row r="168" spans="1:9" ht="14.1" customHeight="1">
      <c r="C168" s="130"/>
      <c r="D168" s="389"/>
      <c r="E168" s="350"/>
      <c r="F168" s="351" t="s">
        <v>92</v>
      </c>
      <c r="G168" s="369">
        <f>G160+G167</f>
        <v>14.81</v>
      </c>
    </row>
    <row r="169" spans="1:9" ht="14.1" customHeight="1">
      <c r="C169" s="130"/>
      <c r="D169" s="147"/>
      <c r="E169" s="350"/>
      <c r="F169" s="351" t="s">
        <v>94</v>
      </c>
      <c r="G169" s="369">
        <f>SUM(G161:G166)</f>
        <v>4.5600000000000005</v>
      </c>
    </row>
    <row r="170" spans="1:9" ht="14.1" customHeight="1">
      <c r="A170" s="390"/>
      <c r="B170" s="146"/>
      <c r="C170" s="130"/>
      <c r="D170" s="147"/>
      <c r="E170" s="350"/>
      <c r="F170" s="351" t="s">
        <v>95</v>
      </c>
      <c r="G170" s="370">
        <f>SUM(G168:G169)</f>
        <v>19.37</v>
      </c>
      <c r="H170" s="354"/>
    </row>
    <row r="171" spans="1:9">
      <c r="A171" s="434"/>
      <c r="B171" s="435"/>
      <c r="C171" s="358"/>
      <c r="D171" s="355"/>
      <c r="E171" s="356"/>
      <c r="F171" s="356"/>
      <c r="G171" s="356"/>
      <c r="H171" s="355"/>
      <c r="I171" s="355"/>
    </row>
    <row r="173" spans="1:9">
      <c r="A173" s="130" t="s">
        <v>653</v>
      </c>
      <c r="C173" s="133"/>
      <c r="D173" s="130"/>
      <c r="E173" s="135"/>
      <c r="H173" s="130"/>
    </row>
    <row r="174" spans="1:9">
      <c r="A174" s="130" t="s">
        <v>33</v>
      </c>
      <c r="B174" s="149" t="s">
        <v>850</v>
      </c>
      <c r="C174" s="133"/>
      <c r="D174" s="130"/>
      <c r="E174" s="135"/>
      <c r="H174" s="130"/>
    </row>
    <row r="175" spans="1:9">
      <c r="A175" s="130" t="s">
        <v>78</v>
      </c>
      <c r="B175" s="1456" t="s">
        <v>753</v>
      </c>
      <c r="C175" s="1456"/>
      <c r="D175" s="1456"/>
      <c r="E175" s="419" t="s">
        <v>345</v>
      </c>
      <c r="F175" s="419"/>
      <c r="H175" s="130"/>
    </row>
    <row r="176" spans="1:9" ht="22.5">
      <c r="A176" s="428" t="s">
        <v>30</v>
      </c>
      <c r="B176" s="347" t="s">
        <v>19</v>
      </c>
      <c r="C176" s="343" t="s">
        <v>82</v>
      </c>
      <c r="D176" s="343" t="s">
        <v>79</v>
      </c>
      <c r="E176" s="344" t="s">
        <v>83</v>
      </c>
      <c r="F176" s="345" t="s">
        <v>84</v>
      </c>
      <c r="G176" s="382" t="s">
        <v>85</v>
      </c>
    </row>
    <row r="177" spans="1:9" ht="14.1" customHeight="1">
      <c r="A177" s="415">
        <v>6114</v>
      </c>
      <c r="B177" s="347" t="s">
        <v>861</v>
      </c>
      <c r="C177" s="344" t="s">
        <v>102</v>
      </c>
      <c r="D177" s="343" t="s">
        <v>345</v>
      </c>
      <c r="E177" s="387">
        <v>1</v>
      </c>
      <c r="F177" s="385">
        <f>10.22</f>
        <v>10.220000000000001</v>
      </c>
      <c r="G177" s="369">
        <f>TRUNC(E177*F177,2)</f>
        <v>10.220000000000001</v>
      </c>
    </row>
    <row r="178" spans="1:9" ht="22.5">
      <c r="A178" s="415" t="s">
        <v>656</v>
      </c>
      <c r="B178" s="347" t="s">
        <v>657</v>
      </c>
      <c r="C178" s="344" t="s">
        <v>658</v>
      </c>
      <c r="D178" s="343" t="s">
        <v>345</v>
      </c>
      <c r="E178" s="387">
        <v>1</v>
      </c>
      <c r="F178" s="388">
        <v>2.15</v>
      </c>
      <c r="G178" s="346">
        <f t="shared" ref="G178:G184" si="10">TRUNC(E178*F178,2)</f>
        <v>2.15</v>
      </c>
    </row>
    <row r="179" spans="1:9" ht="22.5">
      <c r="A179" s="415" t="s">
        <v>659</v>
      </c>
      <c r="B179" s="347" t="s">
        <v>660</v>
      </c>
      <c r="C179" s="344" t="s">
        <v>658</v>
      </c>
      <c r="D179" s="343" t="s">
        <v>345</v>
      </c>
      <c r="E179" s="387">
        <v>1</v>
      </c>
      <c r="F179" s="388">
        <v>0.6</v>
      </c>
      <c r="G179" s="369">
        <f t="shared" si="10"/>
        <v>0.6</v>
      </c>
    </row>
    <row r="180" spans="1:9" ht="22.5">
      <c r="A180" s="415" t="s">
        <v>661</v>
      </c>
      <c r="B180" s="347" t="s">
        <v>662</v>
      </c>
      <c r="C180" s="344" t="s">
        <v>658</v>
      </c>
      <c r="D180" s="343" t="s">
        <v>345</v>
      </c>
      <c r="E180" s="387">
        <v>1</v>
      </c>
      <c r="F180" s="388">
        <v>0.37</v>
      </c>
      <c r="G180" s="346">
        <f t="shared" si="10"/>
        <v>0.37</v>
      </c>
    </row>
    <row r="181" spans="1:9" ht="22.5">
      <c r="A181" s="415" t="s">
        <v>663</v>
      </c>
      <c r="B181" s="347" t="s">
        <v>664</v>
      </c>
      <c r="C181" s="344" t="s">
        <v>658</v>
      </c>
      <c r="D181" s="343" t="s">
        <v>345</v>
      </c>
      <c r="E181" s="387">
        <v>1</v>
      </c>
      <c r="F181" s="388">
        <v>0.02</v>
      </c>
      <c r="G181" s="346">
        <f t="shared" si="10"/>
        <v>0.02</v>
      </c>
    </row>
    <row r="182" spans="1:9" ht="22.5">
      <c r="A182" s="415" t="s">
        <v>837</v>
      </c>
      <c r="B182" s="347" t="s">
        <v>545</v>
      </c>
      <c r="C182" s="344" t="s">
        <v>89</v>
      </c>
      <c r="D182" s="343" t="s">
        <v>345</v>
      </c>
      <c r="E182" s="387">
        <v>1</v>
      </c>
      <c r="F182" s="388">
        <f>G22</f>
        <v>0.44000000000000006</v>
      </c>
      <c r="G182" s="346">
        <f t="shared" si="10"/>
        <v>0.44</v>
      </c>
    </row>
    <row r="183" spans="1:9" ht="14.1" customHeight="1">
      <c r="A183" s="415" t="s">
        <v>665</v>
      </c>
      <c r="B183" s="347" t="s">
        <v>584</v>
      </c>
      <c r="C183" s="344" t="s">
        <v>89</v>
      </c>
      <c r="D183" s="343" t="s">
        <v>345</v>
      </c>
      <c r="E183" s="387">
        <v>1</v>
      </c>
      <c r="F183" s="388">
        <f>G38</f>
        <v>0.98</v>
      </c>
      <c r="G183" s="346">
        <f t="shared" si="10"/>
        <v>0.98</v>
      </c>
    </row>
    <row r="184" spans="1:9" ht="22.5">
      <c r="A184" s="415">
        <v>95308</v>
      </c>
      <c r="B184" s="347" t="s">
        <v>745</v>
      </c>
      <c r="C184" s="344" t="s">
        <v>102</v>
      </c>
      <c r="D184" s="343" t="s">
        <v>345</v>
      </c>
      <c r="E184" s="387">
        <v>1</v>
      </c>
      <c r="F184" s="388">
        <f>G1042</f>
        <v>0.09</v>
      </c>
      <c r="G184" s="346">
        <f t="shared" si="10"/>
        <v>0.09</v>
      </c>
    </row>
    <row r="185" spans="1:9" ht="14.1" customHeight="1">
      <c r="C185" s="130"/>
      <c r="D185" s="389"/>
      <c r="E185" s="350"/>
      <c r="F185" s="351" t="s">
        <v>92</v>
      </c>
      <c r="G185" s="369">
        <f>G177+G184</f>
        <v>10.31</v>
      </c>
    </row>
    <row r="186" spans="1:9" ht="14.1" customHeight="1">
      <c r="C186" s="130"/>
      <c r="D186" s="147"/>
      <c r="E186" s="350"/>
      <c r="F186" s="351" t="s">
        <v>94</v>
      </c>
      <c r="G186" s="369">
        <f>SUM(G178:G183)</f>
        <v>4.5600000000000005</v>
      </c>
    </row>
    <row r="187" spans="1:9" ht="14.1" customHeight="1">
      <c r="A187" s="390"/>
      <c r="B187" s="146"/>
      <c r="C187" s="130"/>
      <c r="D187" s="147"/>
      <c r="E187" s="350"/>
      <c r="F187" s="351" t="s">
        <v>95</v>
      </c>
      <c r="G187" s="370">
        <f>SUM(G185:G186)</f>
        <v>14.870000000000001</v>
      </c>
      <c r="H187" s="354"/>
    </row>
    <row r="188" spans="1:9">
      <c r="A188" s="434"/>
      <c r="B188" s="435"/>
      <c r="C188" s="358"/>
      <c r="D188" s="355"/>
      <c r="E188" s="356"/>
      <c r="F188" s="356"/>
      <c r="G188" s="356"/>
      <c r="H188" s="355"/>
      <c r="I188" s="355"/>
    </row>
    <row r="190" spans="1:9">
      <c r="A190" s="130" t="s">
        <v>653</v>
      </c>
      <c r="C190" s="133"/>
      <c r="D190" s="130"/>
      <c r="E190" s="135"/>
      <c r="H190" s="130"/>
    </row>
    <row r="191" spans="1:9">
      <c r="A191" s="130" t="s">
        <v>33</v>
      </c>
      <c r="B191" s="149" t="s">
        <v>851</v>
      </c>
      <c r="C191" s="133"/>
      <c r="D191" s="130"/>
      <c r="E191" s="135"/>
      <c r="H191" s="130"/>
    </row>
    <row r="192" spans="1:9" ht="15" customHeight="1">
      <c r="A192" s="130" t="s">
        <v>78</v>
      </c>
      <c r="B192" s="1456" t="s">
        <v>395</v>
      </c>
      <c r="C192" s="1456"/>
      <c r="D192" s="1456"/>
      <c r="E192" s="419" t="s">
        <v>345</v>
      </c>
      <c r="F192" s="419"/>
      <c r="H192" s="130"/>
    </row>
    <row r="193" spans="1:9" ht="22.5">
      <c r="A193" s="428" t="s">
        <v>30</v>
      </c>
      <c r="B193" s="347" t="s">
        <v>19</v>
      </c>
      <c r="C193" s="343" t="s">
        <v>82</v>
      </c>
      <c r="D193" s="343" t="s">
        <v>79</v>
      </c>
      <c r="E193" s="344" t="s">
        <v>83</v>
      </c>
      <c r="F193" s="345" t="s">
        <v>84</v>
      </c>
      <c r="G193" s="382" t="s">
        <v>85</v>
      </c>
    </row>
    <row r="194" spans="1:9" ht="14.1" customHeight="1">
      <c r="A194" s="415">
        <v>6117</v>
      </c>
      <c r="B194" s="347" t="s">
        <v>803</v>
      </c>
      <c r="C194" s="344" t="s">
        <v>102</v>
      </c>
      <c r="D194" s="343" t="s">
        <v>345</v>
      </c>
      <c r="E194" s="387">
        <v>1</v>
      </c>
      <c r="F194" s="385">
        <f>13.74</f>
        <v>13.74</v>
      </c>
      <c r="G194" s="369">
        <f>TRUNC(E194*F194,2)</f>
        <v>13.74</v>
      </c>
    </row>
    <row r="195" spans="1:9" ht="22.5">
      <c r="A195" s="415" t="s">
        <v>656</v>
      </c>
      <c r="B195" s="347" t="s">
        <v>657</v>
      </c>
      <c r="C195" s="344" t="s">
        <v>658</v>
      </c>
      <c r="D195" s="343" t="s">
        <v>345</v>
      </c>
      <c r="E195" s="387">
        <v>1</v>
      </c>
      <c r="F195" s="388">
        <v>2.15</v>
      </c>
      <c r="G195" s="346">
        <f t="shared" ref="G195:G201" si="11">TRUNC(E195*F195,2)</f>
        <v>2.15</v>
      </c>
    </row>
    <row r="196" spans="1:9" ht="22.5">
      <c r="A196" s="415" t="s">
        <v>659</v>
      </c>
      <c r="B196" s="347" t="s">
        <v>660</v>
      </c>
      <c r="C196" s="344" t="s">
        <v>658</v>
      </c>
      <c r="D196" s="343" t="s">
        <v>345</v>
      </c>
      <c r="E196" s="387">
        <v>1</v>
      </c>
      <c r="F196" s="388">
        <v>0.6</v>
      </c>
      <c r="G196" s="369">
        <f t="shared" si="11"/>
        <v>0.6</v>
      </c>
    </row>
    <row r="197" spans="1:9" ht="22.5">
      <c r="A197" s="415" t="s">
        <v>661</v>
      </c>
      <c r="B197" s="347" t="s">
        <v>662</v>
      </c>
      <c r="C197" s="344" t="s">
        <v>658</v>
      </c>
      <c r="D197" s="343" t="s">
        <v>345</v>
      </c>
      <c r="E197" s="387">
        <v>1</v>
      </c>
      <c r="F197" s="388">
        <v>0.37</v>
      </c>
      <c r="G197" s="346">
        <f t="shared" si="11"/>
        <v>0.37</v>
      </c>
    </row>
    <row r="198" spans="1:9" ht="22.5">
      <c r="A198" s="415" t="s">
        <v>663</v>
      </c>
      <c r="B198" s="347" t="s">
        <v>664</v>
      </c>
      <c r="C198" s="344" t="s">
        <v>658</v>
      </c>
      <c r="D198" s="343" t="s">
        <v>345</v>
      </c>
      <c r="E198" s="387">
        <v>1</v>
      </c>
      <c r="F198" s="388">
        <v>0.02</v>
      </c>
      <c r="G198" s="346">
        <f t="shared" si="11"/>
        <v>0.02</v>
      </c>
    </row>
    <row r="199" spans="1:9" ht="22.5">
      <c r="A199" s="415" t="s">
        <v>837</v>
      </c>
      <c r="B199" s="347" t="s">
        <v>545</v>
      </c>
      <c r="C199" s="344" t="s">
        <v>89</v>
      </c>
      <c r="D199" s="343" t="s">
        <v>345</v>
      </c>
      <c r="E199" s="387">
        <v>1</v>
      </c>
      <c r="F199" s="388">
        <f>G22</f>
        <v>0.44000000000000006</v>
      </c>
      <c r="G199" s="346">
        <f t="shared" si="11"/>
        <v>0.44</v>
      </c>
    </row>
    <row r="200" spans="1:9" ht="14.1" customHeight="1">
      <c r="A200" s="415" t="s">
        <v>665</v>
      </c>
      <c r="B200" s="347" t="s">
        <v>584</v>
      </c>
      <c r="C200" s="344" t="s">
        <v>89</v>
      </c>
      <c r="D200" s="343" t="s">
        <v>345</v>
      </c>
      <c r="E200" s="387">
        <v>1</v>
      </c>
      <c r="F200" s="388">
        <f>G38</f>
        <v>0.98</v>
      </c>
      <c r="G200" s="346">
        <f t="shared" si="11"/>
        <v>0.98</v>
      </c>
    </row>
    <row r="201" spans="1:9" ht="33.75">
      <c r="A201" s="415">
        <v>95309</v>
      </c>
      <c r="B201" s="347" t="s">
        <v>802</v>
      </c>
      <c r="C201" s="344" t="s">
        <v>102</v>
      </c>
      <c r="D201" s="343" t="s">
        <v>345</v>
      </c>
      <c r="E201" s="387">
        <v>1</v>
      </c>
      <c r="F201" s="388">
        <f>G1423</f>
        <v>0.16</v>
      </c>
      <c r="G201" s="346">
        <f t="shared" si="11"/>
        <v>0.16</v>
      </c>
    </row>
    <row r="202" spans="1:9" ht="14.1" customHeight="1">
      <c r="C202" s="130"/>
      <c r="D202" s="389"/>
      <c r="E202" s="350"/>
      <c r="F202" s="351" t="s">
        <v>92</v>
      </c>
      <c r="G202" s="369">
        <f>G194+G201</f>
        <v>13.9</v>
      </c>
    </row>
    <row r="203" spans="1:9" ht="14.1" customHeight="1">
      <c r="C203" s="130"/>
      <c r="D203" s="147"/>
      <c r="E203" s="350"/>
      <c r="F203" s="351" t="s">
        <v>94</v>
      </c>
      <c r="G203" s="369">
        <f>SUM(G195:G200)</f>
        <v>4.5600000000000005</v>
      </c>
    </row>
    <row r="204" spans="1:9" ht="14.1" customHeight="1">
      <c r="A204" s="390"/>
      <c r="B204" s="146"/>
      <c r="C204" s="130"/>
      <c r="D204" s="147"/>
      <c r="E204" s="350"/>
      <c r="F204" s="351" t="s">
        <v>95</v>
      </c>
      <c r="G204" s="370">
        <f>SUM(G202:G203)</f>
        <v>18.46</v>
      </c>
      <c r="H204" s="354"/>
    </row>
    <row r="205" spans="1:9">
      <c r="A205" s="434"/>
      <c r="B205" s="435"/>
      <c r="C205" s="358"/>
      <c r="D205" s="355"/>
      <c r="E205" s="356"/>
      <c r="F205" s="356"/>
      <c r="G205" s="356"/>
      <c r="H205" s="355"/>
      <c r="I205" s="355"/>
    </row>
    <row r="207" spans="1:9">
      <c r="A207" s="130" t="s">
        <v>653</v>
      </c>
      <c r="C207" s="133"/>
      <c r="D207" s="130"/>
      <c r="E207" s="135"/>
      <c r="H207" s="130"/>
    </row>
    <row r="208" spans="1:9">
      <c r="A208" s="130" t="s">
        <v>33</v>
      </c>
      <c r="B208" s="149" t="s">
        <v>852</v>
      </c>
      <c r="C208" s="133"/>
      <c r="D208" s="130"/>
      <c r="E208" s="135"/>
      <c r="H208" s="130"/>
    </row>
    <row r="209" spans="1:9">
      <c r="A209" s="130" t="s">
        <v>78</v>
      </c>
      <c r="B209" s="419" t="s">
        <v>393</v>
      </c>
      <c r="C209" s="419" t="s">
        <v>345</v>
      </c>
      <c r="D209" s="419"/>
      <c r="E209" s="135"/>
      <c r="F209" s="419"/>
      <c r="H209" s="130"/>
    </row>
    <row r="210" spans="1:9" ht="22.5">
      <c r="A210" s="428" t="s">
        <v>30</v>
      </c>
      <c r="B210" s="347" t="s">
        <v>19</v>
      </c>
      <c r="C210" s="343" t="s">
        <v>82</v>
      </c>
      <c r="D210" s="343" t="s">
        <v>79</v>
      </c>
      <c r="E210" s="344" t="s">
        <v>83</v>
      </c>
      <c r="F210" s="345" t="s">
        <v>84</v>
      </c>
      <c r="G210" s="382" t="s">
        <v>85</v>
      </c>
    </row>
    <row r="211" spans="1:9" ht="14.1" customHeight="1">
      <c r="A211" s="361">
        <v>12869</v>
      </c>
      <c r="B211" s="347" t="s">
        <v>800</v>
      </c>
      <c r="C211" s="344" t="s">
        <v>102</v>
      </c>
      <c r="D211" s="343" t="s">
        <v>345</v>
      </c>
      <c r="E211" s="387">
        <v>1</v>
      </c>
      <c r="F211" s="437">
        <f>16.02</f>
        <v>16.02</v>
      </c>
      <c r="G211" s="369">
        <f>TRUNC(E211*F211,2)</f>
        <v>16.02</v>
      </c>
    </row>
    <row r="212" spans="1:9" ht="22.5">
      <c r="A212" s="415" t="s">
        <v>656</v>
      </c>
      <c r="B212" s="347" t="s">
        <v>657</v>
      </c>
      <c r="C212" s="344" t="s">
        <v>658</v>
      </c>
      <c r="D212" s="343" t="s">
        <v>345</v>
      </c>
      <c r="E212" s="387">
        <v>1</v>
      </c>
      <c r="F212" s="388">
        <v>2.15</v>
      </c>
      <c r="G212" s="346">
        <f t="shared" ref="G212:G218" si="12">TRUNC(E212*F212,2)</f>
        <v>2.15</v>
      </c>
    </row>
    <row r="213" spans="1:9" ht="22.5">
      <c r="A213" s="415" t="s">
        <v>659</v>
      </c>
      <c r="B213" s="347" t="s">
        <v>660</v>
      </c>
      <c r="C213" s="344" t="s">
        <v>658</v>
      </c>
      <c r="D213" s="343" t="s">
        <v>345</v>
      </c>
      <c r="E213" s="387">
        <v>1</v>
      </c>
      <c r="F213" s="388">
        <v>0.6</v>
      </c>
      <c r="G213" s="369">
        <f t="shared" si="12"/>
        <v>0.6</v>
      </c>
    </row>
    <row r="214" spans="1:9" ht="22.5">
      <c r="A214" s="415" t="s">
        <v>661</v>
      </c>
      <c r="B214" s="347" t="s">
        <v>662</v>
      </c>
      <c r="C214" s="344" t="s">
        <v>658</v>
      </c>
      <c r="D214" s="343" t="s">
        <v>345</v>
      </c>
      <c r="E214" s="387">
        <v>1</v>
      </c>
      <c r="F214" s="388">
        <v>0.37</v>
      </c>
      <c r="G214" s="346">
        <f t="shared" si="12"/>
        <v>0.37</v>
      </c>
    </row>
    <row r="215" spans="1:9" ht="22.5">
      <c r="A215" s="415" t="s">
        <v>663</v>
      </c>
      <c r="B215" s="347" t="s">
        <v>664</v>
      </c>
      <c r="C215" s="344" t="s">
        <v>658</v>
      </c>
      <c r="D215" s="343" t="s">
        <v>345</v>
      </c>
      <c r="E215" s="387">
        <v>1</v>
      </c>
      <c r="F215" s="388">
        <v>0.02</v>
      </c>
      <c r="G215" s="346">
        <f t="shared" si="12"/>
        <v>0.02</v>
      </c>
    </row>
    <row r="216" spans="1:9" ht="22.5">
      <c r="A216" s="415" t="s">
        <v>837</v>
      </c>
      <c r="B216" s="347" t="s">
        <v>545</v>
      </c>
      <c r="C216" s="344" t="s">
        <v>89</v>
      </c>
      <c r="D216" s="343" t="s">
        <v>345</v>
      </c>
      <c r="E216" s="387">
        <v>1</v>
      </c>
      <c r="F216" s="388">
        <f>G22</f>
        <v>0.44000000000000006</v>
      </c>
      <c r="G216" s="346">
        <f t="shared" si="12"/>
        <v>0.44</v>
      </c>
    </row>
    <row r="217" spans="1:9" ht="14.1" customHeight="1">
      <c r="A217" s="415" t="s">
        <v>665</v>
      </c>
      <c r="B217" s="347" t="s">
        <v>584</v>
      </c>
      <c r="C217" s="344" t="s">
        <v>89</v>
      </c>
      <c r="D217" s="343" t="s">
        <v>345</v>
      </c>
      <c r="E217" s="387">
        <v>1</v>
      </c>
      <c r="F217" s="388">
        <f>G38</f>
        <v>0.98</v>
      </c>
      <c r="G217" s="346">
        <f t="shared" si="12"/>
        <v>0.98</v>
      </c>
    </row>
    <row r="218" spans="1:9" ht="22.5">
      <c r="A218" s="361">
        <v>95385</v>
      </c>
      <c r="B218" s="347" t="s">
        <v>799</v>
      </c>
      <c r="C218" s="344" t="s">
        <v>102</v>
      </c>
      <c r="D218" s="343" t="s">
        <v>345</v>
      </c>
      <c r="E218" s="387">
        <v>1</v>
      </c>
      <c r="F218" s="436">
        <f>G1413</f>
        <v>0.12</v>
      </c>
      <c r="G218" s="346">
        <f t="shared" si="12"/>
        <v>0.12</v>
      </c>
    </row>
    <row r="219" spans="1:9" ht="14.1" customHeight="1">
      <c r="C219" s="130"/>
      <c r="D219" s="389"/>
      <c r="E219" s="350"/>
      <c r="F219" s="351" t="s">
        <v>92</v>
      </c>
      <c r="G219" s="369">
        <f>G211+G218</f>
        <v>16.14</v>
      </c>
    </row>
    <row r="220" spans="1:9" ht="14.1" customHeight="1">
      <c r="C220" s="130"/>
      <c r="D220" s="147"/>
      <c r="E220" s="350"/>
      <c r="F220" s="351" t="s">
        <v>94</v>
      </c>
      <c r="G220" s="369">
        <f>SUM(G212:G217)</f>
        <v>4.5600000000000005</v>
      </c>
    </row>
    <row r="221" spans="1:9" ht="14.1" customHeight="1">
      <c r="A221" s="390"/>
      <c r="B221" s="146"/>
      <c r="C221" s="130"/>
      <c r="D221" s="147"/>
      <c r="E221" s="350"/>
      <c r="F221" s="351" t="s">
        <v>95</v>
      </c>
      <c r="G221" s="370">
        <f>SUM(G219:G220)</f>
        <v>20.700000000000003</v>
      </c>
      <c r="H221" s="354"/>
    </row>
    <row r="222" spans="1:9">
      <c r="A222" s="434"/>
      <c r="B222" s="435"/>
      <c r="C222" s="358"/>
      <c r="D222" s="355"/>
      <c r="E222" s="356"/>
      <c r="F222" s="356"/>
      <c r="G222" s="356"/>
      <c r="H222" s="355"/>
      <c r="I222" s="355"/>
    </row>
    <row r="224" spans="1:9">
      <c r="A224" s="130" t="s">
        <v>653</v>
      </c>
      <c r="C224" s="133"/>
      <c r="D224" s="130"/>
      <c r="E224" s="135"/>
      <c r="H224" s="130"/>
    </row>
    <row r="225" spans="1:9">
      <c r="A225" s="130" t="s">
        <v>33</v>
      </c>
      <c r="B225" s="149" t="s">
        <v>853</v>
      </c>
      <c r="C225" s="133"/>
      <c r="D225" s="130"/>
      <c r="E225" s="135"/>
      <c r="H225" s="130"/>
    </row>
    <row r="226" spans="1:9">
      <c r="A226" s="130" t="s">
        <v>78</v>
      </c>
      <c r="B226" s="1456" t="s">
        <v>401</v>
      </c>
      <c r="C226" s="1456"/>
      <c r="D226" s="1456"/>
      <c r="E226" s="419" t="s">
        <v>345</v>
      </c>
      <c r="F226" s="419"/>
      <c r="H226" s="130"/>
    </row>
    <row r="227" spans="1:9" ht="22.5">
      <c r="A227" s="428" t="s">
        <v>30</v>
      </c>
      <c r="B227" s="347" t="s">
        <v>19</v>
      </c>
      <c r="C227" s="343" t="s">
        <v>82</v>
      </c>
      <c r="D227" s="343" t="s">
        <v>79</v>
      </c>
      <c r="E227" s="344" t="s">
        <v>83</v>
      </c>
      <c r="F227" s="345" t="s">
        <v>84</v>
      </c>
      <c r="G227" s="382" t="s">
        <v>85</v>
      </c>
    </row>
    <row r="228" spans="1:9" ht="14.1" customHeight="1">
      <c r="A228" s="361">
        <v>4783</v>
      </c>
      <c r="B228" s="347" t="s">
        <v>806</v>
      </c>
      <c r="C228" s="344" t="s">
        <v>102</v>
      </c>
      <c r="D228" s="343" t="s">
        <v>345</v>
      </c>
      <c r="E228" s="387">
        <v>1</v>
      </c>
      <c r="F228" s="437">
        <f>14.68</f>
        <v>14.68</v>
      </c>
      <c r="G228" s="369">
        <f>TRUNC(E228*F228,2)</f>
        <v>14.68</v>
      </c>
    </row>
    <row r="229" spans="1:9" ht="22.5">
      <c r="A229" s="415" t="s">
        <v>656</v>
      </c>
      <c r="B229" s="347" t="s">
        <v>657</v>
      </c>
      <c r="C229" s="344" t="s">
        <v>658</v>
      </c>
      <c r="D229" s="343" t="s">
        <v>345</v>
      </c>
      <c r="E229" s="387">
        <v>1</v>
      </c>
      <c r="F229" s="388">
        <v>2.15</v>
      </c>
      <c r="G229" s="346">
        <f t="shared" ref="G229:G235" si="13">TRUNC(E229*F229,2)</f>
        <v>2.15</v>
      </c>
    </row>
    <row r="230" spans="1:9" ht="22.5">
      <c r="A230" s="415" t="s">
        <v>659</v>
      </c>
      <c r="B230" s="347" t="s">
        <v>660</v>
      </c>
      <c r="C230" s="344" t="s">
        <v>658</v>
      </c>
      <c r="D230" s="343" t="s">
        <v>345</v>
      </c>
      <c r="E230" s="387">
        <v>1</v>
      </c>
      <c r="F230" s="388">
        <v>0.6</v>
      </c>
      <c r="G230" s="369">
        <f t="shared" si="13"/>
        <v>0.6</v>
      </c>
    </row>
    <row r="231" spans="1:9" ht="22.5">
      <c r="A231" s="415" t="s">
        <v>661</v>
      </c>
      <c r="B231" s="347" t="s">
        <v>662</v>
      </c>
      <c r="C231" s="344" t="s">
        <v>658</v>
      </c>
      <c r="D231" s="343" t="s">
        <v>345</v>
      </c>
      <c r="E231" s="387">
        <v>1</v>
      </c>
      <c r="F231" s="388">
        <v>0.37</v>
      </c>
      <c r="G231" s="346">
        <f t="shared" si="13"/>
        <v>0.37</v>
      </c>
    </row>
    <row r="232" spans="1:9" ht="22.5">
      <c r="A232" s="415" t="s">
        <v>663</v>
      </c>
      <c r="B232" s="347" t="s">
        <v>664</v>
      </c>
      <c r="C232" s="344" t="s">
        <v>658</v>
      </c>
      <c r="D232" s="343" t="s">
        <v>345</v>
      </c>
      <c r="E232" s="387">
        <v>1</v>
      </c>
      <c r="F232" s="388">
        <v>0.02</v>
      </c>
      <c r="G232" s="346">
        <f t="shared" si="13"/>
        <v>0.02</v>
      </c>
    </row>
    <row r="233" spans="1:9" ht="22.5">
      <c r="A233" s="415" t="s">
        <v>837</v>
      </c>
      <c r="B233" s="347" t="s">
        <v>545</v>
      </c>
      <c r="C233" s="344" t="s">
        <v>89</v>
      </c>
      <c r="D233" s="343" t="s">
        <v>345</v>
      </c>
      <c r="E233" s="387">
        <v>1</v>
      </c>
      <c r="F233" s="388">
        <f>G22</f>
        <v>0.44000000000000006</v>
      </c>
      <c r="G233" s="346">
        <f t="shared" si="13"/>
        <v>0.44</v>
      </c>
    </row>
    <row r="234" spans="1:9" ht="14.1" customHeight="1">
      <c r="A234" s="415" t="s">
        <v>665</v>
      </c>
      <c r="B234" s="347" t="s">
        <v>584</v>
      </c>
      <c r="C234" s="344" t="s">
        <v>89</v>
      </c>
      <c r="D234" s="343" t="s">
        <v>345</v>
      </c>
      <c r="E234" s="387">
        <v>1</v>
      </c>
      <c r="F234" s="388">
        <f>G38</f>
        <v>0.98</v>
      </c>
      <c r="G234" s="346">
        <f t="shared" si="13"/>
        <v>0.98</v>
      </c>
    </row>
    <row r="235" spans="1:9" ht="22.5">
      <c r="A235" s="361">
        <v>95372</v>
      </c>
      <c r="B235" s="347" t="s">
        <v>805</v>
      </c>
      <c r="C235" s="344" t="s">
        <v>102</v>
      </c>
      <c r="D235" s="343" t="s">
        <v>345</v>
      </c>
      <c r="E235" s="387">
        <v>1</v>
      </c>
      <c r="F235" s="436">
        <f>G1433</f>
        <v>0.17</v>
      </c>
      <c r="G235" s="346">
        <f t="shared" si="13"/>
        <v>0.17</v>
      </c>
    </row>
    <row r="236" spans="1:9" ht="14.1" customHeight="1">
      <c r="C236" s="130"/>
      <c r="D236" s="389"/>
      <c r="E236" s="350"/>
      <c r="F236" s="351" t="s">
        <v>92</v>
      </c>
      <c r="G236" s="369">
        <f>G228+G235</f>
        <v>14.85</v>
      </c>
    </row>
    <row r="237" spans="1:9" ht="14.1" customHeight="1">
      <c r="C237" s="130"/>
      <c r="D237" s="147"/>
      <c r="E237" s="350"/>
      <c r="F237" s="351" t="s">
        <v>94</v>
      </c>
      <c r="G237" s="369">
        <f>SUM(G229:G234)</f>
        <v>4.5600000000000005</v>
      </c>
    </row>
    <row r="238" spans="1:9" ht="14.1" customHeight="1">
      <c r="A238" s="390"/>
      <c r="B238" s="146"/>
      <c r="C238" s="130"/>
      <c r="D238" s="147"/>
      <c r="E238" s="350"/>
      <c r="F238" s="351" t="s">
        <v>95</v>
      </c>
      <c r="G238" s="370">
        <f>SUM(G236:G237)</f>
        <v>19.41</v>
      </c>
      <c r="H238" s="354"/>
    </row>
    <row r="239" spans="1:9">
      <c r="A239" s="434"/>
      <c r="B239" s="435"/>
      <c r="C239" s="358"/>
      <c r="D239" s="355"/>
      <c r="E239" s="356"/>
      <c r="F239" s="356"/>
      <c r="G239" s="356"/>
      <c r="H239" s="355"/>
      <c r="I239" s="355"/>
    </row>
    <row r="241" spans="1:9">
      <c r="A241" s="130" t="s">
        <v>653</v>
      </c>
      <c r="C241" s="133"/>
      <c r="D241" s="130"/>
      <c r="E241" s="135"/>
      <c r="H241" s="130"/>
    </row>
    <row r="242" spans="1:9">
      <c r="A242" s="130" t="s">
        <v>33</v>
      </c>
      <c r="B242" s="149" t="s">
        <v>853</v>
      </c>
      <c r="C242" s="133"/>
      <c r="D242" s="130"/>
      <c r="E242" s="135"/>
      <c r="H242" s="130"/>
    </row>
    <row r="243" spans="1:9">
      <c r="A243" s="130" t="s">
        <v>78</v>
      </c>
      <c r="B243" s="1456" t="s">
        <v>249</v>
      </c>
      <c r="C243" s="1456"/>
      <c r="D243" s="1456"/>
      <c r="E243" s="419" t="s">
        <v>345</v>
      </c>
      <c r="F243" s="419"/>
      <c r="H243" s="130"/>
    </row>
    <row r="244" spans="1:9" ht="22.5">
      <c r="A244" s="428" t="s">
        <v>30</v>
      </c>
      <c r="B244" s="347" t="s">
        <v>19</v>
      </c>
      <c r="C244" s="343" t="s">
        <v>82</v>
      </c>
      <c r="D244" s="343" t="s">
        <v>79</v>
      </c>
      <c r="E244" s="344" t="s">
        <v>83</v>
      </c>
      <c r="F244" s="345" t="s">
        <v>84</v>
      </c>
      <c r="G244" s="382" t="s">
        <v>85</v>
      </c>
    </row>
    <row r="245" spans="1:9" ht="14.1" customHeight="1">
      <c r="A245" s="361">
        <v>4783</v>
      </c>
      <c r="B245" s="347" t="s">
        <v>854</v>
      </c>
      <c r="C245" s="344" t="s">
        <v>102</v>
      </c>
      <c r="D245" s="343" t="s">
        <v>345</v>
      </c>
      <c r="E245" s="387">
        <v>1</v>
      </c>
      <c r="F245" s="437">
        <f>15.19</f>
        <v>15.19</v>
      </c>
      <c r="G245" s="369">
        <f>TRUNC(E245*F245,2)</f>
        <v>15.19</v>
      </c>
    </row>
    <row r="246" spans="1:9" ht="22.5">
      <c r="A246" s="415" t="s">
        <v>656</v>
      </c>
      <c r="B246" s="347" t="s">
        <v>657</v>
      </c>
      <c r="C246" s="344" t="s">
        <v>658</v>
      </c>
      <c r="D246" s="343" t="s">
        <v>345</v>
      </c>
      <c r="E246" s="387">
        <v>1</v>
      </c>
      <c r="F246" s="388">
        <v>2.15</v>
      </c>
      <c r="G246" s="346">
        <f t="shared" ref="G246:G252" si="14">TRUNC(E246*F246,2)</f>
        <v>2.15</v>
      </c>
    </row>
    <row r="247" spans="1:9" ht="22.5">
      <c r="A247" s="415" t="s">
        <v>659</v>
      </c>
      <c r="B247" s="347" t="s">
        <v>660</v>
      </c>
      <c r="C247" s="344" t="s">
        <v>658</v>
      </c>
      <c r="D247" s="343" t="s">
        <v>345</v>
      </c>
      <c r="E247" s="387">
        <v>1</v>
      </c>
      <c r="F247" s="388">
        <v>0.6</v>
      </c>
      <c r="G247" s="369">
        <f t="shared" si="14"/>
        <v>0.6</v>
      </c>
    </row>
    <row r="248" spans="1:9" ht="22.5">
      <c r="A248" s="415" t="s">
        <v>661</v>
      </c>
      <c r="B248" s="347" t="s">
        <v>662</v>
      </c>
      <c r="C248" s="344" t="s">
        <v>658</v>
      </c>
      <c r="D248" s="343" t="s">
        <v>345</v>
      </c>
      <c r="E248" s="387">
        <v>1</v>
      </c>
      <c r="F248" s="388">
        <v>0.37</v>
      </c>
      <c r="G248" s="346">
        <f t="shared" si="14"/>
        <v>0.37</v>
      </c>
    </row>
    <row r="249" spans="1:9" ht="22.5">
      <c r="A249" s="415" t="s">
        <v>663</v>
      </c>
      <c r="B249" s="347" t="s">
        <v>664</v>
      </c>
      <c r="C249" s="344" t="s">
        <v>658</v>
      </c>
      <c r="D249" s="343" t="s">
        <v>345</v>
      </c>
      <c r="E249" s="387">
        <v>1</v>
      </c>
      <c r="F249" s="388">
        <v>0.02</v>
      </c>
      <c r="G249" s="346">
        <f t="shared" si="14"/>
        <v>0.02</v>
      </c>
    </row>
    <row r="250" spans="1:9" ht="22.5">
      <c r="A250" s="415" t="s">
        <v>837</v>
      </c>
      <c r="B250" s="347" t="s">
        <v>545</v>
      </c>
      <c r="C250" s="344" t="s">
        <v>89</v>
      </c>
      <c r="D250" s="343" t="s">
        <v>345</v>
      </c>
      <c r="E250" s="387">
        <v>1</v>
      </c>
      <c r="F250" s="388">
        <f>G22</f>
        <v>0.44000000000000006</v>
      </c>
      <c r="G250" s="346">
        <f t="shared" si="14"/>
        <v>0.44</v>
      </c>
    </row>
    <row r="251" spans="1:9" ht="14.1" customHeight="1">
      <c r="A251" s="415" t="s">
        <v>665</v>
      </c>
      <c r="B251" s="347" t="s">
        <v>584</v>
      </c>
      <c r="C251" s="344" t="s">
        <v>89</v>
      </c>
      <c r="D251" s="343" t="s">
        <v>345</v>
      </c>
      <c r="E251" s="387">
        <v>1</v>
      </c>
      <c r="F251" s="388">
        <f>G38</f>
        <v>0.98</v>
      </c>
      <c r="G251" s="346">
        <f t="shared" si="14"/>
        <v>0.98</v>
      </c>
    </row>
    <row r="252" spans="1:9" ht="22.5">
      <c r="A252" s="361">
        <v>95332</v>
      </c>
      <c r="B252" s="347" t="s">
        <v>811</v>
      </c>
      <c r="C252" s="344" t="s">
        <v>102</v>
      </c>
      <c r="D252" s="343" t="s">
        <v>345</v>
      </c>
      <c r="E252" s="387">
        <v>1</v>
      </c>
      <c r="F252" s="436">
        <f>G1453</f>
        <v>0.45</v>
      </c>
      <c r="G252" s="346">
        <f t="shared" si="14"/>
        <v>0.45</v>
      </c>
    </row>
    <row r="253" spans="1:9" ht="14.1" customHeight="1">
      <c r="C253" s="130"/>
      <c r="D253" s="389"/>
      <c r="E253" s="350"/>
      <c r="F253" s="351" t="s">
        <v>92</v>
      </c>
      <c r="G253" s="369">
        <f>G245+G252</f>
        <v>15.639999999999999</v>
      </c>
    </row>
    <row r="254" spans="1:9" ht="14.1" customHeight="1">
      <c r="C254" s="130"/>
      <c r="D254" s="147"/>
      <c r="E254" s="350"/>
      <c r="F254" s="351" t="s">
        <v>94</v>
      </c>
      <c r="G254" s="369">
        <f>SUM(G246:G251)</f>
        <v>4.5600000000000005</v>
      </c>
    </row>
    <row r="255" spans="1:9" ht="14.1" customHeight="1">
      <c r="A255" s="390"/>
      <c r="B255" s="146"/>
      <c r="C255" s="130"/>
      <c r="D255" s="147"/>
      <c r="E255" s="350"/>
      <c r="F255" s="351" t="s">
        <v>95</v>
      </c>
      <c r="G255" s="370">
        <f>SUM(G253:G254)</f>
        <v>20.2</v>
      </c>
      <c r="H255" s="354"/>
    </row>
    <row r="256" spans="1:9">
      <c r="A256" s="434"/>
      <c r="B256" s="435"/>
      <c r="C256" s="358"/>
      <c r="D256" s="355"/>
      <c r="E256" s="356"/>
      <c r="F256" s="356"/>
      <c r="G256" s="356"/>
      <c r="H256" s="355"/>
      <c r="I256" s="355"/>
    </row>
    <row r="258" spans="1:8">
      <c r="A258" s="130" t="s">
        <v>653</v>
      </c>
      <c r="C258" s="133"/>
      <c r="D258" s="130"/>
      <c r="E258" s="135"/>
      <c r="H258" s="130"/>
    </row>
    <row r="259" spans="1:8" ht="15" customHeight="1">
      <c r="A259" s="130" t="s">
        <v>33</v>
      </c>
      <c r="B259" s="149" t="s">
        <v>1820</v>
      </c>
      <c r="C259" s="133"/>
      <c r="D259" s="130"/>
      <c r="E259" s="135"/>
      <c r="H259" s="130"/>
    </row>
    <row r="260" spans="1:8" ht="15.75" customHeight="1">
      <c r="A260" s="130" t="s">
        <v>78</v>
      </c>
      <c r="B260" s="419" t="s">
        <v>1813</v>
      </c>
      <c r="C260" s="419" t="s">
        <v>345</v>
      </c>
      <c r="D260" s="419"/>
      <c r="F260" s="419"/>
      <c r="H260" s="130"/>
    </row>
    <row r="261" spans="1:8" ht="22.5">
      <c r="A261" s="428" t="s">
        <v>30</v>
      </c>
      <c r="B261" s="897" t="s">
        <v>19</v>
      </c>
      <c r="C261" s="343" t="s">
        <v>82</v>
      </c>
      <c r="D261" s="343" t="s">
        <v>79</v>
      </c>
      <c r="E261" s="899" t="s">
        <v>83</v>
      </c>
      <c r="F261" s="345" t="s">
        <v>84</v>
      </c>
      <c r="G261" s="382" t="s">
        <v>85</v>
      </c>
    </row>
    <row r="262" spans="1:8" ht="15" customHeight="1">
      <c r="A262" s="902">
        <v>7595</v>
      </c>
      <c r="B262" s="897" t="s">
        <v>1819</v>
      </c>
      <c r="C262" s="899" t="s">
        <v>102</v>
      </c>
      <c r="D262" s="343" t="s">
        <v>345</v>
      </c>
      <c r="E262" s="387">
        <v>1</v>
      </c>
      <c r="F262" s="437">
        <f>7.54</f>
        <v>7.54</v>
      </c>
      <c r="G262" s="369">
        <f>TRUNC(E262*F262,2)</f>
        <v>7.54</v>
      </c>
    </row>
    <row r="263" spans="1:8" ht="22.5">
      <c r="A263" s="896" t="s">
        <v>656</v>
      </c>
      <c r="B263" s="897" t="s">
        <v>657</v>
      </c>
      <c r="C263" s="899" t="s">
        <v>658</v>
      </c>
      <c r="D263" s="343" t="s">
        <v>345</v>
      </c>
      <c r="E263" s="387">
        <v>1</v>
      </c>
      <c r="F263" s="388">
        <v>2.15</v>
      </c>
      <c r="G263" s="346">
        <f t="shared" ref="G263:G269" si="15">TRUNC(E263*F263,2)</f>
        <v>2.15</v>
      </c>
    </row>
    <row r="264" spans="1:8" ht="22.5">
      <c r="A264" s="896" t="s">
        <v>659</v>
      </c>
      <c r="B264" s="897" t="s">
        <v>660</v>
      </c>
      <c r="C264" s="899" t="s">
        <v>658</v>
      </c>
      <c r="D264" s="343" t="s">
        <v>345</v>
      </c>
      <c r="E264" s="387">
        <v>1</v>
      </c>
      <c r="F264" s="388">
        <v>0.6</v>
      </c>
      <c r="G264" s="369">
        <f t="shared" si="15"/>
        <v>0.6</v>
      </c>
    </row>
    <row r="265" spans="1:8" ht="22.5">
      <c r="A265" s="896" t="s">
        <v>661</v>
      </c>
      <c r="B265" s="897" t="s">
        <v>662</v>
      </c>
      <c r="C265" s="899" t="s">
        <v>658</v>
      </c>
      <c r="D265" s="343" t="s">
        <v>345</v>
      </c>
      <c r="E265" s="387">
        <v>1</v>
      </c>
      <c r="F265" s="388">
        <v>0.37</v>
      </c>
      <c r="G265" s="346">
        <f t="shared" si="15"/>
        <v>0.37</v>
      </c>
    </row>
    <row r="266" spans="1:8" ht="22.5">
      <c r="A266" s="896" t="s">
        <v>663</v>
      </c>
      <c r="B266" s="897" t="s">
        <v>664</v>
      </c>
      <c r="C266" s="899" t="s">
        <v>658</v>
      </c>
      <c r="D266" s="343" t="s">
        <v>345</v>
      </c>
      <c r="E266" s="387">
        <v>1</v>
      </c>
      <c r="F266" s="388">
        <v>0.02</v>
      </c>
      <c r="G266" s="346">
        <f t="shared" si="15"/>
        <v>0.02</v>
      </c>
    </row>
    <row r="267" spans="1:8" ht="22.5">
      <c r="A267" s="896" t="s">
        <v>837</v>
      </c>
      <c r="B267" s="897" t="s">
        <v>545</v>
      </c>
      <c r="C267" s="899" t="s">
        <v>89</v>
      </c>
      <c r="D267" s="343" t="s">
        <v>345</v>
      </c>
      <c r="E267" s="387">
        <v>1</v>
      </c>
      <c r="F267" s="388">
        <f>G22</f>
        <v>0.44000000000000006</v>
      </c>
      <c r="G267" s="346">
        <f t="shared" si="15"/>
        <v>0.44</v>
      </c>
    </row>
    <row r="268" spans="1:8" ht="15" customHeight="1">
      <c r="A268" s="896" t="s">
        <v>665</v>
      </c>
      <c r="B268" s="897" t="s">
        <v>584</v>
      </c>
      <c r="C268" s="899" t="s">
        <v>89</v>
      </c>
      <c r="D268" s="343" t="s">
        <v>345</v>
      </c>
      <c r="E268" s="387">
        <v>1</v>
      </c>
      <c r="F268" s="388">
        <f>G38</f>
        <v>0.98</v>
      </c>
      <c r="G268" s="346">
        <f t="shared" si="15"/>
        <v>0.98</v>
      </c>
    </row>
    <row r="269" spans="1:8" ht="22.5">
      <c r="A269" s="902">
        <v>95352</v>
      </c>
      <c r="B269" s="897" t="s">
        <v>1821</v>
      </c>
      <c r="C269" s="899" t="s">
        <v>102</v>
      </c>
      <c r="D269" s="343" t="s">
        <v>345</v>
      </c>
      <c r="E269" s="387">
        <v>1</v>
      </c>
      <c r="F269" s="436">
        <f>G472</f>
        <v>0.05</v>
      </c>
      <c r="G269" s="346">
        <f t="shared" si="15"/>
        <v>0.05</v>
      </c>
    </row>
    <row r="270" spans="1:8" ht="15" customHeight="1">
      <c r="C270" s="130"/>
      <c r="D270" s="389"/>
      <c r="E270" s="350"/>
      <c r="F270" s="351" t="s">
        <v>92</v>
      </c>
      <c r="G270" s="369">
        <f>G262+G269</f>
        <v>7.59</v>
      </c>
    </row>
    <row r="271" spans="1:8" ht="15" customHeight="1">
      <c r="C271" s="130"/>
      <c r="D271" s="147"/>
      <c r="E271" s="350"/>
      <c r="F271" s="351" t="s">
        <v>94</v>
      </c>
      <c r="G271" s="369">
        <f>SUM(G263:G268)</f>
        <v>4.5600000000000005</v>
      </c>
    </row>
    <row r="272" spans="1:8" ht="15" customHeight="1">
      <c r="A272" s="390"/>
      <c r="B272" s="146"/>
      <c r="C272" s="130"/>
      <c r="D272" s="147"/>
      <c r="E272" s="350"/>
      <c r="F272" s="351" t="s">
        <v>95</v>
      </c>
      <c r="G272" s="370">
        <f>SUM(G270:G271)</f>
        <v>12.15</v>
      </c>
      <c r="H272" s="354"/>
    </row>
    <row r="273" spans="1:8">
      <c r="A273" s="434"/>
      <c r="B273" s="435"/>
      <c r="C273" s="358"/>
      <c r="D273" s="355"/>
      <c r="E273" s="356"/>
      <c r="F273" s="356"/>
      <c r="G273" s="356"/>
      <c r="H273" s="355"/>
    </row>
    <row r="275" spans="1:8">
      <c r="A275" s="130" t="s">
        <v>653</v>
      </c>
      <c r="C275" s="133"/>
      <c r="D275" s="130"/>
      <c r="E275" s="135"/>
      <c r="H275" s="130"/>
    </row>
    <row r="276" spans="1:8">
      <c r="A276" s="130" t="s">
        <v>33</v>
      </c>
      <c r="B276" s="149" t="s">
        <v>853</v>
      </c>
      <c r="C276" s="133"/>
      <c r="D276" s="130"/>
      <c r="E276" s="135"/>
      <c r="H276" s="130"/>
    </row>
    <row r="277" spans="1:8">
      <c r="A277" s="130" t="s">
        <v>78</v>
      </c>
      <c r="B277" s="1456" t="s">
        <v>422</v>
      </c>
      <c r="C277" s="1456"/>
      <c r="D277" s="1456"/>
      <c r="E277" s="419" t="s">
        <v>345</v>
      </c>
      <c r="F277" s="419"/>
      <c r="H277" s="130"/>
    </row>
    <row r="278" spans="1:8" ht="22.5">
      <c r="A278" s="428" t="s">
        <v>30</v>
      </c>
      <c r="B278" s="347" t="s">
        <v>19</v>
      </c>
      <c r="C278" s="343" t="s">
        <v>82</v>
      </c>
      <c r="D278" s="343" t="s">
        <v>79</v>
      </c>
      <c r="E278" s="344" t="s">
        <v>83</v>
      </c>
      <c r="F278" s="345" t="s">
        <v>84</v>
      </c>
      <c r="G278" s="382" t="s">
        <v>85</v>
      </c>
    </row>
    <row r="279" spans="1:8" ht="14.1" customHeight="1">
      <c r="A279" s="361">
        <v>247</v>
      </c>
      <c r="B279" s="347" t="s">
        <v>855</v>
      </c>
      <c r="C279" s="344" t="s">
        <v>102</v>
      </c>
      <c r="D279" s="343" t="s">
        <v>345</v>
      </c>
      <c r="E279" s="387">
        <v>1</v>
      </c>
      <c r="F279" s="437">
        <f>10.66</f>
        <v>10.66</v>
      </c>
      <c r="G279" s="369">
        <f>TRUNC(E279*F279,2)</f>
        <v>10.66</v>
      </c>
    </row>
    <row r="280" spans="1:8" ht="22.5">
      <c r="A280" s="415" t="s">
        <v>656</v>
      </c>
      <c r="B280" s="347" t="s">
        <v>657</v>
      </c>
      <c r="C280" s="344" t="s">
        <v>658</v>
      </c>
      <c r="D280" s="343" t="s">
        <v>345</v>
      </c>
      <c r="E280" s="387">
        <v>1</v>
      </c>
      <c r="F280" s="388">
        <v>2.15</v>
      </c>
      <c r="G280" s="346">
        <f t="shared" ref="G280:G286" si="16">TRUNC(E280*F280,2)</f>
        <v>2.15</v>
      </c>
    </row>
    <row r="281" spans="1:8" ht="22.5">
      <c r="A281" s="415" t="s">
        <v>659</v>
      </c>
      <c r="B281" s="347" t="s">
        <v>660</v>
      </c>
      <c r="C281" s="344" t="s">
        <v>658</v>
      </c>
      <c r="D281" s="343" t="s">
        <v>345</v>
      </c>
      <c r="E281" s="387">
        <v>1</v>
      </c>
      <c r="F281" s="388">
        <v>0.6</v>
      </c>
      <c r="G281" s="369">
        <f t="shared" si="16"/>
        <v>0.6</v>
      </c>
    </row>
    <row r="282" spans="1:8" ht="22.5">
      <c r="A282" s="415" t="s">
        <v>661</v>
      </c>
      <c r="B282" s="347" t="s">
        <v>662</v>
      </c>
      <c r="C282" s="344" t="s">
        <v>658</v>
      </c>
      <c r="D282" s="343" t="s">
        <v>345</v>
      </c>
      <c r="E282" s="387">
        <v>1</v>
      </c>
      <c r="F282" s="388">
        <v>0.37</v>
      </c>
      <c r="G282" s="346">
        <f t="shared" si="16"/>
        <v>0.37</v>
      </c>
    </row>
    <row r="283" spans="1:8" ht="22.5">
      <c r="A283" s="415" t="s">
        <v>663</v>
      </c>
      <c r="B283" s="347" t="s">
        <v>664</v>
      </c>
      <c r="C283" s="344" t="s">
        <v>658</v>
      </c>
      <c r="D283" s="343" t="s">
        <v>345</v>
      </c>
      <c r="E283" s="387">
        <v>1</v>
      </c>
      <c r="F283" s="388">
        <v>0.02</v>
      </c>
      <c r="G283" s="346">
        <f t="shared" si="16"/>
        <v>0.02</v>
      </c>
    </row>
    <row r="284" spans="1:8" ht="22.5">
      <c r="A284" s="415" t="s">
        <v>837</v>
      </c>
      <c r="B284" s="347" t="s">
        <v>545</v>
      </c>
      <c r="C284" s="344" t="s">
        <v>89</v>
      </c>
      <c r="D284" s="343" t="s">
        <v>345</v>
      </c>
      <c r="E284" s="387">
        <v>1</v>
      </c>
      <c r="F284" s="388">
        <f>G22</f>
        <v>0.44000000000000006</v>
      </c>
      <c r="G284" s="346">
        <f t="shared" si="16"/>
        <v>0.44</v>
      </c>
    </row>
    <row r="285" spans="1:8" ht="14.1" customHeight="1">
      <c r="A285" s="415" t="s">
        <v>665</v>
      </c>
      <c r="B285" s="347" t="s">
        <v>584</v>
      </c>
      <c r="C285" s="344" t="s">
        <v>89</v>
      </c>
      <c r="D285" s="343" t="s">
        <v>345</v>
      </c>
      <c r="E285" s="387">
        <v>1</v>
      </c>
      <c r="F285" s="388">
        <f>G38</f>
        <v>0.98</v>
      </c>
      <c r="G285" s="346">
        <f t="shared" si="16"/>
        <v>0.98</v>
      </c>
    </row>
    <row r="286" spans="1:8" ht="33.75">
      <c r="A286" s="361">
        <v>95316</v>
      </c>
      <c r="B286" s="347" t="s">
        <v>808</v>
      </c>
      <c r="C286" s="344" t="s">
        <v>102</v>
      </c>
      <c r="D286" s="343" t="s">
        <v>345</v>
      </c>
      <c r="E286" s="387">
        <v>1</v>
      </c>
      <c r="F286" s="436">
        <f>G1443</f>
        <v>0.32</v>
      </c>
      <c r="G286" s="346">
        <f t="shared" si="16"/>
        <v>0.32</v>
      </c>
    </row>
    <row r="287" spans="1:8" ht="14.1" customHeight="1">
      <c r="C287" s="130"/>
      <c r="D287" s="389"/>
      <c r="E287" s="350"/>
      <c r="F287" s="351" t="s">
        <v>92</v>
      </c>
      <c r="G287" s="369">
        <f>G279+G286</f>
        <v>10.98</v>
      </c>
    </row>
    <row r="288" spans="1:8" ht="14.1" customHeight="1">
      <c r="C288" s="130"/>
      <c r="D288" s="147"/>
      <c r="E288" s="350"/>
      <c r="F288" s="351" t="s">
        <v>94</v>
      </c>
      <c r="G288" s="369">
        <f>SUM(G280:G285)</f>
        <v>4.5600000000000005</v>
      </c>
    </row>
    <row r="289" spans="1:9" ht="14.1" customHeight="1">
      <c r="A289" s="390"/>
      <c r="B289" s="146"/>
      <c r="C289" s="130"/>
      <c r="D289" s="147"/>
      <c r="E289" s="350"/>
      <c r="F289" s="351" t="s">
        <v>95</v>
      </c>
      <c r="G289" s="370">
        <f>SUM(G287:G288)</f>
        <v>15.540000000000001</v>
      </c>
      <c r="H289" s="354"/>
    </row>
    <row r="290" spans="1:9">
      <c r="A290" s="434"/>
      <c r="B290" s="435"/>
      <c r="C290" s="358"/>
      <c r="D290" s="355"/>
      <c r="E290" s="356"/>
      <c r="F290" s="356"/>
      <c r="G290" s="356"/>
      <c r="H290" s="355"/>
      <c r="I290" s="355"/>
    </row>
    <row r="292" spans="1:9">
      <c r="A292" s="130" t="s">
        <v>653</v>
      </c>
      <c r="C292" s="133"/>
      <c r="D292" s="130"/>
      <c r="E292" s="135"/>
      <c r="H292" s="130"/>
    </row>
    <row r="293" spans="1:9">
      <c r="A293" s="130" t="s">
        <v>33</v>
      </c>
      <c r="B293" s="149" t="s">
        <v>1814</v>
      </c>
      <c r="C293" s="133"/>
      <c r="D293" s="130"/>
      <c r="E293" s="135"/>
      <c r="H293" s="130"/>
    </row>
    <row r="294" spans="1:9" ht="15.75" customHeight="1">
      <c r="A294" s="130" t="s">
        <v>78</v>
      </c>
      <c r="B294" s="1456" t="s">
        <v>1811</v>
      </c>
      <c r="C294" s="1456"/>
      <c r="D294" s="1456"/>
      <c r="E294" s="419" t="s">
        <v>345</v>
      </c>
      <c r="F294" s="419"/>
      <c r="H294" s="130"/>
    </row>
    <row r="295" spans="1:9" ht="22.5">
      <c r="A295" s="428" t="s">
        <v>30</v>
      </c>
      <c r="B295" s="897" t="s">
        <v>19</v>
      </c>
      <c r="C295" s="343" t="s">
        <v>82</v>
      </c>
      <c r="D295" s="343" t="s">
        <v>79</v>
      </c>
      <c r="E295" s="899" t="s">
        <v>83</v>
      </c>
      <c r="F295" s="345" t="s">
        <v>84</v>
      </c>
      <c r="G295" s="382" t="s">
        <v>85</v>
      </c>
    </row>
    <row r="296" spans="1:9" ht="15" customHeight="1">
      <c r="A296" s="902">
        <v>244</v>
      </c>
      <c r="B296" s="897" t="s">
        <v>1815</v>
      </c>
      <c r="C296" s="899" t="s">
        <v>102</v>
      </c>
      <c r="D296" s="343" t="s">
        <v>345</v>
      </c>
      <c r="E296" s="387">
        <v>1</v>
      </c>
      <c r="F296" s="437">
        <f>5.98</f>
        <v>5.98</v>
      </c>
      <c r="G296" s="369">
        <f>TRUNC(E296*F296,2)</f>
        <v>5.98</v>
      </c>
    </row>
    <row r="297" spans="1:9" ht="22.5">
      <c r="A297" s="896" t="s">
        <v>656</v>
      </c>
      <c r="B297" s="897" t="s">
        <v>657</v>
      </c>
      <c r="C297" s="899" t="s">
        <v>658</v>
      </c>
      <c r="D297" s="343" t="s">
        <v>345</v>
      </c>
      <c r="E297" s="387">
        <v>1</v>
      </c>
      <c r="F297" s="388">
        <v>2.15</v>
      </c>
      <c r="G297" s="346">
        <f t="shared" ref="G297:G303" si="17">TRUNC(E297*F297,2)</f>
        <v>2.15</v>
      </c>
    </row>
    <row r="298" spans="1:9" ht="22.5">
      <c r="A298" s="896" t="s">
        <v>659</v>
      </c>
      <c r="B298" s="897" t="s">
        <v>660</v>
      </c>
      <c r="C298" s="899" t="s">
        <v>658</v>
      </c>
      <c r="D298" s="343" t="s">
        <v>345</v>
      </c>
      <c r="E298" s="387">
        <v>1</v>
      </c>
      <c r="F298" s="388">
        <v>0.6</v>
      </c>
      <c r="G298" s="369">
        <f t="shared" si="17"/>
        <v>0.6</v>
      </c>
    </row>
    <row r="299" spans="1:9" ht="22.5">
      <c r="A299" s="896" t="s">
        <v>661</v>
      </c>
      <c r="B299" s="897" t="s">
        <v>662</v>
      </c>
      <c r="C299" s="899" t="s">
        <v>658</v>
      </c>
      <c r="D299" s="343" t="s">
        <v>345</v>
      </c>
      <c r="E299" s="387">
        <v>1</v>
      </c>
      <c r="F299" s="388">
        <v>0.37</v>
      </c>
      <c r="G299" s="346">
        <f t="shared" si="17"/>
        <v>0.37</v>
      </c>
    </row>
    <row r="300" spans="1:9" ht="22.5">
      <c r="A300" s="896" t="s">
        <v>663</v>
      </c>
      <c r="B300" s="897" t="s">
        <v>664</v>
      </c>
      <c r="C300" s="899" t="s">
        <v>658</v>
      </c>
      <c r="D300" s="343" t="s">
        <v>345</v>
      </c>
      <c r="E300" s="387">
        <v>1</v>
      </c>
      <c r="F300" s="388">
        <v>0.02</v>
      </c>
      <c r="G300" s="346">
        <f t="shared" si="17"/>
        <v>0.02</v>
      </c>
    </row>
    <row r="301" spans="1:9" ht="22.5">
      <c r="A301" s="896" t="s">
        <v>837</v>
      </c>
      <c r="B301" s="897" t="s">
        <v>545</v>
      </c>
      <c r="C301" s="899" t="s">
        <v>89</v>
      </c>
      <c r="D301" s="343" t="s">
        <v>345</v>
      </c>
      <c r="E301" s="387">
        <v>1</v>
      </c>
      <c r="F301" s="388">
        <f>G22</f>
        <v>0.44000000000000006</v>
      </c>
      <c r="G301" s="346">
        <f t="shared" si="17"/>
        <v>0.44</v>
      </c>
    </row>
    <row r="302" spans="1:9" ht="15" customHeight="1">
      <c r="A302" s="896" t="s">
        <v>665</v>
      </c>
      <c r="B302" s="897" t="s">
        <v>584</v>
      </c>
      <c r="C302" s="899" t="s">
        <v>89</v>
      </c>
      <c r="D302" s="343" t="s">
        <v>345</v>
      </c>
      <c r="E302" s="387">
        <v>1</v>
      </c>
      <c r="F302" s="388">
        <f>G38</f>
        <v>0.98</v>
      </c>
      <c r="G302" s="346">
        <f t="shared" si="17"/>
        <v>0.98</v>
      </c>
    </row>
    <row r="303" spans="1:9" ht="33.75">
      <c r="A303" s="902">
        <v>95316</v>
      </c>
      <c r="B303" s="897" t="s">
        <v>1816</v>
      </c>
      <c r="C303" s="899" t="s">
        <v>102</v>
      </c>
      <c r="D303" s="343" t="s">
        <v>345</v>
      </c>
      <c r="E303" s="387">
        <v>1</v>
      </c>
      <c r="F303" s="436">
        <f>G462</f>
        <v>0.04</v>
      </c>
      <c r="G303" s="346">
        <f t="shared" si="17"/>
        <v>0.04</v>
      </c>
    </row>
    <row r="304" spans="1:9" ht="15" customHeight="1">
      <c r="C304" s="130"/>
      <c r="D304" s="389"/>
      <c r="E304" s="350"/>
      <c r="F304" s="351" t="s">
        <v>92</v>
      </c>
      <c r="G304" s="369">
        <f>G296+G303</f>
        <v>6.0200000000000005</v>
      </c>
    </row>
    <row r="305" spans="1:8" ht="15" customHeight="1">
      <c r="C305" s="130"/>
      <c r="D305" s="147"/>
      <c r="E305" s="350"/>
      <c r="F305" s="351" t="s">
        <v>94</v>
      </c>
      <c r="G305" s="369">
        <f>SUM(G297:G302)</f>
        <v>4.5600000000000005</v>
      </c>
    </row>
    <row r="306" spans="1:8" ht="15" customHeight="1">
      <c r="A306" s="390"/>
      <c r="B306" s="146"/>
      <c r="C306" s="130"/>
      <c r="D306" s="147"/>
      <c r="E306" s="350"/>
      <c r="F306" s="351" t="s">
        <v>95</v>
      </c>
      <c r="G306" s="370">
        <f>SUM(G304:G305)</f>
        <v>10.580000000000002</v>
      </c>
      <c r="H306" s="354"/>
    </row>
    <row r="307" spans="1:8">
      <c r="A307" s="434"/>
      <c r="B307" s="435"/>
      <c r="C307" s="358"/>
      <c r="D307" s="355"/>
      <c r="E307" s="356"/>
      <c r="F307" s="356"/>
      <c r="G307" s="356"/>
      <c r="H307" s="355"/>
    </row>
    <row r="309" spans="1:8">
      <c r="A309" s="130" t="s">
        <v>653</v>
      </c>
      <c r="C309" s="133"/>
      <c r="D309" s="130"/>
      <c r="E309" s="135"/>
      <c r="H309" s="130"/>
    </row>
    <row r="310" spans="1:8" ht="13.5" customHeight="1">
      <c r="A310" s="130" t="s">
        <v>33</v>
      </c>
      <c r="B310" s="149" t="s">
        <v>856</v>
      </c>
      <c r="C310" s="133"/>
      <c r="D310" s="130"/>
      <c r="E310" s="135"/>
      <c r="H310" s="130"/>
    </row>
    <row r="311" spans="1:8" ht="29.25" customHeight="1">
      <c r="A311" s="130" t="s">
        <v>78</v>
      </c>
      <c r="B311" s="1456" t="s">
        <v>274</v>
      </c>
      <c r="C311" s="1456"/>
      <c r="D311" s="1456"/>
      <c r="E311" s="419" t="s">
        <v>345</v>
      </c>
      <c r="F311" s="419"/>
      <c r="H311" s="130"/>
    </row>
    <row r="312" spans="1:8" ht="22.5">
      <c r="A312" s="428" t="s">
        <v>30</v>
      </c>
      <c r="B312" s="347" t="s">
        <v>19</v>
      </c>
      <c r="C312" s="343" t="s">
        <v>82</v>
      </c>
      <c r="D312" s="343" t="s">
        <v>79</v>
      </c>
      <c r="E312" s="344" t="s">
        <v>83</v>
      </c>
      <c r="F312" s="345" t="s">
        <v>84</v>
      </c>
      <c r="G312" s="382" t="s">
        <v>85</v>
      </c>
    </row>
    <row r="313" spans="1:8" ht="14.1" customHeight="1">
      <c r="A313" s="361">
        <v>246</v>
      </c>
      <c r="B313" s="347" t="s">
        <v>815</v>
      </c>
      <c r="C313" s="344" t="s">
        <v>102</v>
      </c>
      <c r="D313" s="343" t="s">
        <v>345</v>
      </c>
      <c r="E313" s="387">
        <v>1</v>
      </c>
      <c r="F313" s="437">
        <f>10.75</f>
        <v>10.75</v>
      </c>
      <c r="G313" s="369">
        <f>TRUNC(E313*F313,2)</f>
        <v>10.75</v>
      </c>
    </row>
    <row r="314" spans="1:8" ht="22.5">
      <c r="A314" s="415" t="s">
        <v>656</v>
      </c>
      <c r="B314" s="347" t="s">
        <v>657</v>
      </c>
      <c r="C314" s="344" t="s">
        <v>658</v>
      </c>
      <c r="D314" s="343" t="s">
        <v>345</v>
      </c>
      <c r="E314" s="387">
        <v>1</v>
      </c>
      <c r="F314" s="388">
        <v>2.15</v>
      </c>
      <c r="G314" s="346">
        <f t="shared" ref="G314:G320" si="18">TRUNC(E314*F314,2)</f>
        <v>2.15</v>
      </c>
    </row>
    <row r="315" spans="1:8" ht="22.5">
      <c r="A315" s="415" t="s">
        <v>659</v>
      </c>
      <c r="B315" s="347" t="s">
        <v>660</v>
      </c>
      <c r="C315" s="344" t="s">
        <v>658</v>
      </c>
      <c r="D315" s="343" t="s">
        <v>345</v>
      </c>
      <c r="E315" s="387">
        <v>1</v>
      </c>
      <c r="F315" s="388">
        <v>0.6</v>
      </c>
      <c r="G315" s="369">
        <f t="shared" si="18"/>
        <v>0.6</v>
      </c>
    </row>
    <row r="316" spans="1:8" ht="22.5">
      <c r="A316" s="415" t="s">
        <v>661</v>
      </c>
      <c r="B316" s="347" t="s">
        <v>662</v>
      </c>
      <c r="C316" s="344" t="s">
        <v>658</v>
      </c>
      <c r="D316" s="343" t="s">
        <v>345</v>
      </c>
      <c r="E316" s="387">
        <v>1</v>
      </c>
      <c r="F316" s="388">
        <v>0.37</v>
      </c>
      <c r="G316" s="346">
        <f t="shared" si="18"/>
        <v>0.37</v>
      </c>
    </row>
    <row r="317" spans="1:8" ht="22.5">
      <c r="A317" s="415" t="s">
        <v>663</v>
      </c>
      <c r="B317" s="347" t="s">
        <v>664</v>
      </c>
      <c r="C317" s="344" t="s">
        <v>658</v>
      </c>
      <c r="D317" s="343" t="s">
        <v>345</v>
      </c>
      <c r="E317" s="387">
        <v>1</v>
      </c>
      <c r="F317" s="388">
        <v>0.02</v>
      </c>
      <c r="G317" s="346">
        <f t="shared" si="18"/>
        <v>0.02</v>
      </c>
    </row>
    <row r="318" spans="1:8" ht="22.5">
      <c r="A318" s="415" t="s">
        <v>837</v>
      </c>
      <c r="B318" s="347" t="s">
        <v>545</v>
      </c>
      <c r="C318" s="344" t="s">
        <v>89</v>
      </c>
      <c r="D318" s="343" t="s">
        <v>345</v>
      </c>
      <c r="E318" s="387">
        <v>1</v>
      </c>
      <c r="F318" s="388">
        <f>G22</f>
        <v>0.44000000000000006</v>
      </c>
      <c r="G318" s="346">
        <f t="shared" si="18"/>
        <v>0.44</v>
      </c>
    </row>
    <row r="319" spans="1:8" ht="14.1" customHeight="1">
      <c r="A319" s="415" t="s">
        <v>665</v>
      </c>
      <c r="B319" s="347" t="s">
        <v>584</v>
      </c>
      <c r="C319" s="344" t="s">
        <v>89</v>
      </c>
      <c r="D319" s="343" t="s">
        <v>345</v>
      </c>
      <c r="E319" s="387">
        <v>1</v>
      </c>
      <c r="F319" s="388">
        <f>G38</f>
        <v>0.98</v>
      </c>
      <c r="G319" s="346">
        <f t="shared" si="18"/>
        <v>0.98</v>
      </c>
    </row>
    <row r="320" spans="1:8" ht="33.75">
      <c r="A320" s="361">
        <v>95317</v>
      </c>
      <c r="B320" s="347" t="s">
        <v>814</v>
      </c>
      <c r="C320" s="344" t="s">
        <v>102</v>
      </c>
      <c r="D320" s="343" t="s">
        <v>345</v>
      </c>
      <c r="E320" s="387">
        <v>1</v>
      </c>
      <c r="F320" s="436">
        <f>G1463</f>
        <v>0.15</v>
      </c>
      <c r="G320" s="346">
        <f t="shared" si="18"/>
        <v>0.15</v>
      </c>
    </row>
    <row r="321" spans="1:9" ht="14.1" customHeight="1">
      <c r="C321" s="130"/>
      <c r="D321" s="389"/>
      <c r="E321" s="350"/>
      <c r="F321" s="351" t="s">
        <v>92</v>
      </c>
      <c r="G321" s="369">
        <f>G313+G320</f>
        <v>10.9</v>
      </c>
    </row>
    <row r="322" spans="1:9" ht="14.1" customHeight="1">
      <c r="C322" s="130"/>
      <c r="D322" s="147"/>
      <c r="E322" s="350"/>
      <c r="F322" s="351" t="s">
        <v>94</v>
      </c>
      <c r="G322" s="369">
        <f>SUM(G314:G319)</f>
        <v>4.5600000000000005</v>
      </c>
    </row>
    <row r="323" spans="1:9" ht="14.1" customHeight="1">
      <c r="A323" s="390"/>
      <c r="B323" s="146"/>
      <c r="C323" s="130"/>
      <c r="D323" s="147"/>
      <c r="E323" s="350"/>
      <c r="F323" s="351" t="s">
        <v>95</v>
      </c>
      <c r="G323" s="370">
        <f>SUM(G321:G322)</f>
        <v>15.46</v>
      </c>
      <c r="H323" s="354"/>
    </row>
    <row r="324" spans="1:9">
      <c r="A324" s="434"/>
      <c r="B324" s="435"/>
      <c r="C324" s="358"/>
      <c r="D324" s="355"/>
      <c r="E324" s="356"/>
      <c r="F324" s="356"/>
      <c r="G324" s="356"/>
      <c r="H324" s="355"/>
      <c r="I324" s="355"/>
    </row>
    <row r="326" spans="1:9">
      <c r="A326" s="130" t="s">
        <v>653</v>
      </c>
      <c r="C326" s="133"/>
      <c r="D326" s="130"/>
      <c r="E326" s="135"/>
      <c r="H326" s="130"/>
    </row>
    <row r="327" spans="1:9">
      <c r="A327" s="130" t="s">
        <v>33</v>
      </c>
      <c r="B327" s="149" t="s">
        <v>857</v>
      </c>
      <c r="C327" s="133"/>
      <c r="D327" s="130"/>
      <c r="E327" s="135"/>
      <c r="H327" s="130"/>
    </row>
    <row r="328" spans="1:9" ht="17.25" customHeight="1">
      <c r="A328" s="130" t="s">
        <v>78</v>
      </c>
      <c r="B328" s="1456" t="s">
        <v>245</v>
      </c>
      <c r="C328" s="1456"/>
      <c r="D328" s="1456"/>
      <c r="E328" s="472" t="s">
        <v>345</v>
      </c>
      <c r="F328" s="419"/>
      <c r="H328" s="130"/>
    </row>
    <row r="329" spans="1:9" ht="22.5">
      <c r="A329" s="428" t="s">
        <v>30</v>
      </c>
      <c r="B329" s="347" t="s">
        <v>19</v>
      </c>
      <c r="C329" s="343" t="s">
        <v>82</v>
      </c>
      <c r="D329" s="343" t="s">
        <v>79</v>
      </c>
      <c r="E329" s="344" t="s">
        <v>83</v>
      </c>
      <c r="F329" s="345" t="s">
        <v>84</v>
      </c>
      <c r="G329" s="382" t="s">
        <v>85</v>
      </c>
    </row>
    <row r="330" spans="1:9" ht="14.1" customHeight="1">
      <c r="A330" s="361">
        <v>2696</v>
      </c>
      <c r="B330" s="347" t="s">
        <v>818</v>
      </c>
      <c r="C330" s="344" t="s">
        <v>102</v>
      </c>
      <c r="D330" s="343" t="s">
        <v>345</v>
      </c>
      <c r="E330" s="387">
        <v>1</v>
      </c>
      <c r="F330" s="437">
        <f>15.19</f>
        <v>15.19</v>
      </c>
      <c r="G330" s="369">
        <f>TRUNC(E330*F330,2)</f>
        <v>15.19</v>
      </c>
    </row>
    <row r="331" spans="1:9" ht="22.5">
      <c r="A331" s="415" t="s">
        <v>656</v>
      </c>
      <c r="B331" s="347" t="s">
        <v>657</v>
      </c>
      <c r="C331" s="344" t="s">
        <v>658</v>
      </c>
      <c r="D331" s="343" t="s">
        <v>345</v>
      </c>
      <c r="E331" s="387">
        <v>1</v>
      </c>
      <c r="F331" s="388">
        <v>2.15</v>
      </c>
      <c r="G331" s="346">
        <f t="shared" ref="G331:G337" si="19">TRUNC(E331*F331,2)</f>
        <v>2.15</v>
      </c>
    </row>
    <row r="332" spans="1:9" ht="22.5">
      <c r="A332" s="415" t="s">
        <v>659</v>
      </c>
      <c r="B332" s="347" t="s">
        <v>660</v>
      </c>
      <c r="C332" s="344" t="s">
        <v>658</v>
      </c>
      <c r="D332" s="343" t="s">
        <v>345</v>
      </c>
      <c r="E332" s="387">
        <v>1</v>
      </c>
      <c r="F332" s="388">
        <v>0.6</v>
      </c>
      <c r="G332" s="369">
        <f t="shared" si="19"/>
        <v>0.6</v>
      </c>
    </row>
    <row r="333" spans="1:9" ht="22.5">
      <c r="A333" s="415" t="s">
        <v>661</v>
      </c>
      <c r="B333" s="347" t="s">
        <v>662</v>
      </c>
      <c r="C333" s="344" t="s">
        <v>658</v>
      </c>
      <c r="D333" s="343" t="s">
        <v>345</v>
      </c>
      <c r="E333" s="387">
        <v>1</v>
      </c>
      <c r="F333" s="388">
        <v>0.37</v>
      </c>
      <c r="G333" s="346">
        <f t="shared" si="19"/>
        <v>0.37</v>
      </c>
    </row>
    <row r="334" spans="1:9" ht="22.5">
      <c r="A334" s="415" t="s">
        <v>663</v>
      </c>
      <c r="B334" s="347" t="s">
        <v>664</v>
      </c>
      <c r="C334" s="344" t="s">
        <v>658</v>
      </c>
      <c r="D334" s="343" t="s">
        <v>345</v>
      </c>
      <c r="E334" s="387">
        <v>1</v>
      </c>
      <c r="F334" s="388">
        <v>0.02</v>
      </c>
      <c r="G334" s="346">
        <f t="shared" si="19"/>
        <v>0.02</v>
      </c>
    </row>
    <row r="335" spans="1:9" ht="22.5">
      <c r="A335" s="415" t="s">
        <v>837</v>
      </c>
      <c r="B335" s="347" t="s">
        <v>545</v>
      </c>
      <c r="C335" s="344" t="s">
        <v>89</v>
      </c>
      <c r="D335" s="343" t="s">
        <v>345</v>
      </c>
      <c r="E335" s="387">
        <v>1</v>
      </c>
      <c r="F335" s="388">
        <f>G22</f>
        <v>0.44000000000000006</v>
      </c>
      <c r="G335" s="346">
        <f t="shared" si="19"/>
        <v>0.44</v>
      </c>
    </row>
    <row r="336" spans="1:9" ht="14.1" customHeight="1">
      <c r="A336" s="415" t="s">
        <v>665</v>
      </c>
      <c r="B336" s="347" t="s">
        <v>584</v>
      </c>
      <c r="C336" s="344" t="s">
        <v>89</v>
      </c>
      <c r="D336" s="343" t="s">
        <v>345</v>
      </c>
      <c r="E336" s="387">
        <v>1</v>
      </c>
      <c r="F336" s="388">
        <f>G38</f>
        <v>0.98</v>
      </c>
      <c r="G336" s="346">
        <f t="shared" si="19"/>
        <v>0.98</v>
      </c>
    </row>
    <row r="337" spans="1:9" ht="33.75">
      <c r="A337" s="361">
        <v>95335</v>
      </c>
      <c r="B337" s="347" t="s">
        <v>817</v>
      </c>
      <c r="C337" s="344" t="s">
        <v>102</v>
      </c>
      <c r="D337" s="343" t="s">
        <v>345</v>
      </c>
      <c r="E337" s="387">
        <v>1</v>
      </c>
      <c r="F337" s="436">
        <f>G1473</f>
        <v>0.22</v>
      </c>
      <c r="G337" s="346">
        <f t="shared" si="19"/>
        <v>0.22</v>
      </c>
    </row>
    <row r="338" spans="1:9" ht="14.1" customHeight="1">
      <c r="C338" s="130"/>
      <c r="D338" s="389"/>
      <c r="E338" s="350"/>
      <c r="F338" s="351" t="s">
        <v>92</v>
      </c>
      <c r="G338" s="369">
        <f>G330+G337</f>
        <v>15.41</v>
      </c>
    </row>
    <row r="339" spans="1:9" ht="14.1" customHeight="1">
      <c r="C339" s="130"/>
      <c r="D339" s="147"/>
      <c r="E339" s="350"/>
      <c r="F339" s="351" t="s">
        <v>94</v>
      </c>
      <c r="G339" s="369">
        <f>SUM(G331:G336)</f>
        <v>4.5600000000000005</v>
      </c>
    </row>
    <row r="340" spans="1:9" ht="14.1" customHeight="1">
      <c r="A340" s="390"/>
      <c r="B340" s="146"/>
      <c r="C340" s="130"/>
      <c r="D340" s="147"/>
      <c r="E340" s="350"/>
      <c r="F340" s="351" t="s">
        <v>95</v>
      </c>
      <c r="G340" s="370">
        <f>SUM(G338:G339)</f>
        <v>19.97</v>
      </c>
      <c r="H340" s="354"/>
    </row>
    <row r="341" spans="1:9">
      <c r="A341" s="434"/>
      <c r="B341" s="435"/>
      <c r="C341" s="358"/>
      <c r="D341" s="355"/>
      <c r="E341" s="356"/>
      <c r="F341" s="356"/>
      <c r="G341" s="356"/>
      <c r="H341" s="355"/>
      <c r="I341" s="355"/>
    </row>
    <row r="343" spans="1:9">
      <c r="A343" s="130" t="s">
        <v>653</v>
      </c>
      <c r="C343" s="133"/>
      <c r="D343" s="130"/>
      <c r="E343" s="135"/>
      <c r="H343" s="130"/>
    </row>
    <row r="344" spans="1:9">
      <c r="A344" s="130" t="s">
        <v>33</v>
      </c>
      <c r="B344" s="149" t="s">
        <v>874</v>
      </c>
      <c r="C344" s="133"/>
      <c r="D344" s="130"/>
      <c r="E344" s="135"/>
      <c r="H344" s="130"/>
    </row>
    <row r="345" spans="1:9" ht="14.25" customHeight="1">
      <c r="A345" s="130" t="s">
        <v>78</v>
      </c>
      <c r="B345" s="1356" t="s">
        <v>375</v>
      </c>
      <c r="C345" s="1356"/>
      <c r="D345" s="472" t="s">
        <v>345</v>
      </c>
      <c r="F345" s="419"/>
      <c r="H345" s="130"/>
    </row>
    <row r="346" spans="1:9" ht="22.5">
      <c r="A346" s="428" t="s">
        <v>30</v>
      </c>
      <c r="B346" s="347" t="s">
        <v>19</v>
      </c>
      <c r="C346" s="343" t="s">
        <v>82</v>
      </c>
      <c r="D346" s="343" t="s">
        <v>79</v>
      </c>
      <c r="E346" s="425" t="s">
        <v>83</v>
      </c>
      <c r="F346" s="345" t="s">
        <v>84</v>
      </c>
      <c r="G346" s="382" t="s">
        <v>85</v>
      </c>
    </row>
    <row r="347" spans="1:9" ht="14.1" customHeight="1">
      <c r="A347" s="361">
        <v>4760</v>
      </c>
      <c r="B347" s="347" t="s">
        <v>875</v>
      </c>
      <c r="C347" s="425" t="s">
        <v>102</v>
      </c>
      <c r="D347" s="343" t="s">
        <v>345</v>
      </c>
      <c r="E347" s="387">
        <v>1</v>
      </c>
      <c r="F347" s="437">
        <f>14.68</f>
        <v>14.68</v>
      </c>
      <c r="G347" s="369">
        <f>TRUNC(E347*F347,2)</f>
        <v>14.68</v>
      </c>
    </row>
    <row r="348" spans="1:9" ht="22.5">
      <c r="A348" s="415" t="s">
        <v>656</v>
      </c>
      <c r="B348" s="347" t="s">
        <v>657</v>
      </c>
      <c r="C348" s="425" t="s">
        <v>658</v>
      </c>
      <c r="D348" s="343" t="s">
        <v>345</v>
      </c>
      <c r="E348" s="387">
        <v>1</v>
      </c>
      <c r="F348" s="388">
        <v>2.15</v>
      </c>
      <c r="G348" s="346">
        <f t="shared" ref="G348:G354" si="20">TRUNC(E348*F348,2)</f>
        <v>2.15</v>
      </c>
    </row>
    <row r="349" spans="1:9" ht="22.5">
      <c r="A349" s="415" t="s">
        <v>659</v>
      </c>
      <c r="B349" s="347" t="s">
        <v>660</v>
      </c>
      <c r="C349" s="425" t="s">
        <v>658</v>
      </c>
      <c r="D349" s="343" t="s">
        <v>345</v>
      </c>
      <c r="E349" s="387">
        <v>1</v>
      </c>
      <c r="F349" s="388">
        <v>0.6</v>
      </c>
      <c r="G349" s="369">
        <f t="shared" si="20"/>
        <v>0.6</v>
      </c>
    </row>
    <row r="350" spans="1:9" ht="22.5">
      <c r="A350" s="415" t="s">
        <v>661</v>
      </c>
      <c r="B350" s="347" t="s">
        <v>662</v>
      </c>
      <c r="C350" s="425" t="s">
        <v>658</v>
      </c>
      <c r="D350" s="343" t="s">
        <v>345</v>
      </c>
      <c r="E350" s="387">
        <v>1</v>
      </c>
      <c r="F350" s="388">
        <v>0.37</v>
      </c>
      <c r="G350" s="346">
        <f t="shared" si="20"/>
        <v>0.37</v>
      </c>
    </row>
    <row r="351" spans="1:9" ht="22.5">
      <c r="A351" s="415" t="s">
        <v>663</v>
      </c>
      <c r="B351" s="347" t="s">
        <v>664</v>
      </c>
      <c r="C351" s="425" t="s">
        <v>658</v>
      </c>
      <c r="D351" s="343" t="s">
        <v>345</v>
      </c>
      <c r="E351" s="387">
        <v>1</v>
      </c>
      <c r="F351" s="388">
        <v>0.02</v>
      </c>
      <c r="G351" s="346">
        <f t="shared" si="20"/>
        <v>0.02</v>
      </c>
    </row>
    <row r="352" spans="1:9" ht="22.5">
      <c r="A352" s="415" t="s">
        <v>837</v>
      </c>
      <c r="B352" s="347" t="s">
        <v>545</v>
      </c>
      <c r="C352" s="425" t="s">
        <v>89</v>
      </c>
      <c r="D352" s="343" t="s">
        <v>345</v>
      </c>
      <c r="E352" s="387">
        <v>1</v>
      </c>
      <c r="F352" s="388">
        <f>G22</f>
        <v>0.44000000000000006</v>
      </c>
      <c r="G352" s="346">
        <f t="shared" si="20"/>
        <v>0.44</v>
      </c>
    </row>
    <row r="353" spans="1:9" ht="14.1" customHeight="1">
      <c r="A353" s="415" t="s">
        <v>665</v>
      </c>
      <c r="B353" s="347" t="s">
        <v>584</v>
      </c>
      <c r="C353" s="425" t="s">
        <v>89</v>
      </c>
      <c r="D353" s="343" t="s">
        <v>345</v>
      </c>
      <c r="E353" s="387">
        <v>1</v>
      </c>
      <c r="F353" s="388">
        <f>G38</f>
        <v>0.98</v>
      </c>
      <c r="G353" s="346">
        <f t="shared" si="20"/>
        <v>0.98</v>
      </c>
    </row>
    <row r="354" spans="1:9" ht="33.75">
      <c r="A354" s="361">
        <v>95324</v>
      </c>
      <c r="B354" s="347" t="s">
        <v>876</v>
      </c>
      <c r="C354" s="425" t="s">
        <v>102</v>
      </c>
      <c r="D354" s="343" t="s">
        <v>345</v>
      </c>
      <c r="E354" s="387">
        <v>1</v>
      </c>
      <c r="F354" s="436">
        <f>G562</f>
        <v>0.17</v>
      </c>
      <c r="G354" s="346">
        <f t="shared" si="20"/>
        <v>0.17</v>
      </c>
    </row>
    <row r="355" spans="1:9" ht="14.1" customHeight="1">
      <c r="C355" s="130"/>
      <c r="D355" s="389"/>
      <c r="E355" s="350"/>
      <c r="F355" s="351" t="s">
        <v>92</v>
      </c>
      <c r="G355" s="369">
        <f>G347+G354</f>
        <v>14.85</v>
      </c>
    </row>
    <row r="356" spans="1:9" ht="14.1" customHeight="1">
      <c r="C356" s="130"/>
      <c r="D356" s="147"/>
      <c r="E356" s="350"/>
      <c r="F356" s="351" t="s">
        <v>94</v>
      </c>
      <c r="G356" s="369">
        <f>SUM(G348:G353)</f>
        <v>4.5600000000000005</v>
      </c>
    </row>
    <row r="357" spans="1:9" ht="14.1" customHeight="1">
      <c r="A357" s="390"/>
      <c r="B357" s="146"/>
      <c r="C357" s="130"/>
      <c r="D357" s="147"/>
      <c r="E357" s="350"/>
      <c r="F357" s="351" t="s">
        <v>95</v>
      </c>
      <c r="G357" s="370">
        <f>SUM(G355:G356)</f>
        <v>19.41</v>
      </c>
      <c r="H357" s="354"/>
    </row>
    <row r="358" spans="1:9">
      <c r="A358" s="434"/>
      <c r="B358" s="435"/>
      <c r="C358" s="358"/>
      <c r="D358" s="355"/>
      <c r="E358" s="356"/>
      <c r="F358" s="356"/>
      <c r="G358" s="356"/>
      <c r="H358" s="355"/>
      <c r="I358" s="355"/>
    </row>
    <row r="360" spans="1:9">
      <c r="A360" s="130" t="s">
        <v>653</v>
      </c>
      <c r="C360" s="133"/>
      <c r="D360" s="130"/>
      <c r="E360" s="135"/>
      <c r="H360" s="130"/>
    </row>
    <row r="361" spans="1:9" ht="14.1" customHeight="1">
      <c r="A361" s="130" t="s">
        <v>33</v>
      </c>
      <c r="B361" s="149" t="s">
        <v>878</v>
      </c>
      <c r="C361" s="133"/>
      <c r="D361" s="130"/>
      <c r="E361" s="135"/>
      <c r="H361" s="130"/>
    </row>
    <row r="362" spans="1:9" ht="16.5" customHeight="1">
      <c r="A362" s="130" t="s">
        <v>78</v>
      </c>
      <c r="B362" s="418" t="s">
        <v>393</v>
      </c>
      <c r="C362" s="458" t="s">
        <v>345</v>
      </c>
      <c r="D362" s="130"/>
      <c r="F362" s="419"/>
      <c r="H362" s="130"/>
    </row>
    <row r="363" spans="1:9" ht="22.5">
      <c r="A363" s="428" t="s">
        <v>30</v>
      </c>
      <c r="B363" s="347" t="s">
        <v>19</v>
      </c>
      <c r="C363" s="343" t="s">
        <v>82</v>
      </c>
      <c r="D363" s="343" t="s">
        <v>79</v>
      </c>
      <c r="E363" s="459" t="s">
        <v>83</v>
      </c>
      <c r="F363" s="345" t="s">
        <v>84</v>
      </c>
      <c r="G363" s="382" t="s">
        <v>85</v>
      </c>
    </row>
    <row r="364" spans="1:9" ht="14.1" customHeight="1">
      <c r="A364" s="361">
        <v>12869</v>
      </c>
      <c r="B364" s="347" t="s">
        <v>800</v>
      </c>
      <c r="C364" s="459" t="s">
        <v>102</v>
      </c>
      <c r="D364" s="343" t="s">
        <v>345</v>
      </c>
      <c r="E364" s="387">
        <v>1</v>
      </c>
      <c r="F364" s="437">
        <f>16.02</f>
        <v>16.02</v>
      </c>
      <c r="G364" s="369">
        <f>TRUNC(E364*F364,2)</f>
        <v>16.02</v>
      </c>
    </row>
    <row r="365" spans="1:9" ht="22.5">
      <c r="A365" s="415" t="s">
        <v>656</v>
      </c>
      <c r="B365" s="347" t="s">
        <v>657</v>
      </c>
      <c r="C365" s="459" t="s">
        <v>658</v>
      </c>
      <c r="D365" s="343" t="s">
        <v>345</v>
      </c>
      <c r="E365" s="387">
        <v>1</v>
      </c>
      <c r="F365" s="388">
        <v>2.15</v>
      </c>
      <c r="G365" s="346">
        <f t="shared" ref="G365:G371" si="21">TRUNC(E365*F365,2)</f>
        <v>2.15</v>
      </c>
    </row>
    <row r="366" spans="1:9" ht="22.5">
      <c r="A366" s="415" t="s">
        <v>659</v>
      </c>
      <c r="B366" s="347" t="s">
        <v>660</v>
      </c>
      <c r="C366" s="459" t="s">
        <v>658</v>
      </c>
      <c r="D366" s="343" t="s">
        <v>345</v>
      </c>
      <c r="E366" s="387">
        <v>1</v>
      </c>
      <c r="F366" s="388">
        <v>0.6</v>
      </c>
      <c r="G366" s="369">
        <f t="shared" si="21"/>
        <v>0.6</v>
      </c>
    </row>
    <row r="367" spans="1:9" ht="22.5">
      <c r="A367" s="415" t="s">
        <v>661</v>
      </c>
      <c r="B367" s="347" t="s">
        <v>662</v>
      </c>
      <c r="C367" s="459" t="s">
        <v>658</v>
      </c>
      <c r="D367" s="343" t="s">
        <v>345</v>
      </c>
      <c r="E367" s="387">
        <v>1</v>
      </c>
      <c r="F367" s="388">
        <v>0.37</v>
      </c>
      <c r="G367" s="346">
        <f t="shared" si="21"/>
        <v>0.37</v>
      </c>
    </row>
    <row r="368" spans="1:9" ht="22.5">
      <c r="A368" s="415" t="s">
        <v>663</v>
      </c>
      <c r="B368" s="347" t="s">
        <v>664</v>
      </c>
      <c r="C368" s="459" t="s">
        <v>658</v>
      </c>
      <c r="D368" s="343" t="s">
        <v>345</v>
      </c>
      <c r="E368" s="387">
        <v>1</v>
      </c>
      <c r="F368" s="388">
        <v>0.02</v>
      </c>
      <c r="G368" s="346">
        <f t="shared" si="21"/>
        <v>0.02</v>
      </c>
    </row>
    <row r="369" spans="1:9" ht="22.5">
      <c r="A369" s="415" t="s">
        <v>837</v>
      </c>
      <c r="B369" s="347" t="s">
        <v>545</v>
      </c>
      <c r="C369" s="459" t="s">
        <v>89</v>
      </c>
      <c r="D369" s="343" t="s">
        <v>345</v>
      </c>
      <c r="E369" s="387">
        <v>1</v>
      </c>
      <c r="F369" s="388">
        <f>G22</f>
        <v>0.44000000000000006</v>
      </c>
      <c r="G369" s="369">
        <f t="shared" si="21"/>
        <v>0.44</v>
      </c>
    </row>
    <row r="370" spans="1:9" ht="14.1" customHeight="1">
      <c r="A370" s="415" t="s">
        <v>665</v>
      </c>
      <c r="B370" s="347" t="s">
        <v>584</v>
      </c>
      <c r="C370" s="459" t="s">
        <v>89</v>
      </c>
      <c r="D370" s="343" t="s">
        <v>345</v>
      </c>
      <c r="E370" s="387">
        <v>1</v>
      </c>
      <c r="F370" s="388">
        <f>G38</f>
        <v>0.98</v>
      </c>
      <c r="G370" s="346">
        <f t="shared" si="21"/>
        <v>0.98</v>
      </c>
    </row>
    <row r="371" spans="1:9" ht="26.25" customHeight="1">
      <c r="A371" s="361">
        <v>95385</v>
      </c>
      <c r="B371" s="347" t="s">
        <v>799</v>
      </c>
      <c r="C371" s="459" t="s">
        <v>102</v>
      </c>
      <c r="D371" s="343" t="s">
        <v>345</v>
      </c>
      <c r="E371" s="387">
        <v>1</v>
      </c>
      <c r="F371" s="436">
        <f>G582</f>
        <v>0.14000000000000001</v>
      </c>
      <c r="G371" s="346">
        <f t="shared" si="21"/>
        <v>0.14000000000000001</v>
      </c>
    </row>
    <row r="372" spans="1:9" ht="14.1" customHeight="1">
      <c r="C372" s="130"/>
      <c r="D372" s="389"/>
      <c r="E372" s="350"/>
      <c r="F372" s="351" t="s">
        <v>92</v>
      </c>
      <c r="G372" s="369">
        <f>G364+G371</f>
        <v>16.16</v>
      </c>
    </row>
    <row r="373" spans="1:9" ht="14.1" customHeight="1">
      <c r="C373" s="130"/>
      <c r="D373" s="147"/>
      <c r="E373" s="350"/>
      <c r="F373" s="351" t="s">
        <v>94</v>
      </c>
      <c r="G373" s="369">
        <f>SUM(G365:G370)</f>
        <v>4.5600000000000005</v>
      </c>
    </row>
    <row r="374" spans="1:9" ht="14.1" customHeight="1">
      <c r="A374" s="390"/>
      <c r="B374" s="146"/>
      <c r="C374" s="130"/>
      <c r="D374" s="147"/>
      <c r="E374" s="350"/>
      <c r="F374" s="351" t="s">
        <v>95</v>
      </c>
      <c r="G374" s="370">
        <f>SUM(G372:G373)</f>
        <v>20.72</v>
      </c>
      <c r="H374" s="354"/>
    </row>
    <row r="375" spans="1:9">
      <c r="A375" s="434"/>
      <c r="B375" s="435"/>
      <c r="C375" s="358"/>
      <c r="D375" s="355"/>
      <c r="E375" s="356"/>
      <c r="F375" s="356"/>
      <c r="G375" s="356"/>
      <c r="H375" s="355"/>
      <c r="I375" s="355"/>
    </row>
    <row r="377" spans="1:9">
      <c r="A377" s="130" t="s">
        <v>653</v>
      </c>
      <c r="C377" s="133"/>
      <c r="D377" s="130"/>
      <c r="E377" s="135"/>
      <c r="H377" s="130"/>
    </row>
    <row r="378" spans="1:9">
      <c r="A378" s="130" t="s">
        <v>33</v>
      </c>
      <c r="B378" s="149" t="s">
        <v>1844</v>
      </c>
      <c r="C378" s="133"/>
      <c r="D378" s="130"/>
      <c r="E378" s="135"/>
      <c r="H378" s="130"/>
    </row>
    <row r="379" spans="1:9" ht="22.5" customHeight="1">
      <c r="A379" s="130" t="s">
        <v>78</v>
      </c>
      <c r="B379" s="1356" t="s">
        <v>1220</v>
      </c>
      <c r="C379" s="1356"/>
      <c r="D379" s="724" t="s">
        <v>345</v>
      </c>
      <c r="F379" s="419"/>
      <c r="H379" s="130"/>
    </row>
    <row r="380" spans="1:9" ht="22.5">
      <c r="A380" s="428" t="s">
        <v>30</v>
      </c>
      <c r="B380" s="719" t="s">
        <v>19</v>
      </c>
      <c r="C380" s="343" t="s">
        <v>82</v>
      </c>
      <c r="D380" s="343" t="s">
        <v>79</v>
      </c>
      <c r="E380" s="715" t="s">
        <v>83</v>
      </c>
      <c r="F380" s="345" t="s">
        <v>84</v>
      </c>
      <c r="G380" s="382" t="s">
        <v>85</v>
      </c>
    </row>
    <row r="381" spans="1:9" ht="15" customHeight="1">
      <c r="A381" s="721">
        <v>12873</v>
      </c>
      <c r="B381" s="719" t="s">
        <v>1221</v>
      </c>
      <c r="C381" s="715" t="s">
        <v>102</v>
      </c>
      <c r="D381" s="343" t="s">
        <v>345</v>
      </c>
      <c r="E381" s="387">
        <v>1</v>
      </c>
      <c r="F381" s="437">
        <f>15.56</f>
        <v>15.56</v>
      </c>
      <c r="G381" s="369">
        <f>TRUNC(E381*F381,2)</f>
        <v>15.56</v>
      </c>
    </row>
    <row r="382" spans="1:9" ht="22.5">
      <c r="A382" s="718" t="s">
        <v>656</v>
      </c>
      <c r="B382" s="719" t="s">
        <v>657</v>
      </c>
      <c r="C382" s="715" t="s">
        <v>658</v>
      </c>
      <c r="D382" s="343" t="s">
        <v>345</v>
      </c>
      <c r="E382" s="387">
        <v>1</v>
      </c>
      <c r="F382" s="388">
        <v>2.15</v>
      </c>
      <c r="G382" s="346">
        <f t="shared" ref="G382:G388" si="22">TRUNC(E382*F382,2)</f>
        <v>2.15</v>
      </c>
    </row>
    <row r="383" spans="1:9" ht="22.5">
      <c r="A383" s="718" t="s">
        <v>659</v>
      </c>
      <c r="B383" s="719" t="s">
        <v>660</v>
      </c>
      <c r="C383" s="715" t="s">
        <v>658</v>
      </c>
      <c r="D383" s="343" t="s">
        <v>345</v>
      </c>
      <c r="E383" s="387">
        <v>1</v>
      </c>
      <c r="F383" s="388">
        <v>0.6</v>
      </c>
      <c r="G383" s="369">
        <f t="shared" si="22"/>
        <v>0.6</v>
      </c>
    </row>
    <row r="384" spans="1:9" ht="22.5">
      <c r="A384" s="718" t="s">
        <v>661</v>
      </c>
      <c r="B384" s="719" t="s">
        <v>662</v>
      </c>
      <c r="C384" s="715" t="s">
        <v>658</v>
      </c>
      <c r="D384" s="343" t="s">
        <v>345</v>
      </c>
      <c r="E384" s="387">
        <v>1</v>
      </c>
      <c r="F384" s="388">
        <v>0.37</v>
      </c>
      <c r="G384" s="346">
        <f t="shared" si="22"/>
        <v>0.37</v>
      </c>
    </row>
    <row r="385" spans="1:8" ht="22.5">
      <c r="A385" s="718" t="s">
        <v>663</v>
      </c>
      <c r="B385" s="719" t="s">
        <v>664</v>
      </c>
      <c r="C385" s="715" t="s">
        <v>658</v>
      </c>
      <c r="D385" s="343" t="s">
        <v>345</v>
      </c>
      <c r="E385" s="387">
        <v>1</v>
      </c>
      <c r="F385" s="388">
        <v>0.02</v>
      </c>
      <c r="G385" s="346">
        <f t="shared" si="22"/>
        <v>0.02</v>
      </c>
    </row>
    <row r="386" spans="1:8" ht="22.5">
      <c r="A386" s="718" t="s">
        <v>837</v>
      </c>
      <c r="B386" s="719" t="s">
        <v>545</v>
      </c>
      <c r="C386" s="715" t="s">
        <v>89</v>
      </c>
      <c r="D386" s="343" t="s">
        <v>345</v>
      </c>
      <c r="E386" s="387">
        <v>1</v>
      </c>
      <c r="F386" s="388">
        <f>G22</f>
        <v>0.44000000000000006</v>
      </c>
      <c r="G386" s="369">
        <f t="shared" si="22"/>
        <v>0.44</v>
      </c>
    </row>
    <row r="387" spans="1:8">
      <c r="A387" s="718" t="s">
        <v>665</v>
      </c>
      <c r="B387" s="719" t="s">
        <v>584</v>
      </c>
      <c r="C387" s="715" t="s">
        <v>89</v>
      </c>
      <c r="D387" s="343" t="s">
        <v>345</v>
      </c>
      <c r="E387" s="387">
        <v>1</v>
      </c>
      <c r="F387" s="388">
        <f>G38</f>
        <v>0.98</v>
      </c>
      <c r="G387" s="346">
        <f t="shared" si="22"/>
        <v>0.98</v>
      </c>
    </row>
    <row r="388" spans="1:8" ht="22.5">
      <c r="A388" s="721">
        <v>95338</v>
      </c>
      <c r="B388" s="719" t="s">
        <v>1222</v>
      </c>
      <c r="C388" s="715" t="s">
        <v>102</v>
      </c>
      <c r="D388" s="343" t="s">
        <v>345</v>
      </c>
      <c r="E388" s="387">
        <v>1</v>
      </c>
      <c r="F388" s="436">
        <f>G512</f>
        <v>0.26</v>
      </c>
      <c r="G388" s="346">
        <f t="shared" si="22"/>
        <v>0.26</v>
      </c>
    </row>
    <row r="389" spans="1:8">
      <c r="C389" s="130"/>
      <c r="D389" s="389"/>
      <c r="E389" s="350"/>
      <c r="F389" s="351" t="s">
        <v>92</v>
      </c>
      <c r="G389" s="369">
        <f>G381+G388</f>
        <v>15.82</v>
      </c>
    </row>
    <row r="390" spans="1:8">
      <c r="C390" s="130"/>
      <c r="D390" s="147"/>
      <c r="E390" s="350"/>
      <c r="F390" s="351" t="s">
        <v>94</v>
      </c>
      <c r="G390" s="369">
        <f>SUM(G382:G387)</f>
        <v>4.5600000000000005</v>
      </c>
    </row>
    <row r="391" spans="1:8">
      <c r="A391" s="390"/>
      <c r="B391" s="146"/>
      <c r="C391" s="130"/>
      <c r="D391" s="147"/>
      <c r="E391" s="350"/>
      <c r="F391" s="351" t="s">
        <v>95</v>
      </c>
      <c r="G391" s="370">
        <f>SUM(G389:G390)</f>
        <v>20.380000000000003</v>
      </c>
      <c r="H391" s="354"/>
    </row>
    <row r="392" spans="1:8">
      <c r="A392" s="434"/>
      <c r="B392" s="435"/>
      <c r="C392" s="358"/>
      <c r="D392" s="355"/>
      <c r="E392" s="356"/>
      <c r="F392" s="356"/>
      <c r="G392" s="356"/>
      <c r="H392" s="355"/>
    </row>
    <row r="394" spans="1:8">
      <c r="A394" s="130" t="s">
        <v>653</v>
      </c>
      <c r="C394" s="133"/>
      <c r="D394" s="130"/>
      <c r="E394" s="135"/>
      <c r="H394" s="130"/>
    </row>
    <row r="395" spans="1:8" ht="12.75" customHeight="1">
      <c r="A395" s="130" t="s">
        <v>33</v>
      </c>
      <c r="B395" s="149" t="s">
        <v>1243</v>
      </c>
      <c r="C395" s="133"/>
      <c r="D395" s="130"/>
      <c r="E395" s="135"/>
      <c r="H395" s="130"/>
    </row>
    <row r="396" spans="1:8" ht="15.75" customHeight="1">
      <c r="A396" s="130" t="s">
        <v>78</v>
      </c>
      <c r="B396" s="1356" t="s">
        <v>221</v>
      </c>
      <c r="C396" s="1356"/>
      <c r="D396" s="768" t="s">
        <v>345</v>
      </c>
      <c r="F396" s="419"/>
      <c r="H396" s="130"/>
    </row>
    <row r="397" spans="1:8" ht="24.75" customHeight="1">
      <c r="A397" s="428" t="s">
        <v>30</v>
      </c>
      <c r="B397" s="759" t="s">
        <v>19</v>
      </c>
      <c r="C397" s="343" t="s">
        <v>82</v>
      </c>
      <c r="D397" s="343" t="s">
        <v>79</v>
      </c>
      <c r="E397" s="756" t="s">
        <v>83</v>
      </c>
      <c r="F397" s="345" t="s">
        <v>84</v>
      </c>
      <c r="G397" s="382" t="s">
        <v>85</v>
      </c>
    </row>
    <row r="398" spans="1:8" ht="14.25" customHeight="1">
      <c r="A398" s="755">
        <v>4755</v>
      </c>
      <c r="B398" s="759" t="s">
        <v>1244</v>
      </c>
      <c r="C398" s="756" t="s">
        <v>102</v>
      </c>
      <c r="D398" s="343" t="s">
        <v>345</v>
      </c>
      <c r="E398" s="387">
        <v>1</v>
      </c>
      <c r="F398" s="437">
        <f>15.01</f>
        <v>15.01</v>
      </c>
      <c r="G398" s="369">
        <f>TRUNC(E398*F398,2)</f>
        <v>15.01</v>
      </c>
    </row>
    <row r="399" spans="1:8" ht="22.5">
      <c r="A399" s="761" t="s">
        <v>656</v>
      </c>
      <c r="B399" s="759" t="s">
        <v>657</v>
      </c>
      <c r="C399" s="756" t="s">
        <v>658</v>
      </c>
      <c r="D399" s="343" t="s">
        <v>345</v>
      </c>
      <c r="E399" s="387">
        <v>1</v>
      </c>
      <c r="F399" s="388">
        <v>2.15</v>
      </c>
      <c r="G399" s="346">
        <f t="shared" ref="G399:G405" si="23">TRUNC(E399*F399,2)</f>
        <v>2.15</v>
      </c>
    </row>
    <row r="400" spans="1:8" ht="22.5">
      <c r="A400" s="761" t="s">
        <v>659</v>
      </c>
      <c r="B400" s="759" t="s">
        <v>660</v>
      </c>
      <c r="C400" s="756" t="s">
        <v>658</v>
      </c>
      <c r="D400" s="343" t="s">
        <v>345</v>
      </c>
      <c r="E400" s="387">
        <v>1</v>
      </c>
      <c r="F400" s="388">
        <v>0.6</v>
      </c>
      <c r="G400" s="369">
        <f t="shared" si="23"/>
        <v>0.6</v>
      </c>
    </row>
    <row r="401" spans="1:8" ht="22.5">
      <c r="A401" s="761" t="s">
        <v>661</v>
      </c>
      <c r="B401" s="759" t="s">
        <v>662</v>
      </c>
      <c r="C401" s="756" t="s">
        <v>658</v>
      </c>
      <c r="D401" s="343" t="s">
        <v>345</v>
      </c>
      <c r="E401" s="387">
        <v>1</v>
      </c>
      <c r="F401" s="388">
        <v>0.37</v>
      </c>
      <c r="G401" s="346">
        <f t="shared" si="23"/>
        <v>0.37</v>
      </c>
    </row>
    <row r="402" spans="1:8" ht="22.5">
      <c r="A402" s="761" t="s">
        <v>663</v>
      </c>
      <c r="B402" s="759" t="s">
        <v>664</v>
      </c>
      <c r="C402" s="756" t="s">
        <v>658</v>
      </c>
      <c r="D402" s="343" t="s">
        <v>345</v>
      </c>
      <c r="E402" s="387">
        <v>1</v>
      </c>
      <c r="F402" s="388">
        <v>0.02</v>
      </c>
      <c r="G402" s="346">
        <f t="shared" si="23"/>
        <v>0.02</v>
      </c>
    </row>
    <row r="403" spans="1:8" ht="22.5">
      <c r="A403" s="761" t="s">
        <v>837</v>
      </c>
      <c r="B403" s="759" t="s">
        <v>545</v>
      </c>
      <c r="C403" s="756" t="s">
        <v>89</v>
      </c>
      <c r="D403" s="343" t="s">
        <v>345</v>
      </c>
      <c r="E403" s="387">
        <v>1</v>
      </c>
      <c r="F403" s="388">
        <f>G22</f>
        <v>0.44000000000000006</v>
      </c>
      <c r="G403" s="369">
        <f t="shared" si="23"/>
        <v>0.44</v>
      </c>
    </row>
    <row r="404" spans="1:8" ht="15" customHeight="1">
      <c r="A404" s="761" t="s">
        <v>665</v>
      </c>
      <c r="B404" s="759" t="s">
        <v>584</v>
      </c>
      <c r="C404" s="756" t="s">
        <v>89</v>
      </c>
      <c r="D404" s="343" t="s">
        <v>345</v>
      </c>
      <c r="E404" s="387">
        <v>1</v>
      </c>
      <c r="F404" s="388">
        <f>G38</f>
        <v>0.98</v>
      </c>
      <c r="G404" s="346">
        <f t="shared" si="23"/>
        <v>0.98</v>
      </c>
    </row>
    <row r="405" spans="1:8" ht="33.75">
      <c r="A405" s="755">
        <v>95341</v>
      </c>
      <c r="B405" s="759" t="s">
        <v>1245</v>
      </c>
      <c r="C405" s="756" t="s">
        <v>102</v>
      </c>
      <c r="D405" s="343" t="s">
        <v>345</v>
      </c>
      <c r="E405" s="387">
        <v>1</v>
      </c>
      <c r="F405" s="436">
        <f>G482</f>
        <v>0.17</v>
      </c>
      <c r="G405" s="346">
        <f t="shared" si="23"/>
        <v>0.17</v>
      </c>
    </row>
    <row r="406" spans="1:8" ht="15" customHeight="1">
      <c r="C406" s="130"/>
      <c r="D406" s="389"/>
      <c r="E406" s="350"/>
      <c r="F406" s="351" t="s">
        <v>92</v>
      </c>
      <c r="G406" s="369">
        <f>G398+G405</f>
        <v>15.18</v>
      </c>
    </row>
    <row r="407" spans="1:8" ht="15" customHeight="1">
      <c r="C407" s="130"/>
      <c r="D407" s="147"/>
      <c r="E407" s="350"/>
      <c r="F407" s="351" t="s">
        <v>94</v>
      </c>
      <c r="G407" s="369">
        <f>SUM(G399:G404)</f>
        <v>4.5600000000000005</v>
      </c>
    </row>
    <row r="408" spans="1:8" ht="15" customHeight="1">
      <c r="A408" s="390"/>
      <c r="B408" s="146"/>
      <c r="C408" s="130"/>
      <c r="D408" s="147"/>
      <c r="E408" s="350"/>
      <c r="F408" s="351" t="s">
        <v>95</v>
      </c>
      <c r="G408" s="370">
        <f>SUM(G406:G407)</f>
        <v>19.740000000000002</v>
      </c>
      <c r="H408" s="354"/>
    </row>
    <row r="409" spans="1:8">
      <c r="A409" s="434"/>
      <c r="B409" s="435"/>
      <c r="C409" s="358"/>
      <c r="D409" s="355"/>
      <c r="E409" s="356"/>
      <c r="F409" s="356"/>
      <c r="G409" s="356"/>
      <c r="H409" s="355"/>
    </row>
    <row r="411" spans="1:8">
      <c r="A411" s="130" t="s">
        <v>653</v>
      </c>
      <c r="C411" s="133"/>
      <c r="D411" s="130"/>
      <c r="E411" s="135"/>
      <c r="H411" s="130"/>
    </row>
    <row r="412" spans="1:8">
      <c r="A412" s="130" t="s">
        <v>33</v>
      </c>
      <c r="B412" s="149" t="s">
        <v>2223</v>
      </c>
      <c r="C412" s="133"/>
      <c r="D412" s="130"/>
      <c r="E412" s="135"/>
      <c r="H412" s="130"/>
    </row>
    <row r="413" spans="1:8">
      <c r="A413" s="130" t="s">
        <v>78</v>
      </c>
      <c r="B413" s="418" t="s">
        <v>2221</v>
      </c>
      <c r="C413" s="1138" t="s">
        <v>345</v>
      </c>
      <c r="D413" s="130"/>
      <c r="F413" s="419"/>
      <c r="H413" s="130"/>
    </row>
    <row r="414" spans="1:8" ht="22.5">
      <c r="A414" s="428" t="s">
        <v>30</v>
      </c>
      <c r="B414" s="1134" t="s">
        <v>19</v>
      </c>
      <c r="C414" s="343" t="s">
        <v>82</v>
      </c>
      <c r="D414" s="343" t="s">
        <v>79</v>
      </c>
      <c r="E414" s="1131" t="s">
        <v>83</v>
      </c>
      <c r="F414" s="345" t="s">
        <v>84</v>
      </c>
      <c r="G414" s="382" t="s">
        <v>85</v>
      </c>
    </row>
    <row r="415" spans="1:8">
      <c r="A415" s="1137">
        <v>10489</v>
      </c>
      <c r="B415" s="1134" t="s">
        <v>2224</v>
      </c>
      <c r="C415" s="1131" t="s">
        <v>102</v>
      </c>
      <c r="D415" s="343" t="s">
        <v>345</v>
      </c>
      <c r="E415" s="387">
        <v>1</v>
      </c>
      <c r="F415" s="437">
        <f>14.05</f>
        <v>14.05</v>
      </c>
      <c r="G415" s="369">
        <f>TRUNC(E415*F415,2)</f>
        <v>14.05</v>
      </c>
    </row>
    <row r="416" spans="1:8" ht="22.5">
      <c r="A416" s="1133" t="s">
        <v>656</v>
      </c>
      <c r="B416" s="1134" t="s">
        <v>657</v>
      </c>
      <c r="C416" s="1131" t="s">
        <v>658</v>
      </c>
      <c r="D416" s="343" t="s">
        <v>345</v>
      </c>
      <c r="E416" s="387">
        <v>1</v>
      </c>
      <c r="F416" s="388">
        <v>2.15</v>
      </c>
      <c r="G416" s="346">
        <f t="shared" ref="G416:G422" si="24">TRUNC(E416*F416,2)</f>
        <v>2.15</v>
      </c>
    </row>
    <row r="417" spans="1:8" ht="22.5">
      <c r="A417" s="1133" t="s">
        <v>659</v>
      </c>
      <c r="B417" s="1134" t="s">
        <v>660</v>
      </c>
      <c r="C417" s="1131" t="s">
        <v>658</v>
      </c>
      <c r="D417" s="343" t="s">
        <v>345</v>
      </c>
      <c r="E417" s="387">
        <v>1</v>
      </c>
      <c r="F417" s="388">
        <v>0.6</v>
      </c>
      <c r="G417" s="369">
        <f t="shared" si="24"/>
        <v>0.6</v>
      </c>
    </row>
    <row r="418" spans="1:8" ht="22.5">
      <c r="A418" s="1133" t="s">
        <v>661</v>
      </c>
      <c r="B418" s="1134" t="s">
        <v>662</v>
      </c>
      <c r="C418" s="1131" t="s">
        <v>658</v>
      </c>
      <c r="D418" s="343" t="s">
        <v>345</v>
      </c>
      <c r="E418" s="387">
        <v>1</v>
      </c>
      <c r="F418" s="388">
        <v>0.37</v>
      </c>
      <c r="G418" s="346">
        <f t="shared" si="24"/>
        <v>0.37</v>
      </c>
    </row>
    <row r="419" spans="1:8" ht="22.5">
      <c r="A419" s="1133" t="s">
        <v>663</v>
      </c>
      <c r="B419" s="1134" t="s">
        <v>664</v>
      </c>
      <c r="C419" s="1131" t="s">
        <v>658</v>
      </c>
      <c r="D419" s="343" t="s">
        <v>345</v>
      </c>
      <c r="E419" s="387">
        <v>1</v>
      </c>
      <c r="F419" s="388">
        <v>0.02</v>
      </c>
      <c r="G419" s="346">
        <f t="shared" si="24"/>
        <v>0.02</v>
      </c>
    </row>
    <row r="420" spans="1:8" ht="22.5">
      <c r="A420" s="1133" t="s">
        <v>837</v>
      </c>
      <c r="B420" s="1134" t="s">
        <v>545</v>
      </c>
      <c r="C420" s="1131" t="s">
        <v>89</v>
      </c>
      <c r="D420" s="343" t="s">
        <v>345</v>
      </c>
      <c r="E420" s="387">
        <v>1</v>
      </c>
      <c r="F420" s="388">
        <f>G3</f>
        <v>0</v>
      </c>
      <c r="G420" s="369">
        <f t="shared" si="24"/>
        <v>0</v>
      </c>
    </row>
    <row r="421" spans="1:8">
      <c r="A421" s="1133" t="s">
        <v>665</v>
      </c>
      <c r="B421" s="1134" t="s">
        <v>584</v>
      </c>
      <c r="C421" s="1131" t="s">
        <v>89</v>
      </c>
      <c r="D421" s="343" t="s">
        <v>345</v>
      </c>
      <c r="E421" s="387">
        <v>1</v>
      </c>
      <c r="F421" s="388">
        <f>G19</f>
        <v>0.02</v>
      </c>
      <c r="G421" s="346">
        <f t="shared" si="24"/>
        <v>0.02</v>
      </c>
    </row>
    <row r="422" spans="1:8" ht="22.5">
      <c r="A422" s="1137">
        <v>95387</v>
      </c>
      <c r="B422" s="1134" t="s">
        <v>2225</v>
      </c>
      <c r="C422" s="1131" t="s">
        <v>102</v>
      </c>
      <c r="D422" s="343" t="s">
        <v>345</v>
      </c>
      <c r="E422" s="387">
        <v>1</v>
      </c>
      <c r="F422" s="436">
        <f>G452</f>
        <v>0.16</v>
      </c>
      <c r="G422" s="369">
        <f t="shared" si="24"/>
        <v>0.16</v>
      </c>
    </row>
    <row r="423" spans="1:8">
      <c r="C423" s="130"/>
      <c r="D423" s="389"/>
      <c r="E423" s="350"/>
      <c r="F423" s="351" t="s">
        <v>92</v>
      </c>
      <c r="G423" s="369">
        <f>G415+G422</f>
        <v>14.21</v>
      </c>
    </row>
    <row r="424" spans="1:8">
      <c r="C424" s="130"/>
      <c r="D424" s="147"/>
      <c r="E424" s="350"/>
      <c r="F424" s="351" t="s">
        <v>94</v>
      </c>
      <c r="G424" s="369">
        <f>SUM(G416:G421)</f>
        <v>3.16</v>
      </c>
    </row>
    <row r="425" spans="1:8">
      <c r="A425" s="390"/>
      <c r="B425" s="146"/>
      <c r="C425" s="130"/>
      <c r="D425" s="147"/>
      <c r="E425" s="350"/>
      <c r="F425" s="351" t="s">
        <v>95</v>
      </c>
      <c r="G425" s="370">
        <f>SUM(G423:G424)</f>
        <v>17.37</v>
      </c>
      <c r="H425" s="354"/>
    </row>
    <row r="426" spans="1:8">
      <c r="A426" s="434"/>
      <c r="B426" s="435"/>
      <c r="C426" s="358"/>
      <c r="D426" s="355"/>
      <c r="E426" s="356"/>
      <c r="F426" s="356"/>
      <c r="G426" s="356"/>
      <c r="H426" s="355"/>
    </row>
    <row r="428" spans="1:8">
      <c r="A428" s="130" t="s">
        <v>653</v>
      </c>
      <c r="C428" s="133"/>
      <c r="D428" s="130"/>
      <c r="E428" s="135"/>
      <c r="H428" s="130"/>
    </row>
    <row r="429" spans="1:8">
      <c r="A429" s="130" t="s">
        <v>33</v>
      </c>
      <c r="B429" s="149" t="s">
        <v>1115</v>
      </c>
      <c r="C429" s="133"/>
      <c r="D429" s="130"/>
      <c r="E429" s="135"/>
      <c r="H429" s="130"/>
    </row>
    <row r="430" spans="1:8" ht="17.25" customHeight="1">
      <c r="A430" s="130" t="s">
        <v>78</v>
      </c>
      <c r="B430" s="418" t="s">
        <v>1114</v>
      </c>
      <c r="C430" s="667" t="s">
        <v>345</v>
      </c>
      <c r="D430" s="130"/>
      <c r="F430" s="419"/>
      <c r="H430" s="130"/>
    </row>
    <row r="431" spans="1:8" ht="22.5">
      <c r="A431" s="428" t="s">
        <v>30</v>
      </c>
      <c r="B431" s="665" t="s">
        <v>19</v>
      </c>
      <c r="C431" s="343" t="s">
        <v>82</v>
      </c>
      <c r="D431" s="343" t="s">
        <v>79</v>
      </c>
      <c r="E431" s="652" t="s">
        <v>83</v>
      </c>
      <c r="F431" s="345" t="s">
        <v>84</v>
      </c>
      <c r="G431" s="382" t="s">
        <v>85</v>
      </c>
    </row>
    <row r="432" spans="1:8" ht="15" customHeight="1">
      <c r="A432" s="654">
        <v>6110</v>
      </c>
      <c r="B432" s="665" t="s">
        <v>1116</v>
      </c>
      <c r="C432" s="652" t="s">
        <v>102</v>
      </c>
      <c r="D432" s="343" t="s">
        <v>345</v>
      </c>
      <c r="E432" s="387">
        <v>1</v>
      </c>
      <c r="F432" s="437">
        <f>14.68</f>
        <v>14.68</v>
      </c>
      <c r="G432" s="369">
        <f>TRUNC(E432*F432,2)</f>
        <v>14.68</v>
      </c>
    </row>
    <row r="433" spans="1:8" ht="22.5">
      <c r="A433" s="664" t="s">
        <v>656</v>
      </c>
      <c r="B433" s="665" t="s">
        <v>657</v>
      </c>
      <c r="C433" s="652" t="s">
        <v>658</v>
      </c>
      <c r="D433" s="343" t="s">
        <v>345</v>
      </c>
      <c r="E433" s="387">
        <v>1</v>
      </c>
      <c r="F433" s="388">
        <v>2.15</v>
      </c>
      <c r="G433" s="346">
        <f t="shared" ref="G433:G439" si="25">TRUNC(E433*F433,2)</f>
        <v>2.15</v>
      </c>
    </row>
    <row r="434" spans="1:8" ht="22.5">
      <c r="A434" s="664" t="s">
        <v>659</v>
      </c>
      <c r="B434" s="665" t="s">
        <v>660</v>
      </c>
      <c r="C434" s="652" t="s">
        <v>658</v>
      </c>
      <c r="D434" s="343" t="s">
        <v>345</v>
      </c>
      <c r="E434" s="387">
        <v>1</v>
      </c>
      <c r="F434" s="388">
        <v>0.6</v>
      </c>
      <c r="G434" s="369">
        <f t="shared" si="25"/>
        <v>0.6</v>
      </c>
    </row>
    <row r="435" spans="1:8" ht="22.5">
      <c r="A435" s="664" t="s">
        <v>661</v>
      </c>
      <c r="B435" s="665" t="s">
        <v>662</v>
      </c>
      <c r="C435" s="652" t="s">
        <v>658</v>
      </c>
      <c r="D435" s="343" t="s">
        <v>345</v>
      </c>
      <c r="E435" s="387">
        <v>1</v>
      </c>
      <c r="F435" s="388">
        <v>0.37</v>
      </c>
      <c r="G435" s="346">
        <f t="shared" si="25"/>
        <v>0.37</v>
      </c>
    </row>
    <row r="436" spans="1:8" ht="22.5">
      <c r="A436" s="664" t="s">
        <v>663</v>
      </c>
      <c r="B436" s="665" t="s">
        <v>664</v>
      </c>
      <c r="C436" s="652" t="s">
        <v>658</v>
      </c>
      <c r="D436" s="343" t="s">
        <v>345</v>
      </c>
      <c r="E436" s="387">
        <v>1</v>
      </c>
      <c r="F436" s="388">
        <v>0.02</v>
      </c>
      <c r="G436" s="346">
        <f t="shared" si="25"/>
        <v>0.02</v>
      </c>
    </row>
    <row r="437" spans="1:8" ht="22.5">
      <c r="A437" s="664" t="s">
        <v>837</v>
      </c>
      <c r="B437" s="665" t="s">
        <v>545</v>
      </c>
      <c r="C437" s="652" t="s">
        <v>89</v>
      </c>
      <c r="D437" s="343" t="s">
        <v>345</v>
      </c>
      <c r="E437" s="387">
        <v>1</v>
      </c>
      <c r="F437" s="388">
        <f>G22</f>
        <v>0.44000000000000006</v>
      </c>
      <c r="G437" s="369">
        <f t="shared" si="25"/>
        <v>0.44</v>
      </c>
    </row>
    <row r="438" spans="1:8" ht="14.1" customHeight="1">
      <c r="A438" s="664" t="s">
        <v>665</v>
      </c>
      <c r="B438" s="665" t="s">
        <v>584</v>
      </c>
      <c r="C438" s="652" t="s">
        <v>89</v>
      </c>
      <c r="D438" s="343" t="s">
        <v>345</v>
      </c>
      <c r="E438" s="387">
        <v>1</v>
      </c>
      <c r="F438" s="388">
        <f>G38</f>
        <v>0.98</v>
      </c>
      <c r="G438" s="346">
        <f t="shared" si="25"/>
        <v>0.98</v>
      </c>
    </row>
    <row r="439" spans="1:8" ht="22.5">
      <c r="A439" s="654">
        <v>95377</v>
      </c>
      <c r="B439" s="665" t="s">
        <v>1117</v>
      </c>
      <c r="C439" s="652" t="s">
        <v>102</v>
      </c>
      <c r="D439" s="343" t="s">
        <v>345</v>
      </c>
      <c r="E439" s="387">
        <v>1</v>
      </c>
      <c r="F439" s="436">
        <f>G592</f>
        <v>0.13</v>
      </c>
      <c r="G439" s="369">
        <f t="shared" si="25"/>
        <v>0.13</v>
      </c>
    </row>
    <row r="440" spans="1:8" ht="15" customHeight="1">
      <c r="C440" s="130"/>
      <c r="D440" s="389"/>
      <c r="E440" s="350"/>
      <c r="F440" s="351" t="s">
        <v>92</v>
      </c>
      <c r="G440" s="369">
        <f>G432+G439</f>
        <v>14.81</v>
      </c>
    </row>
    <row r="441" spans="1:8" ht="15" customHeight="1">
      <c r="C441" s="130"/>
      <c r="D441" s="147"/>
      <c r="E441" s="350"/>
      <c r="F441" s="351" t="s">
        <v>94</v>
      </c>
      <c r="G441" s="369">
        <f>SUM(G433:G438)</f>
        <v>4.5600000000000005</v>
      </c>
    </row>
    <row r="442" spans="1:8" ht="15" customHeight="1">
      <c r="A442" s="390"/>
      <c r="B442" s="146"/>
      <c r="C442" s="130"/>
      <c r="D442" s="147"/>
      <c r="E442" s="350"/>
      <c r="F442" s="351" t="s">
        <v>95</v>
      </c>
      <c r="G442" s="370">
        <f>SUM(G440:G441)</f>
        <v>19.37</v>
      </c>
      <c r="H442" s="354"/>
    </row>
    <row r="443" spans="1:8">
      <c r="A443" s="434"/>
      <c r="B443" s="435"/>
      <c r="C443" s="358"/>
      <c r="D443" s="355"/>
      <c r="E443" s="356"/>
      <c r="F443" s="356"/>
      <c r="G443" s="356"/>
      <c r="H443" s="355"/>
    </row>
    <row r="444" spans="1:8">
      <c r="A444" s="775"/>
      <c r="B444" s="776"/>
      <c r="C444" s="336"/>
      <c r="D444" s="337"/>
      <c r="E444" s="334"/>
      <c r="F444" s="334"/>
      <c r="G444" s="334"/>
      <c r="H444" s="337"/>
    </row>
    <row r="445" spans="1:8">
      <c r="A445" s="130" t="s">
        <v>542</v>
      </c>
    </row>
    <row r="446" spans="1:8">
      <c r="A446" s="130" t="s">
        <v>543</v>
      </c>
      <c r="B446" s="149" t="s">
        <v>2226</v>
      </c>
      <c r="C446" s="339"/>
    </row>
    <row r="447" spans="1:8" ht="24" customHeight="1">
      <c r="A447" s="130" t="s">
        <v>78</v>
      </c>
      <c r="B447" s="1356" t="s">
        <v>2225</v>
      </c>
      <c r="C447" s="1356"/>
      <c r="D447" s="1356"/>
      <c r="E447" s="150" t="s">
        <v>345</v>
      </c>
      <c r="F447" s="338"/>
      <c r="G447" s="338"/>
    </row>
    <row r="448" spans="1:8" ht="22.5">
      <c r="A448" s="341" t="s">
        <v>30</v>
      </c>
      <c r="B448" s="342" t="s">
        <v>19</v>
      </c>
      <c r="C448" s="343" t="s">
        <v>82</v>
      </c>
      <c r="D448" s="343" t="s">
        <v>79</v>
      </c>
      <c r="E448" s="1131" t="s">
        <v>83</v>
      </c>
      <c r="F448" s="345" t="s">
        <v>84</v>
      </c>
      <c r="G448" s="346" t="s">
        <v>85</v>
      </c>
    </row>
    <row r="449" spans="1:8">
      <c r="A449" s="1137">
        <v>10489</v>
      </c>
      <c r="B449" s="1134" t="s">
        <v>2227</v>
      </c>
      <c r="C449" s="345" t="s">
        <v>102</v>
      </c>
      <c r="D449" s="343" t="s">
        <v>345</v>
      </c>
      <c r="E449" s="1131">
        <v>1.1900000000000001E-2</v>
      </c>
      <c r="F449" s="348">
        <f>14.05</f>
        <v>14.05</v>
      </c>
      <c r="G449" s="369">
        <f>TRUNC(E449*F449,2)</f>
        <v>0.16</v>
      </c>
    </row>
    <row r="450" spans="1:8">
      <c r="D450" s="349"/>
      <c r="E450" s="350"/>
      <c r="F450" s="351" t="s">
        <v>92</v>
      </c>
      <c r="G450" s="369">
        <f>G449</f>
        <v>0.16</v>
      </c>
    </row>
    <row r="451" spans="1:8">
      <c r="D451" s="349"/>
      <c r="E451" s="350"/>
      <c r="F451" s="351" t="s">
        <v>94</v>
      </c>
      <c r="G451" s="369"/>
    </row>
    <row r="452" spans="1:8">
      <c r="A452" s="352"/>
      <c r="D452" s="349"/>
      <c r="E452" s="350"/>
      <c r="F452" s="351" t="s">
        <v>95</v>
      </c>
      <c r="G452" s="370">
        <f>SUM(G450:G451)</f>
        <v>0.16</v>
      </c>
      <c r="H452" s="354"/>
    </row>
    <row r="453" spans="1:8">
      <c r="A453" s="355"/>
      <c r="B453" s="356"/>
      <c r="C453" s="357"/>
      <c r="D453" s="358"/>
      <c r="E453" s="355"/>
      <c r="F453" s="356"/>
      <c r="G453" s="356"/>
      <c r="H453" s="356"/>
    </row>
    <row r="454" spans="1:8">
      <c r="A454" s="775"/>
      <c r="B454" s="776"/>
      <c r="C454" s="336"/>
      <c r="D454" s="337"/>
      <c r="E454" s="334"/>
      <c r="F454" s="334"/>
      <c r="G454" s="334"/>
      <c r="H454" s="337"/>
    </row>
    <row r="455" spans="1:8">
      <c r="A455" s="130" t="s">
        <v>542</v>
      </c>
    </row>
    <row r="456" spans="1:8">
      <c r="A456" s="130" t="s">
        <v>543</v>
      </c>
      <c r="B456" s="149" t="s">
        <v>1817</v>
      </c>
      <c r="C456" s="339"/>
    </row>
    <row r="457" spans="1:8" ht="23.25" customHeight="1">
      <c r="A457" s="130" t="s">
        <v>78</v>
      </c>
      <c r="B457" s="1356" t="s">
        <v>1816</v>
      </c>
      <c r="C457" s="1356"/>
      <c r="D457" s="1356"/>
      <c r="E457" s="150" t="s">
        <v>345</v>
      </c>
      <c r="F457" s="338"/>
      <c r="G457" s="338"/>
    </row>
    <row r="458" spans="1:8" ht="22.5">
      <c r="A458" s="341" t="s">
        <v>30</v>
      </c>
      <c r="B458" s="342" t="s">
        <v>19</v>
      </c>
      <c r="C458" s="343" t="s">
        <v>82</v>
      </c>
      <c r="D458" s="343" t="s">
        <v>79</v>
      </c>
      <c r="E458" s="899" t="s">
        <v>83</v>
      </c>
      <c r="F458" s="345" t="s">
        <v>84</v>
      </c>
      <c r="G458" s="346" t="s">
        <v>85</v>
      </c>
    </row>
    <row r="459" spans="1:8" ht="14.1" customHeight="1">
      <c r="A459" s="902">
        <v>244</v>
      </c>
      <c r="B459" s="897" t="s">
        <v>1818</v>
      </c>
      <c r="C459" s="345" t="s">
        <v>102</v>
      </c>
      <c r="D459" s="343" t="s">
        <v>345</v>
      </c>
      <c r="E459" s="899">
        <v>6.7000000000000002E-3</v>
      </c>
      <c r="F459" s="348">
        <f>5.98</f>
        <v>5.98</v>
      </c>
      <c r="G459" s="369">
        <f>TRUNC(E459*F459,2)</f>
        <v>0.04</v>
      </c>
    </row>
    <row r="460" spans="1:8" ht="14.1" customHeight="1">
      <c r="D460" s="349"/>
      <c r="E460" s="350"/>
      <c r="F460" s="351" t="s">
        <v>92</v>
      </c>
      <c r="G460" s="369">
        <f>G459</f>
        <v>0.04</v>
      </c>
    </row>
    <row r="461" spans="1:8" ht="14.1" customHeight="1">
      <c r="D461" s="349"/>
      <c r="E461" s="350"/>
      <c r="F461" s="351" t="s">
        <v>94</v>
      </c>
      <c r="G461" s="369"/>
    </row>
    <row r="462" spans="1:8" ht="14.1" customHeight="1">
      <c r="A462" s="352"/>
      <c r="D462" s="349"/>
      <c r="E462" s="350"/>
      <c r="F462" s="351" t="s">
        <v>95</v>
      </c>
      <c r="G462" s="370">
        <f>SUM(G460:G461)</f>
        <v>0.04</v>
      </c>
      <c r="H462" s="354"/>
    </row>
    <row r="463" spans="1:8">
      <c r="A463" s="355"/>
      <c r="B463" s="356"/>
      <c r="C463" s="357"/>
      <c r="D463" s="358"/>
      <c r="E463" s="355"/>
      <c r="F463" s="356"/>
      <c r="G463" s="356"/>
      <c r="H463" s="356"/>
    </row>
    <row r="464" spans="1:8">
      <c r="A464" s="775"/>
      <c r="B464" s="776"/>
      <c r="C464" s="336"/>
      <c r="D464" s="337"/>
      <c r="E464" s="334"/>
      <c r="F464" s="334"/>
      <c r="G464" s="334"/>
      <c r="H464" s="337"/>
    </row>
    <row r="465" spans="1:8">
      <c r="A465" s="130" t="s">
        <v>542</v>
      </c>
    </row>
    <row r="466" spans="1:8">
      <c r="A466" s="130" t="s">
        <v>543</v>
      </c>
      <c r="B466" s="149" t="s">
        <v>1822</v>
      </c>
      <c r="C466" s="339"/>
    </row>
    <row r="467" spans="1:8" ht="22.5" customHeight="1">
      <c r="A467" s="130" t="s">
        <v>78</v>
      </c>
      <c r="B467" s="1356" t="s">
        <v>1821</v>
      </c>
      <c r="C467" s="1356"/>
      <c r="D467" s="1356"/>
      <c r="E467" s="150" t="s">
        <v>345</v>
      </c>
      <c r="F467" s="338"/>
      <c r="G467" s="338"/>
    </row>
    <row r="468" spans="1:8" ht="22.5">
      <c r="A468" s="341" t="s">
        <v>30</v>
      </c>
      <c r="B468" s="342" t="s">
        <v>19</v>
      </c>
      <c r="C468" s="343" t="s">
        <v>82</v>
      </c>
      <c r="D468" s="343" t="s">
        <v>79</v>
      </c>
      <c r="E468" s="899" t="s">
        <v>83</v>
      </c>
      <c r="F468" s="345" t="s">
        <v>84</v>
      </c>
      <c r="G468" s="346" t="s">
        <v>85</v>
      </c>
    </row>
    <row r="469" spans="1:8" ht="15" customHeight="1">
      <c r="A469" s="902">
        <v>7595</v>
      </c>
      <c r="B469" s="897" t="s">
        <v>1823</v>
      </c>
      <c r="C469" s="345" t="s">
        <v>102</v>
      </c>
      <c r="D469" s="343" t="s">
        <v>345</v>
      </c>
      <c r="E469" s="899">
        <v>6.7000000000000002E-3</v>
      </c>
      <c r="F469" s="348">
        <f>7.54</f>
        <v>7.54</v>
      </c>
      <c r="G469" s="369">
        <f>TRUNC(E469*F469,2)</f>
        <v>0.05</v>
      </c>
    </row>
    <row r="470" spans="1:8" ht="15" customHeight="1">
      <c r="D470" s="349"/>
      <c r="E470" s="350"/>
      <c r="F470" s="351" t="s">
        <v>92</v>
      </c>
      <c r="G470" s="369">
        <f>G469</f>
        <v>0.05</v>
      </c>
    </row>
    <row r="471" spans="1:8" ht="15" customHeight="1">
      <c r="D471" s="349"/>
      <c r="E471" s="350"/>
      <c r="F471" s="351" t="s">
        <v>94</v>
      </c>
      <c r="G471" s="369"/>
    </row>
    <row r="472" spans="1:8" ht="15" customHeight="1">
      <c r="A472" s="352"/>
      <c r="D472" s="349"/>
      <c r="E472" s="350"/>
      <c r="F472" s="351" t="s">
        <v>95</v>
      </c>
      <c r="G472" s="370">
        <f>SUM(G470:G471)</f>
        <v>0.05</v>
      </c>
      <c r="H472" s="354"/>
    </row>
    <row r="473" spans="1:8">
      <c r="A473" s="355"/>
      <c r="B473" s="356"/>
      <c r="C473" s="357"/>
      <c r="D473" s="358"/>
      <c r="E473" s="355"/>
      <c r="F473" s="356"/>
      <c r="G473" s="356"/>
      <c r="H473" s="356"/>
    </row>
    <row r="474" spans="1:8">
      <c r="A474" s="775"/>
      <c r="B474" s="776"/>
      <c r="C474" s="336"/>
      <c r="D474" s="337"/>
      <c r="E474" s="334"/>
      <c r="F474" s="334"/>
      <c r="G474" s="334"/>
      <c r="H474" s="337"/>
    </row>
    <row r="475" spans="1:8">
      <c r="A475" s="130" t="s">
        <v>542</v>
      </c>
    </row>
    <row r="476" spans="1:8">
      <c r="A476" s="130" t="s">
        <v>543</v>
      </c>
      <c r="B476" s="149" t="s">
        <v>1246</v>
      </c>
      <c r="C476" s="339"/>
    </row>
    <row r="477" spans="1:8" ht="26.25" customHeight="1">
      <c r="A477" s="130" t="s">
        <v>78</v>
      </c>
      <c r="B477" s="1356" t="s">
        <v>1245</v>
      </c>
      <c r="C477" s="1356"/>
      <c r="D477" s="1356"/>
      <c r="E477" s="150" t="s">
        <v>345</v>
      </c>
      <c r="F477" s="338"/>
      <c r="G477" s="338"/>
    </row>
    <row r="478" spans="1:8" ht="22.5">
      <c r="A478" s="341" t="s">
        <v>30</v>
      </c>
      <c r="B478" s="342" t="s">
        <v>19</v>
      </c>
      <c r="C478" s="343" t="s">
        <v>82</v>
      </c>
      <c r="D478" s="343" t="s">
        <v>79</v>
      </c>
      <c r="E478" s="756" t="s">
        <v>83</v>
      </c>
      <c r="F478" s="345" t="s">
        <v>84</v>
      </c>
      <c r="G478" s="346" t="s">
        <v>85</v>
      </c>
    </row>
    <row r="479" spans="1:8" ht="13.5" customHeight="1">
      <c r="A479" s="755">
        <v>4755</v>
      </c>
      <c r="B479" s="759" t="s">
        <v>1244</v>
      </c>
      <c r="C479" s="345" t="s">
        <v>102</v>
      </c>
      <c r="D479" s="343" t="s">
        <v>345</v>
      </c>
      <c r="E479" s="756">
        <v>1.1900000000000001E-2</v>
      </c>
      <c r="F479" s="348">
        <f>15.01</f>
        <v>15.01</v>
      </c>
      <c r="G479" s="369">
        <f>TRUNC(E479*F479,2)</f>
        <v>0.17</v>
      </c>
    </row>
    <row r="480" spans="1:8">
      <c r="D480" s="349"/>
      <c r="E480" s="350"/>
      <c r="F480" s="351" t="s">
        <v>92</v>
      </c>
      <c r="G480" s="369">
        <f>G479</f>
        <v>0.17</v>
      </c>
    </row>
    <row r="481" spans="1:9">
      <c r="D481" s="349"/>
      <c r="E481" s="350"/>
      <c r="F481" s="351" t="s">
        <v>94</v>
      </c>
      <c r="G481" s="369"/>
    </row>
    <row r="482" spans="1:9">
      <c r="A482" s="352"/>
      <c r="D482" s="349"/>
      <c r="E482" s="350"/>
      <c r="F482" s="351" t="s">
        <v>95</v>
      </c>
      <c r="G482" s="370">
        <f>SUM(G480:G481)</f>
        <v>0.17</v>
      </c>
      <c r="H482" s="354"/>
    </row>
    <row r="483" spans="1:9">
      <c r="A483" s="355"/>
      <c r="B483" s="356"/>
      <c r="C483" s="357"/>
      <c r="D483" s="358"/>
      <c r="E483" s="355"/>
      <c r="F483" s="356"/>
      <c r="G483" s="356"/>
      <c r="H483" s="356"/>
    </row>
    <row r="484" spans="1:9">
      <c r="A484" s="775"/>
      <c r="B484" s="776"/>
      <c r="C484" s="336"/>
      <c r="D484" s="337"/>
      <c r="E484" s="334"/>
      <c r="F484" s="334"/>
      <c r="G484" s="334"/>
      <c r="H484" s="337"/>
    </row>
    <row r="485" spans="1:9" ht="15" customHeight="1">
      <c r="A485" s="130" t="s">
        <v>542</v>
      </c>
    </row>
    <row r="486" spans="1:9" ht="15" customHeight="1">
      <c r="A486" s="130" t="s">
        <v>543</v>
      </c>
      <c r="B486" s="149" t="s">
        <v>603</v>
      </c>
      <c r="C486" s="339"/>
    </row>
    <row r="487" spans="1:9" ht="27" customHeight="1">
      <c r="A487" s="130" t="s">
        <v>78</v>
      </c>
      <c r="B487" s="340" t="s">
        <v>604</v>
      </c>
      <c r="C487" s="150" t="s">
        <v>345</v>
      </c>
      <c r="E487" s="338" t="s">
        <v>2</v>
      </c>
      <c r="F487" s="338"/>
      <c r="G487" s="338"/>
    </row>
    <row r="488" spans="1:9" ht="22.5">
      <c r="A488" s="341" t="s">
        <v>30</v>
      </c>
      <c r="B488" s="342" t="s">
        <v>19</v>
      </c>
      <c r="C488" s="343" t="s">
        <v>82</v>
      </c>
      <c r="D488" s="343" t="s">
        <v>79</v>
      </c>
      <c r="E488" s="344" t="s">
        <v>83</v>
      </c>
      <c r="F488" s="345" t="s">
        <v>84</v>
      </c>
      <c r="G488" s="346" t="s">
        <v>85</v>
      </c>
    </row>
    <row r="489" spans="1:9" ht="15" customHeight="1">
      <c r="A489" s="341" t="s">
        <v>605</v>
      </c>
      <c r="B489" s="347" t="s">
        <v>606</v>
      </c>
      <c r="C489" s="345" t="s">
        <v>102</v>
      </c>
      <c r="D489" s="343" t="s">
        <v>345</v>
      </c>
      <c r="E489" s="344" t="s">
        <v>586</v>
      </c>
      <c r="F489" s="348">
        <f>10.6</f>
        <v>10.6</v>
      </c>
      <c r="G489" s="346">
        <f>TRUNC(E489*F489,2)</f>
        <v>0.14000000000000001</v>
      </c>
    </row>
    <row r="490" spans="1:9" ht="15" customHeight="1">
      <c r="D490" s="349"/>
      <c r="E490" s="350"/>
      <c r="F490" s="351" t="s">
        <v>92</v>
      </c>
      <c r="G490" s="346">
        <f>G489</f>
        <v>0.14000000000000001</v>
      </c>
    </row>
    <row r="491" spans="1:9" ht="15" customHeight="1">
      <c r="D491" s="349"/>
      <c r="E491" s="350"/>
      <c r="F491" s="351" t="s">
        <v>94</v>
      </c>
      <c r="G491" s="346"/>
    </row>
    <row r="492" spans="1:9" ht="15" customHeight="1">
      <c r="A492" s="352"/>
      <c r="D492" s="349"/>
      <c r="E492" s="350"/>
      <c r="F492" s="351" t="s">
        <v>95</v>
      </c>
      <c r="G492" s="353">
        <f>SUM(G490:G491)</f>
        <v>0.14000000000000001</v>
      </c>
      <c r="H492" s="354"/>
    </row>
    <row r="493" spans="1:9">
      <c r="A493" s="355"/>
      <c r="B493" s="356"/>
      <c r="C493" s="357"/>
      <c r="D493" s="358"/>
      <c r="E493" s="355"/>
      <c r="F493" s="356"/>
      <c r="G493" s="356"/>
      <c r="H493" s="356"/>
      <c r="I493" s="355"/>
    </row>
    <row r="494" spans="1:9" s="337" customFormat="1">
      <c r="B494" s="334"/>
      <c r="C494" s="335"/>
      <c r="D494" s="336"/>
      <c r="F494" s="334"/>
      <c r="G494" s="334"/>
      <c r="H494" s="334"/>
    </row>
    <row r="495" spans="1:9" s="337" customFormat="1">
      <c r="A495" s="130" t="s">
        <v>542</v>
      </c>
      <c r="B495" s="135"/>
      <c r="C495" s="338"/>
      <c r="D495" s="133"/>
      <c r="E495" s="130"/>
      <c r="F495" s="135"/>
      <c r="G495" s="135"/>
      <c r="H495" s="135"/>
    </row>
    <row r="496" spans="1:9" s="337" customFormat="1">
      <c r="A496" s="130" t="s">
        <v>543</v>
      </c>
      <c r="B496" s="149" t="s">
        <v>2073</v>
      </c>
      <c r="C496" s="339"/>
      <c r="D496" s="133"/>
      <c r="E496" s="130"/>
      <c r="F496" s="135"/>
      <c r="G496" s="135"/>
      <c r="H496" s="135"/>
    </row>
    <row r="497" spans="1:8" s="337" customFormat="1" ht="11.25" customHeight="1">
      <c r="A497" s="130" t="s">
        <v>78</v>
      </c>
      <c r="B497" s="1356" t="s">
        <v>1245</v>
      </c>
      <c r="C497" s="1356"/>
      <c r="D497" s="1356"/>
      <c r="E497" s="150" t="s">
        <v>345</v>
      </c>
      <c r="F497" s="338"/>
      <c r="G497" s="338"/>
      <c r="H497" s="135"/>
    </row>
    <row r="498" spans="1:8" s="337" customFormat="1" ht="22.5">
      <c r="A498" s="341" t="s">
        <v>30</v>
      </c>
      <c r="B498" s="342" t="s">
        <v>19</v>
      </c>
      <c r="C498" s="343" t="s">
        <v>82</v>
      </c>
      <c r="D498" s="343" t="s">
        <v>79</v>
      </c>
      <c r="E498" s="1004" t="s">
        <v>83</v>
      </c>
      <c r="F498" s="345" t="s">
        <v>84</v>
      </c>
      <c r="G498" s="346" t="s">
        <v>85</v>
      </c>
      <c r="H498" s="135"/>
    </row>
    <row r="499" spans="1:8" s="337" customFormat="1">
      <c r="A499" s="1010" t="s">
        <v>2074</v>
      </c>
      <c r="B499" s="1011" t="s">
        <v>2071</v>
      </c>
      <c r="C499" s="345" t="s">
        <v>102</v>
      </c>
      <c r="D499" s="343" t="s">
        <v>345</v>
      </c>
      <c r="E499" s="1004">
        <v>1.1900000000000001E-2</v>
      </c>
      <c r="F499" s="348">
        <f>10.9</f>
        <v>10.9</v>
      </c>
      <c r="G499" s="369">
        <f>TRUNC(E499*F499,2)</f>
        <v>0.12</v>
      </c>
      <c r="H499" s="135"/>
    </row>
    <row r="500" spans="1:8" s="337" customFormat="1">
      <c r="A500" s="130"/>
      <c r="B500" s="135"/>
      <c r="C500" s="338"/>
      <c r="D500" s="349"/>
      <c r="E500" s="350"/>
      <c r="F500" s="351" t="s">
        <v>92</v>
      </c>
      <c r="G500" s="369">
        <f>G499</f>
        <v>0.12</v>
      </c>
      <c r="H500" s="135"/>
    </row>
    <row r="501" spans="1:8" s="337" customFormat="1">
      <c r="A501" s="130"/>
      <c r="B501" s="135"/>
      <c r="C501" s="338"/>
      <c r="D501" s="349"/>
      <c r="E501" s="350"/>
      <c r="F501" s="351" t="s">
        <v>94</v>
      </c>
      <c r="G501" s="369"/>
      <c r="H501" s="135"/>
    </row>
    <row r="502" spans="1:8" s="337" customFormat="1">
      <c r="A502" s="352"/>
      <c r="B502" s="135"/>
      <c r="C502" s="338"/>
      <c r="D502" s="349"/>
      <c r="E502" s="350"/>
      <c r="F502" s="351" t="s">
        <v>95</v>
      </c>
      <c r="G502" s="370">
        <f>SUM(G500:G501)</f>
        <v>0.12</v>
      </c>
      <c r="H502" s="354"/>
    </row>
    <row r="503" spans="1:8" s="337" customFormat="1">
      <c r="A503" s="355"/>
      <c r="B503" s="356"/>
      <c r="C503" s="357"/>
      <c r="D503" s="358"/>
      <c r="E503" s="355"/>
      <c r="F503" s="356"/>
      <c r="G503" s="356"/>
      <c r="H503" s="356"/>
    </row>
    <row r="504" spans="1:8" s="337" customFormat="1">
      <c r="B504" s="334"/>
      <c r="C504" s="335"/>
      <c r="D504" s="336"/>
      <c r="F504" s="334"/>
      <c r="G504" s="334"/>
      <c r="H504" s="334"/>
    </row>
    <row r="505" spans="1:8" s="337" customFormat="1">
      <c r="A505" s="130" t="s">
        <v>542</v>
      </c>
      <c r="B505" s="135"/>
      <c r="C505" s="338"/>
      <c r="D505" s="133"/>
      <c r="E505" s="130"/>
      <c r="F505" s="135"/>
      <c r="G505" s="135"/>
      <c r="H505" s="135"/>
    </row>
    <row r="506" spans="1:8" s="337" customFormat="1">
      <c r="A506" s="130" t="s">
        <v>543</v>
      </c>
      <c r="B506" s="359" t="s">
        <v>1223</v>
      </c>
      <c r="C506" s="360"/>
      <c r="D506" s="133"/>
      <c r="E506" s="130"/>
      <c r="F506" s="135"/>
      <c r="G506" s="135"/>
      <c r="H506" s="135"/>
    </row>
    <row r="507" spans="1:8" s="337" customFormat="1" ht="33.75">
      <c r="A507" s="130" t="s">
        <v>78</v>
      </c>
      <c r="B507" s="724" t="s">
        <v>1222</v>
      </c>
      <c r="C507" s="150" t="s">
        <v>345</v>
      </c>
      <c r="D507" s="133"/>
      <c r="E507" s="338" t="s">
        <v>2</v>
      </c>
      <c r="F507" s="338"/>
      <c r="G507" s="338"/>
      <c r="H507" s="135"/>
    </row>
    <row r="508" spans="1:8" s="337" customFormat="1" ht="22.5">
      <c r="A508" s="341" t="s">
        <v>30</v>
      </c>
      <c r="B508" s="342" t="s">
        <v>19</v>
      </c>
      <c r="C508" s="343" t="s">
        <v>82</v>
      </c>
      <c r="D508" s="343" t="s">
        <v>79</v>
      </c>
      <c r="E508" s="715" t="s">
        <v>83</v>
      </c>
      <c r="F508" s="345" t="s">
        <v>84</v>
      </c>
      <c r="G508" s="346" t="s">
        <v>85</v>
      </c>
      <c r="H508" s="135"/>
    </row>
    <row r="509" spans="1:8" s="337" customFormat="1" ht="15" customHeight="1">
      <c r="A509" s="721">
        <v>12873</v>
      </c>
      <c r="B509" s="362" t="s">
        <v>1221</v>
      </c>
      <c r="C509" s="363" t="s">
        <v>102</v>
      </c>
      <c r="D509" s="343" t="s">
        <v>345</v>
      </c>
      <c r="E509" s="364">
        <v>1.7100000000000001E-2</v>
      </c>
      <c r="F509" s="365">
        <f>15.56</f>
        <v>15.56</v>
      </c>
      <c r="G509" s="346">
        <f>TRUNC(E509*F509,2)</f>
        <v>0.26</v>
      </c>
      <c r="H509" s="135"/>
    </row>
    <row r="510" spans="1:8" s="337" customFormat="1" ht="15" customHeight="1">
      <c r="A510" s="130"/>
      <c r="B510" s="135"/>
      <c r="C510" s="338"/>
      <c r="D510" s="349"/>
      <c r="E510" s="350"/>
      <c r="F510" s="351" t="s">
        <v>92</v>
      </c>
      <c r="G510" s="346">
        <f>G509</f>
        <v>0.26</v>
      </c>
      <c r="H510" s="135"/>
    </row>
    <row r="511" spans="1:8" s="337" customFormat="1" ht="15" customHeight="1">
      <c r="A511" s="130"/>
      <c r="B511" s="135"/>
      <c r="C511" s="338"/>
      <c r="D511" s="349"/>
      <c r="E511" s="350"/>
      <c r="F511" s="351" t="s">
        <v>94</v>
      </c>
      <c r="G511" s="346"/>
      <c r="H511" s="135"/>
    </row>
    <row r="512" spans="1:8" s="337" customFormat="1" ht="15" customHeight="1">
      <c r="A512" s="352"/>
      <c r="B512" s="135"/>
      <c r="C512" s="338"/>
      <c r="D512" s="349"/>
      <c r="E512" s="350"/>
      <c r="F512" s="351" t="s">
        <v>95</v>
      </c>
      <c r="G512" s="353">
        <f>SUM(G510:G511)</f>
        <v>0.26</v>
      </c>
      <c r="H512" s="354"/>
    </row>
    <row r="513" spans="1:9" s="337" customFormat="1">
      <c r="A513" s="355"/>
      <c r="B513" s="356"/>
      <c r="C513" s="357"/>
      <c r="D513" s="358"/>
      <c r="E513" s="355"/>
      <c r="F513" s="356"/>
      <c r="G513" s="356"/>
      <c r="H513" s="356"/>
    </row>
    <row r="514" spans="1:9" s="337" customFormat="1">
      <c r="B514" s="334"/>
      <c r="C514" s="335"/>
      <c r="D514" s="336"/>
      <c r="F514" s="334"/>
      <c r="G514" s="334"/>
      <c r="H514" s="334"/>
    </row>
    <row r="515" spans="1:9" ht="15" customHeight="1">
      <c r="A515" s="130" t="s">
        <v>542</v>
      </c>
    </row>
    <row r="516" spans="1:9" ht="15" customHeight="1">
      <c r="A516" s="130" t="s">
        <v>543</v>
      </c>
      <c r="B516" s="359" t="s">
        <v>607</v>
      </c>
      <c r="C516" s="360"/>
    </row>
    <row r="517" spans="1:9" ht="22.5">
      <c r="A517" s="130" t="s">
        <v>78</v>
      </c>
      <c r="B517" s="340" t="s">
        <v>608</v>
      </c>
      <c r="C517" s="150" t="s">
        <v>345</v>
      </c>
      <c r="E517" s="338" t="s">
        <v>2</v>
      </c>
      <c r="F517" s="338"/>
      <c r="G517" s="338"/>
    </row>
    <row r="518" spans="1:9" ht="22.5">
      <c r="A518" s="341" t="s">
        <v>30</v>
      </c>
      <c r="B518" s="342" t="s">
        <v>19</v>
      </c>
      <c r="C518" s="343" t="s">
        <v>82</v>
      </c>
      <c r="D518" s="343" t="s">
        <v>79</v>
      </c>
      <c r="E518" s="344" t="s">
        <v>83</v>
      </c>
      <c r="F518" s="345" t="s">
        <v>84</v>
      </c>
      <c r="G518" s="346" t="s">
        <v>85</v>
      </c>
    </row>
    <row r="519" spans="1:9" ht="15" customHeight="1">
      <c r="A519" s="361">
        <v>6111</v>
      </c>
      <c r="B519" s="362" t="s">
        <v>609</v>
      </c>
      <c r="C519" s="363" t="s">
        <v>102</v>
      </c>
      <c r="D519" s="343" t="s">
        <v>345</v>
      </c>
      <c r="E519" s="364">
        <v>1.7100000000000001E-2</v>
      </c>
      <c r="F519" s="365">
        <f>10.92</f>
        <v>10.92</v>
      </c>
      <c r="G519" s="346">
        <f>TRUNC(E519*F519,2)</f>
        <v>0.18</v>
      </c>
    </row>
    <row r="520" spans="1:9" ht="15" customHeight="1">
      <c r="D520" s="349"/>
      <c r="E520" s="350"/>
      <c r="F520" s="351" t="s">
        <v>92</v>
      </c>
      <c r="G520" s="346">
        <f>G519</f>
        <v>0.18</v>
      </c>
    </row>
    <row r="521" spans="1:9" ht="15" customHeight="1">
      <c r="D521" s="349"/>
      <c r="E521" s="350"/>
      <c r="F521" s="351" t="s">
        <v>94</v>
      </c>
      <c r="G521" s="346"/>
    </row>
    <row r="522" spans="1:9" ht="15" customHeight="1">
      <c r="A522" s="352"/>
      <c r="D522" s="349"/>
      <c r="E522" s="350"/>
      <c r="F522" s="351" t="s">
        <v>95</v>
      </c>
      <c r="G522" s="353">
        <f>SUM(G520:G521)</f>
        <v>0.18</v>
      </c>
      <c r="H522" s="354"/>
    </row>
    <row r="523" spans="1:9">
      <c r="A523" s="355"/>
      <c r="B523" s="356"/>
      <c r="C523" s="357"/>
      <c r="D523" s="358"/>
      <c r="E523" s="355"/>
      <c r="F523" s="356"/>
      <c r="G523" s="356"/>
      <c r="H523" s="356"/>
      <c r="I523" s="355"/>
    </row>
    <row r="525" spans="1:9">
      <c r="A525" s="130" t="s">
        <v>542</v>
      </c>
    </row>
    <row r="526" spans="1:9">
      <c r="A526" s="130" t="s">
        <v>543</v>
      </c>
      <c r="B526" s="359" t="s">
        <v>610</v>
      </c>
      <c r="C526" s="360"/>
    </row>
    <row r="527" spans="1:9" ht="30" customHeight="1">
      <c r="A527" s="130" t="s">
        <v>78</v>
      </c>
      <c r="B527" s="1356" t="s">
        <v>845</v>
      </c>
      <c r="C527" s="1356"/>
      <c r="D527" s="150" t="s">
        <v>345</v>
      </c>
      <c r="E527" s="338" t="s">
        <v>2</v>
      </c>
      <c r="F527" s="338"/>
      <c r="G527" s="338"/>
    </row>
    <row r="528" spans="1:9" ht="22.5">
      <c r="A528" s="341" t="s">
        <v>30</v>
      </c>
      <c r="B528" s="342" t="s">
        <v>19</v>
      </c>
      <c r="C528" s="343" t="s">
        <v>82</v>
      </c>
      <c r="D528" s="343" t="s">
        <v>79</v>
      </c>
      <c r="E528" s="344" t="s">
        <v>83</v>
      </c>
      <c r="F528" s="345" t="s">
        <v>84</v>
      </c>
      <c r="G528" s="346" t="s">
        <v>85</v>
      </c>
    </row>
    <row r="529" spans="1:9" ht="15" customHeight="1">
      <c r="A529" s="361">
        <v>4094</v>
      </c>
      <c r="B529" s="362" t="s">
        <v>611</v>
      </c>
      <c r="C529" s="363" t="s">
        <v>102</v>
      </c>
      <c r="D529" s="343" t="s">
        <v>345</v>
      </c>
      <c r="E529" s="364">
        <v>4.1000000000000003E-3</v>
      </c>
      <c r="F529" s="365">
        <f>16.13</f>
        <v>16.13</v>
      </c>
      <c r="G529" s="346">
        <f>TRUNC(E529*F529,2)</f>
        <v>0.06</v>
      </c>
    </row>
    <row r="530" spans="1:9" ht="15" customHeight="1">
      <c r="D530" s="349"/>
      <c r="E530" s="350"/>
      <c r="F530" s="351" t="s">
        <v>92</v>
      </c>
      <c r="G530" s="346">
        <f>G529</f>
        <v>0.06</v>
      </c>
    </row>
    <row r="531" spans="1:9" ht="15" customHeight="1">
      <c r="D531" s="349"/>
      <c r="E531" s="350"/>
      <c r="F531" s="351" t="s">
        <v>94</v>
      </c>
      <c r="G531" s="346"/>
    </row>
    <row r="532" spans="1:9" ht="15" customHeight="1">
      <c r="A532" s="352"/>
      <c r="D532" s="349"/>
      <c r="E532" s="350"/>
      <c r="F532" s="351" t="s">
        <v>95</v>
      </c>
      <c r="G532" s="353">
        <f>SUM(G530:G531)</f>
        <v>0.06</v>
      </c>
      <c r="H532" s="354"/>
    </row>
    <row r="533" spans="1:9">
      <c r="A533" s="355"/>
      <c r="B533" s="356"/>
      <c r="C533" s="357"/>
      <c r="D533" s="358"/>
      <c r="E533" s="355"/>
      <c r="F533" s="356"/>
      <c r="G533" s="356"/>
      <c r="H533" s="356"/>
      <c r="I533" s="355"/>
    </row>
    <row r="535" spans="1:9" ht="15" customHeight="1">
      <c r="A535" s="130" t="s">
        <v>542</v>
      </c>
    </row>
    <row r="536" spans="1:9" ht="15" customHeight="1">
      <c r="A536" s="130" t="s">
        <v>543</v>
      </c>
      <c r="B536" s="359" t="s">
        <v>612</v>
      </c>
      <c r="C536" s="360"/>
    </row>
    <row r="537" spans="1:9" ht="33.75">
      <c r="A537" s="130" t="s">
        <v>78</v>
      </c>
      <c r="B537" s="366" t="s">
        <v>613</v>
      </c>
      <c r="C537" s="150" t="s">
        <v>345</v>
      </c>
      <c r="E537" s="338" t="s">
        <v>2</v>
      </c>
      <c r="F537" s="338"/>
      <c r="G537" s="338"/>
    </row>
    <row r="538" spans="1:9" ht="22.5">
      <c r="A538" s="341" t="s">
        <v>30</v>
      </c>
      <c r="B538" s="342" t="s">
        <v>19</v>
      </c>
      <c r="C538" s="343" t="s">
        <v>82</v>
      </c>
      <c r="D538" s="343" t="s">
        <v>79</v>
      </c>
      <c r="E538" s="344" t="s">
        <v>83</v>
      </c>
      <c r="F538" s="345" t="s">
        <v>84</v>
      </c>
      <c r="G538" s="346" t="s">
        <v>85</v>
      </c>
    </row>
    <row r="539" spans="1:9" ht="15" customHeight="1">
      <c r="A539" s="361">
        <v>20020</v>
      </c>
      <c r="B539" s="362" t="s">
        <v>614</v>
      </c>
      <c r="C539" s="363" t="s">
        <v>102</v>
      </c>
      <c r="D539" s="343" t="s">
        <v>345</v>
      </c>
      <c r="E539" s="364">
        <v>4.1000000000000003E-3</v>
      </c>
      <c r="F539" s="365">
        <f>11.38</f>
        <v>11.38</v>
      </c>
      <c r="G539" s="346">
        <f>TRUNC(E539*F539,2)</f>
        <v>0.04</v>
      </c>
    </row>
    <row r="540" spans="1:9" ht="15" customHeight="1">
      <c r="D540" s="349"/>
      <c r="E540" s="350"/>
      <c r="F540" s="351" t="s">
        <v>92</v>
      </c>
      <c r="G540" s="346">
        <f>G539</f>
        <v>0.04</v>
      </c>
    </row>
    <row r="541" spans="1:9" ht="15" customHeight="1">
      <c r="D541" s="349"/>
      <c r="E541" s="350"/>
      <c r="F541" s="351" t="s">
        <v>94</v>
      </c>
      <c r="G541" s="346"/>
    </row>
    <row r="542" spans="1:9" ht="15" customHeight="1">
      <c r="A542" s="352"/>
      <c r="D542" s="349"/>
      <c r="E542" s="350"/>
      <c r="F542" s="351" t="s">
        <v>95</v>
      </c>
      <c r="G542" s="353">
        <f>SUM(G540:G541)</f>
        <v>0.04</v>
      </c>
      <c r="H542" s="354"/>
    </row>
    <row r="543" spans="1:9">
      <c r="A543" s="355"/>
      <c r="B543" s="356"/>
      <c r="C543" s="357"/>
      <c r="D543" s="358"/>
      <c r="E543" s="355"/>
      <c r="F543" s="356"/>
      <c r="G543" s="356"/>
      <c r="H543" s="356"/>
      <c r="I543" s="355"/>
    </row>
    <row r="545" spans="1:9" ht="15" customHeight="1">
      <c r="A545" s="130" t="s">
        <v>542</v>
      </c>
    </row>
    <row r="546" spans="1:9" ht="15" customHeight="1">
      <c r="A546" s="130" t="s">
        <v>543</v>
      </c>
      <c r="B546" s="359" t="s">
        <v>615</v>
      </c>
      <c r="C546" s="360"/>
    </row>
    <row r="547" spans="1:9" ht="30" customHeight="1">
      <c r="A547" s="130" t="s">
        <v>78</v>
      </c>
      <c r="B547" s="340" t="s">
        <v>616</v>
      </c>
      <c r="C547" s="150" t="s">
        <v>345</v>
      </c>
      <c r="E547" s="338" t="s">
        <v>2</v>
      </c>
      <c r="F547" s="338"/>
      <c r="G547" s="338"/>
    </row>
    <row r="548" spans="1:9" ht="22.5">
      <c r="A548" s="341" t="s">
        <v>30</v>
      </c>
      <c r="B548" s="342" t="s">
        <v>19</v>
      </c>
      <c r="C548" s="343" t="s">
        <v>82</v>
      </c>
      <c r="D548" s="343" t="s">
        <v>79</v>
      </c>
      <c r="E548" s="344" t="s">
        <v>83</v>
      </c>
      <c r="F548" s="345" t="s">
        <v>84</v>
      </c>
      <c r="G548" s="346" t="s">
        <v>85</v>
      </c>
    </row>
    <row r="549" spans="1:9" ht="15" customHeight="1">
      <c r="A549" s="361">
        <v>1213</v>
      </c>
      <c r="B549" s="362" t="s">
        <v>617</v>
      </c>
      <c r="C549" s="363" t="s">
        <v>102</v>
      </c>
      <c r="D549" s="343" t="s">
        <v>345</v>
      </c>
      <c r="E549" s="364">
        <v>9.2999999999999992E-3</v>
      </c>
      <c r="F549" s="365">
        <f>14.68</f>
        <v>14.68</v>
      </c>
      <c r="G549" s="346">
        <f>TRUNC(E549*F549,2)</f>
        <v>0.13</v>
      </c>
    </row>
    <row r="550" spans="1:9" ht="15" customHeight="1">
      <c r="D550" s="349"/>
      <c r="E550" s="350"/>
      <c r="F550" s="351" t="s">
        <v>92</v>
      </c>
      <c r="G550" s="346">
        <f>G549</f>
        <v>0.13</v>
      </c>
    </row>
    <row r="551" spans="1:9" ht="15" customHeight="1">
      <c r="D551" s="349"/>
      <c r="E551" s="350"/>
      <c r="F551" s="351" t="s">
        <v>94</v>
      </c>
      <c r="G551" s="346"/>
    </row>
    <row r="552" spans="1:9" ht="15" customHeight="1">
      <c r="A552" s="352"/>
      <c r="D552" s="349"/>
      <c r="E552" s="350"/>
      <c r="F552" s="351" t="s">
        <v>95</v>
      </c>
      <c r="G552" s="353">
        <f>SUM(G550:G551)</f>
        <v>0.13</v>
      </c>
      <c r="H552" s="354"/>
    </row>
    <row r="553" spans="1:9">
      <c r="A553" s="355"/>
      <c r="B553" s="356"/>
      <c r="C553" s="357"/>
      <c r="D553" s="358"/>
      <c r="E553" s="355"/>
      <c r="F553" s="356"/>
      <c r="G553" s="356"/>
      <c r="H553" s="356"/>
      <c r="I553" s="355"/>
    </row>
    <row r="555" spans="1:9">
      <c r="A555" s="130" t="s">
        <v>542</v>
      </c>
    </row>
    <row r="556" spans="1:9">
      <c r="A556" s="130" t="s">
        <v>543</v>
      </c>
      <c r="B556" s="359" t="s">
        <v>877</v>
      </c>
      <c r="C556" s="360"/>
    </row>
    <row r="557" spans="1:9" ht="33.75">
      <c r="A557" s="130" t="s">
        <v>78</v>
      </c>
      <c r="B557" s="380" t="s">
        <v>876</v>
      </c>
      <c r="C557" s="150" t="s">
        <v>345</v>
      </c>
      <c r="E557" s="338" t="s">
        <v>2</v>
      </c>
      <c r="F557" s="338"/>
      <c r="G557" s="338"/>
    </row>
    <row r="558" spans="1:9" ht="22.5">
      <c r="A558" s="341" t="s">
        <v>30</v>
      </c>
      <c r="B558" s="342" t="s">
        <v>19</v>
      </c>
      <c r="C558" s="367"/>
      <c r="D558" s="343" t="s">
        <v>79</v>
      </c>
      <c r="E558" s="425" t="s">
        <v>83</v>
      </c>
      <c r="F558" s="345" t="s">
        <v>84</v>
      </c>
      <c r="G558" s="346" t="s">
        <v>85</v>
      </c>
    </row>
    <row r="559" spans="1:9" ht="14.1" customHeight="1">
      <c r="A559" s="361">
        <v>4760</v>
      </c>
      <c r="B559" s="362" t="s">
        <v>875</v>
      </c>
      <c r="C559" s="363" t="s">
        <v>102</v>
      </c>
      <c r="D559" s="343" t="s">
        <v>345</v>
      </c>
      <c r="E559" s="364">
        <v>1.1900000000000001E-2</v>
      </c>
      <c r="F559" s="365">
        <f>14.68</f>
        <v>14.68</v>
      </c>
      <c r="G559" s="346">
        <f>TRUNC(E559*F559,2)</f>
        <v>0.17</v>
      </c>
    </row>
    <row r="560" spans="1:9" ht="14.1" customHeight="1">
      <c r="D560" s="349"/>
      <c r="E560" s="350"/>
      <c r="F560" s="351" t="s">
        <v>92</v>
      </c>
      <c r="G560" s="346">
        <f>G559</f>
        <v>0.17</v>
      </c>
    </row>
    <row r="561" spans="1:9" ht="14.1" customHeight="1">
      <c r="D561" s="349"/>
      <c r="E561" s="350"/>
      <c r="F561" s="351" t="s">
        <v>94</v>
      </c>
      <c r="G561" s="346"/>
    </row>
    <row r="562" spans="1:9" ht="14.1" customHeight="1">
      <c r="A562" s="352"/>
      <c r="D562" s="349"/>
      <c r="E562" s="350"/>
      <c r="F562" s="351" t="s">
        <v>95</v>
      </c>
      <c r="G562" s="353">
        <f>SUM(G560:G561)</f>
        <v>0.17</v>
      </c>
      <c r="H562" s="354"/>
    </row>
    <row r="563" spans="1:9">
      <c r="A563" s="355"/>
      <c r="B563" s="356"/>
      <c r="C563" s="357"/>
      <c r="D563" s="358"/>
      <c r="E563" s="355"/>
      <c r="F563" s="356"/>
      <c r="G563" s="356"/>
      <c r="H563" s="356"/>
      <c r="I563" s="355"/>
    </row>
    <row r="565" spans="1:9" ht="15" customHeight="1">
      <c r="A565" s="130" t="s">
        <v>542</v>
      </c>
    </row>
    <row r="566" spans="1:9" ht="15" customHeight="1">
      <c r="A566" s="130" t="s">
        <v>543</v>
      </c>
      <c r="B566" s="359" t="s">
        <v>618</v>
      </c>
      <c r="C566" s="360"/>
    </row>
    <row r="567" spans="1:9" ht="22.5">
      <c r="A567" s="130" t="s">
        <v>78</v>
      </c>
      <c r="B567" s="340" t="s">
        <v>619</v>
      </c>
      <c r="C567" s="150" t="s">
        <v>345</v>
      </c>
      <c r="E567" s="338" t="s">
        <v>2</v>
      </c>
      <c r="F567" s="338"/>
      <c r="G567" s="338"/>
    </row>
    <row r="568" spans="1:9" ht="22.5">
      <c r="A568" s="341" t="s">
        <v>30</v>
      </c>
      <c r="B568" s="342" t="s">
        <v>19</v>
      </c>
      <c r="C568" s="367"/>
      <c r="D568" s="343" t="s">
        <v>79</v>
      </c>
      <c r="E568" s="344" t="s">
        <v>83</v>
      </c>
      <c r="F568" s="345" t="s">
        <v>84</v>
      </c>
      <c r="G568" s="346" t="s">
        <v>85</v>
      </c>
    </row>
    <row r="569" spans="1:9" ht="15" customHeight="1">
      <c r="A569" s="361">
        <v>4750</v>
      </c>
      <c r="B569" s="362" t="s">
        <v>113</v>
      </c>
      <c r="C569" s="363" t="s">
        <v>102</v>
      </c>
      <c r="D569" s="343" t="s">
        <v>345</v>
      </c>
      <c r="E569" s="364">
        <v>1.7100000000000001E-2</v>
      </c>
      <c r="F569" s="365">
        <f>14.68</f>
        <v>14.68</v>
      </c>
      <c r="G569" s="346">
        <f>TRUNC(E569*F569,2)</f>
        <v>0.25</v>
      </c>
    </row>
    <row r="570" spans="1:9" ht="15" customHeight="1">
      <c r="D570" s="349"/>
      <c r="E570" s="350"/>
      <c r="F570" s="351" t="s">
        <v>92</v>
      </c>
      <c r="G570" s="346">
        <f>G569</f>
        <v>0.25</v>
      </c>
    </row>
    <row r="571" spans="1:9" ht="15" customHeight="1">
      <c r="D571" s="349"/>
      <c r="E571" s="350"/>
      <c r="F571" s="351" t="s">
        <v>94</v>
      </c>
      <c r="G571" s="346"/>
    </row>
    <row r="572" spans="1:9" ht="15" customHeight="1">
      <c r="A572" s="352"/>
      <c r="D572" s="349"/>
      <c r="E572" s="350"/>
      <c r="F572" s="351" t="s">
        <v>95</v>
      </c>
      <c r="G572" s="353">
        <f>SUM(G570:G571)</f>
        <v>0.25</v>
      </c>
      <c r="H572" s="354"/>
    </row>
    <row r="573" spans="1:9">
      <c r="A573" s="355"/>
      <c r="B573" s="356"/>
      <c r="C573" s="357"/>
      <c r="D573" s="358"/>
      <c r="E573" s="355"/>
      <c r="F573" s="356"/>
      <c r="G573" s="356"/>
      <c r="H573" s="356"/>
      <c r="I573" s="355"/>
    </row>
    <row r="575" spans="1:9">
      <c r="A575" s="130" t="s">
        <v>542</v>
      </c>
    </row>
    <row r="576" spans="1:9">
      <c r="A576" s="130" t="s">
        <v>543</v>
      </c>
      <c r="B576" s="359" t="s">
        <v>798</v>
      </c>
      <c r="C576" s="360"/>
    </row>
    <row r="577" spans="1:9" ht="22.5">
      <c r="A577" s="130" t="s">
        <v>78</v>
      </c>
      <c r="B577" s="458" t="s">
        <v>799</v>
      </c>
      <c r="C577" s="150" t="s">
        <v>345</v>
      </c>
      <c r="E577" s="338" t="s">
        <v>2</v>
      </c>
      <c r="F577" s="338"/>
      <c r="G577" s="338"/>
    </row>
    <row r="578" spans="1:9" ht="22.5">
      <c r="A578" s="341" t="s">
        <v>30</v>
      </c>
      <c r="B578" s="342" t="s">
        <v>19</v>
      </c>
      <c r="C578" s="367"/>
      <c r="D578" s="343" t="s">
        <v>79</v>
      </c>
      <c r="E578" s="459" t="s">
        <v>83</v>
      </c>
      <c r="F578" s="345" t="s">
        <v>84</v>
      </c>
      <c r="G578" s="346" t="s">
        <v>85</v>
      </c>
    </row>
    <row r="579" spans="1:9" ht="14.1" customHeight="1">
      <c r="A579" s="361">
        <v>12869</v>
      </c>
      <c r="B579" s="362" t="s">
        <v>800</v>
      </c>
      <c r="C579" s="363" t="s">
        <v>102</v>
      </c>
      <c r="D579" s="343" t="s">
        <v>345</v>
      </c>
      <c r="E579" s="364">
        <v>9.2999999999999992E-3</v>
      </c>
      <c r="F579" s="365">
        <f>16.02</f>
        <v>16.02</v>
      </c>
      <c r="G579" s="346">
        <f>TRUNC(E579*F579,2)</f>
        <v>0.14000000000000001</v>
      </c>
    </row>
    <row r="580" spans="1:9" ht="14.1" customHeight="1">
      <c r="D580" s="349"/>
      <c r="E580" s="350"/>
      <c r="F580" s="351" t="s">
        <v>92</v>
      </c>
      <c r="G580" s="346">
        <f>G579</f>
        <v>0.14000000000000001</v>
      </c>
    </row>
    <row r="581" spans="1:9" ht="14.1" customHeight="1">
      <c r="D581" s="349"/>
      <c r="E581" s="350"/>
      <c r="F581" s="351" t="s">
        <v>94</v>
      </c>
      <c r="G581" s="346"/>
    </row>
    <row r="582" spans="1:9" ht="14.1" customHeight="1">
      <c r="A582" s="352"/>
      <c r="D582" s="349"/>
      <c r="E582" s="350"/>
      <c r="F582" s="351" t="s">
        <v>95</v>
      </c>
      <c r="G582" s="353">
        <f>SUM(G580:G581)</f>
        <v>0.14000000000000001</v>
      </c>
      <c r="H582" s="354"/>
    </row>
    <row r="583" spans="1:9">
      <c r="A583" s="355"/>
      <c r="B583" s="356"/>
      <c r="C583" s="357"/>
      <c r="D583" s="358"/>
      <c r="E583" s="355"/>
      <c r="F583" s="356"/>
      <c r="G583" s="356"/>
      <c r="H583" s="356"/>
      <c r="I583" s="355"/>
    </row>
    <row r="585" spans="1:9">
      <c r="A585" s="130" t="s">
        <v>542</v>
      </c>
    </row>
    <row r="586" spans="1:9">
      <c r="A586" s="130" t="s">
        <v>543</v>
      </c>
      <c r="B586" s="359" t="s">
        <v>1118</v>
      </c>
      <c r="C586" s="360"/>
    </row>
    <row r="587" spans="1:9" ht="22.5">
      <c r="A587" s="130" t="s">
        <v>78</v>
      </c>
      <c r="B587" s="667" t="s">
        <v>1117</v>
      </c>
      <c r="C587" s="150" t="s">
        <v>345</v>
      </c>
      <c r="E587" s="338" t="s">
        <v>2</v>
      </c>
      <c r="F587" s="338"/>
      <c r="G587" s="338"/>
    </row>
    <row r="588" spans="1:9" ht="22.5">
      <c r="A588" s="341" t="s">
        <v>30</v>
      </c>
      <c r="B588" s="342" t="s">
        <v>19</v>
      </c>
      <c r="C588" s="367"/>
      <c r="D588" s="343" t="s">
        <v>79</v>
      </c>
      <c r="E588" s="652" t="s">
        <v>83</v>
      </c>
      <c r="F588" s="345" t="s">
        <v>84</v>
      </c>
      <c r="G588" s="346" t="s">
        <v>85</v>
      </c>
    </row>
    <row r="589" spans="1:9" ht="15" customHeight="1">
      <c r="A589" s="654">
        <v>6110</v>
      </c>
      <c r="B589" s="362" t="s">
        <v>1119</v>
      </c>
      <c r="C589" s="363" t="s">
        <v>102</v>
      </c>
      <c r="D589" s="343" t="s">
        <v>345</v>
      </c>
      <c r="E589" s="364">
        <v>9.2999999999999992E-3</v>
      </c>
      <c r="F589" s="365">
        <f>14.68</f>
        <v>14.68</v>
      </c>
      <c r="G589" s="346">
        <f>TRUNC(E589*F589,2)</f>
        <v>0.13</v>
      </c>
    </row>
    <row r="590" spans="1:9" ht="15" customHeight="1">
      <c r="D590" s="349"/>
      <c r="E590" s="350"/>
      <c r="F590" s="351" t="s">
        <v>92</v>
      </c>
      <c r="G590" s="346">
        <f>G589</f>
        <v>0.13</v>
      </c>
    </row>
    <row r="591" spans="1:9" ht="15" customHeight="1">
      <c r="D591" s="349"/>
      <c r="E591" s="350"/>
      <c r="F591" s="351" t="s">
        <v>94</v>
      </c>
      <c r="G591" s="346"/>
    </row>
    <row r="592" spans="1:9" ht="15" customHeight="1">
      <c r="A592" s="352"/>
      <c r="D592" s="349"/>
      <c r="E592" s="350"/>
      <c r="F592" s="351" t="s">
        <v>95</v>
      </c>
      <c r="G592" s="353">
        <f>SUM(G590:G591)</f>
        <v>0.13</v>
      </c>
      <c r="H592" s="354"/>
    </row>
    <row r="593" spans="1:9">
      <c r="A593" s="355"/>
      <c r="B593" s="356"/>
      <c r="C593" s="357"/>
      <c r="D593" s="358"/>
      <c r="E593" s="355"/>
      <c r="F593" s="356"/>
      <c r="G593" s="356"/>
      <c r="H593" s="356"/>
    </row>
    <row r="595" spans="1:9">
      <c r="A595" s="130" t="s">
        <v>542</v>
      </c>
    </row>
    <row r="596" spans="1:9">
      <c r="A596" s="130" t="s">
        <v>543</v>
      </c>
      <c r="B596" s="148" t="s">
        <v>620</v>
      </c>
      <c r="C596" s="339"/>
    </row>
    <row r="597" spans="1:9" ht="38.25" customHeight="1">
      <c r="A597" s="130" t="s">
        <v>78</v>
      </c>
      <c r="B597" s="1356" t="s">
        <v>621</v>
      </c>
      <c r="C597" s="1356"/>
      <c r="D597" s="1356"/>
      <c r="E597" s="150" t="s">
        <v>622</v>
      </c>
      <c r="F597" s="338"/>
      <c r="G597" s="338"/>
    </row>
    <row r="598" spans="1:9" ht="22.5">
      <c r="A598" s="341" t="s">
        <v>30</v>
      </c>
      <c r="B598" s="342" t="s">
        <v>19</v>
      </c>
      <c r="C598" s="343" t="s">
        <v>82</v>
      </c>
      <c r="D598" s="343" t="s">
        <v>79</v>
      </c>
      <c r="E598" s="344" t="s">
        <v>83</v>
      </c>
      <c r="F598" s="345" t="s">
        <v>84</v>
      </c>
      <c r="G598" s="346" t="s">
        <v>85</v>
      </c>
    </row>
    <row r="599" spans="1:9" ht="15" customHeight="1">
      <c r="A599" s="1308">
        <v>88281</v>
      </c>
      <c r="B599" s="1310" t="s">
        <v>623</v>
      </c>
      <c r="C599" s="346" t="s">
        <v>102</v>
      </c>
      <c r="D599" s="1457" t="s">
        <v>345</v>
      </c>
      <c r="E599" s="1461">
        <v>1</v>
      </c>
      <c r="F599" s="348">
        <f>G134</f>
        <v>11.42</v>
      </c>
      <c r="G599" s="346">
        <f t="shared" ref="G599:G603" si="26">TRUNC(E599*F599,2)</f>
        <v>11.42</v>
      </c>
    </row>
    <row r="600" spans="1:9" ht="15" customHeight="1">
      <c r="A600" s="1380"/>
      <c r="B600" s="1311"/>
      <c r="C600" s="346" t="s">
        <v>89</v>
      </c>
      <c r="D600" s="1458"/>
      <c r="E600" s="1462"/>
      <c r="F600" s="348">
        <f>G135</f>
        <v>3.14</v>
      </c>
      <c r="G600" s="346">
        <f>TRUNC(E599*F600,2)</f>
        <v>3.14</v>
      </c>
    </row>
    <row r="601" spans="1:9" ht="48.75" customHeight="1">
      <c r="A601" s="341" t="s">
        <v>624</v>
      </c>
      <c r="B601" s="347" t="s">
        <v>625</v>
      </c>
      <c r="C601" s="344" t="s">
        <v>626</v>
      </c>
      <c r="D601" s="343" t="s">
        <v>345</v>
      </c>
      <c r="E601" s="368">
        <v>1</v>
      </c>
      <c r="F601" s="344">
        <f>G618</f>
        <v>11.15</v>
      </c>
      <c r="G601" s="369">
        <f t="shared" si="26"/>
        <v>11.15</v>
      </c>
    </row>
    <row r="602" spans="1:9" ht="53.25" customHeight="1">
      <c r="A602" s="341" t="s">
        <v>627</v>
      </c>
      <c r="B602" s="347" t="s">
        <v>628</v>
      </c>
      <c r="C602" s="344" t="s">
        <v>626</v>
      </c>
      <c r="D602" s="343" t="s">
        <v>345</v>
      </c>
      <c r="E602" s="368">
        <v>1</v>
      </c>
      <c r="F602" s="348">
        <f>G629</f>
        <v>3.9</v>
      </c>
      <c r="G602" s="369">
        <f t="shared" si="26"/>
        <v>3.9</v>
      </c>
    </row>
    <row r="603" spans="1:9" ht="51.75" customHeight="1">
      <c r="A603" s="341" t="s">
        <v>629</v>
      </c>
      <c r="B603" s="347" t="s">
        <v>630</v>
      </c>
      <c r="C603" s="344" t="s">
        <v>626</v>
      </c>
      <c r="D603" s="343" t="s">
        <v>345</v>
      </c>
      <c r="E603" s="368">
        <v>1</v>
      </c>
      <c r="F603" s="348">
        <f>G640</f>
        <v>0.79</v>
      </c>
      <c r="G603" s="369">
        <f t="shared" si="26"/>
        <v>0.79</v>
      </c>
    </row>
    <row r="604" spans="1:9" ht="14.1" customHeight="1">
      <c r="D604" s="349"/>
      <c r="E604" s="350"/>
      <c r="F604" s="351" t="s">
        <v>92</v>
      </c>
      <c r="G604" s="346">
        <f>G599</f>
        <v>11.42</v>
      </c>
    </row>
    <row r="605" spans="1:9" ht="14.1" customHeight="1">
      <c r="D605" s="349"/>
      <c r="E605" s="350"/>
      <c r="F605" s="351" t="s">
        <v>94</v>
      </c>
      <c r="G605" s="346">
        <f>SUM(G600:G603)</f>
        <v>18.98</v>
      </c>
    </row>
    <row r="606" spans="1:9" ht="14.1" customHeight="1">
      <c r="A606" s="352"/>
      <c r="D606" s="349"/>
      <c r="E606" s="350"/>
      <c r="F606" s="351" t="s">
        <v>95</v>
      </c>
      <c r="G606" s="370">
        <f>SUM(G604:G605)</f>
        <v>30.4</v>
      </c>
      <c r="H606" s="354"/>
    </row>
    <row r="607" spans="1:9">
      <c r="A607" s="355"/>
      <c r="B607" s="356"/>
      <c r="C607" s="357"/>
      <c r="D607" s="358"/>
      <c r="E607" s="355"/>
      <c r="F607" s="356"/>
      <c r="G607" s="356"/>
      <c r="H607" s="356"/>
      <c r="I607" s="355"/>
    </row>
    <row r="610" spans="1:9">
      <c r="A610" s="130" t="s">
        <v>542</v>
      </c>
    </row>
    <row r="611" spans="1:9">
      <c r="A611" s="130" t="s">
        <v>543</v>
      </c>
      <c r="B611" s="148" t="s">
        <v>631</v>
      </c>
      <c r="C611" s="339"/>
    </row>
    <row r="612" spans="1:9" ht="39" customHeight="1">
      <c r="A612" s="130" t="s">
        <v>78</v>
      </c>
      <c r="B612" s="1356" t="s">
        <v>632</v>
      </c>
      <c r="C612" s="1356"/>
      <c r="D612" s="1356"/>
      <c r="E612" s="150" t="s">
        <v>622</v>
      </c>
      <c r="F612" s="338"/>
      <c r="G612" s="338"/>
    </row>
    <row r="613" spans="1:9" ht="22.5">
      <c r="A613" s="341" t="s">
        <v>30</v>
      </c>
      <c r="B613" s="342" t="s">
        <v>19</v>
      </c>
      <c r="C613" s="343" t="s">
        <v>82</v>
      </c>
      <c r="D613" s="343" t="s">
        <v>79</v>
      </c>
      <c r="E613" s="344" t="s">
        <v>83</v>
      </c>
      <c r="F613" s="345" t="s">
        <v>84</v>
      </c>
      <c r="G613" s="346" t="s">
        <v>85</v>
      </c>
    </row>
    <row r="614" spans="1:9" ht="28.5" customHeight="1">
      <c r="A614" s="341" t="s">
        <v>633</v>
      </c>
      <c r="B614" s="347" t="s">
        <v>634</v>
      </c>
      <c r="C614" s="344" t="s">
        <v>626</v>
      </c>
      <c r="D614" s="343" t="s">
        <v>79</v>
      </c>
      <c r="E614" s="371">
        <v>4.0000000000000003E-5</v>
      </c>
      <c r="F614" s="372">
        <v>27342.65</v>
      </c>
      <c r="G614" s="369">
        <f t="shared" ref="G614:G615" si="27">TRUNC(E614*F614,2)</f>
        <v>1.0900000000000001</v>
      </c>
    </row>
    <row r="615" spans="1:9" ht="47.25" customHeight="1">
      <c r="A615" s="341" t="s">
        <v>635</v>
      </c>
      <c r="B615" s="347" t="s">
        <v>636</v>
      </c>
      <c r="C615" s="344" t="s">
        <v>626</v>
      </c>
      <c r="D615" s="343" t="s">
        <v>79</v>
      </c>
      <c r="E615" s="371">
        <v>4.0000000000000003E-5</v>
      </c>
      <c r="F615" s="372" t="s">
        <v>637</v>
      </c>
      <c r="G615" s="369">
        <f t="shared" si="27"/>
        <v>10.06</v>
      </c>
    </row>
    <row r="616" spans="1:9" ht="14.1" customHeight="1">
      <c r="D616" s="349"/>
      <c r="E616" s="350"/>
      <c r="F616" s="351" t="s">
        <v>92</v>
      </c>
      <c r="G616" s="346"/>
    </row>
    <row r="617" spans="1:9" ht="14.1" customHeight="1">
      <c r="D617" s="349"/>
      <c r="E617" s="350"/>
      <c r="F617" s="351" t="s">
        <v>94</v>
      </c>
      <c r="G617" s="369">
        <f>SUM(G614:G615)</f>
        <v>11.15</v>
      </c>
    </row>
    <row r="618" spans="1:9" ht="14.1" customHeight="1">
      <c r="D618" s="349"/>
      <c r="E618" s="350"/>
      <c r="F618" s="351" t="s">
        <v>95</v>
      </c>
      <c r="G618" s="353">
        <f>SUM(G616:G617)</f>
        <v>11.15</v>
      </c>
    </row>
    <row r="619" spans="1:9">
      <c r="A619" s="356"/>
      <c r="B619" s="356"/>
      <c r="C619" s="356"/>
      <c r="D619" s="356"/>
      <c r="E619" s="356"/>
      <c r="F619" s="356"/>
      <c r="G619" s="356"/>
      <c r="H619" s="356"/>
      <c r="I619" s="356"/>
    </row>
    <row r="621" spans="1:9">
      <c r="A621" s="130" t="s">
        <v>542</v>
      </c>
    </row>
    <row r="622" spans="1:9">
      <c r="A622" s="130" t="s">
        <v>543</v>
      </c>
      <c r="B622" s="148" t="s">
        <v>638</v>
      </c>
      <c r="C622" s="339"/>
    </row>
    <row r="623" spans="1:9" ht="41.25" customHeight="1">
      <c r="A623" s="130" t="s">
        <v>78</v>
      </c>
      <c r="B623" s="1356" t="s">
        <v>628</v>
      </c>
      <c r="C623" s="1356"/>
      <c r="D623" s="1356"/>
      <c r="E623" s="150" t="s">
        <v>622</v>
      </c>
      <c r="F623" s="338"/>
      <c r="G623" s="338"/>
    </row>
    <row r="624" spans="1:9" ht="22.5">
      <c r="A624" s="341" t="s">
        <v>30</v>
      </c>
      <c r="B624" s="342" t="s">
        <v>19</v>
      </c>
      <c r="C624" s="343" t="s">
        <v>82</v>
      </c>
      <c r="D624" s="343" t="s">
        <v>79</v>
      </c>
      <c r="E624" s="344" t="s">
        <v>83</v>
      </c>
      <c r="F624" s="345" t="s">
        <v>84</v>
      </c>
      <c r="G624" s="346" t="s">
        <v>85</v>
      </c>
    </row>
    <row r="625" spans="1:9" ht="22.5">
      <c r="A625" s="341" t="s">
        <v>633</v>
      </c>
      <c r="B625" s="347" t="s">
        <v>634</v>
      </c>
      <c r="C625" s="344" t="s">
        <v>626</v>
      </c>
      <c r="D625" s="343" t="s">
        <v>79</v>
      </c>
      <c r="E625" s="373">
        <v>1.4E-5</v>
      </c>
      <c r="F625" s="372">
        <v>27342.65</v>
      </c>
      <c r="G625" s="369">
        <f t="shared" ref="G625:G626" si="28">TRUNC(E625*F625,2)</f>
        <v>0.38</v>
      </c>
    </row>
    <row r="626" spans="1:9" ht="45">
      <c r="A626" s="341" t="s">
        <v>635</v>
      </c>
      <c r="B626" s="347" t="s">
        <v>636</v>
      </c>
      <c r="C626" s="344" t="s">
        <v>626</v>
      </c>
      <c r="D626" s="343" t="s">
        <v>79</v>
      </c>
      <c r="E626" s="373">
        <v>1.4E-5</v>
      </c>
      <c r="F626" s="372" t="s">
        <v>637</v>
      </c>
      <c r="G626" s="369">
        <f t="shared" si="28"/>
        <v>3.52</v>
      </c>
    </row>
    <row r="627" spans="1:9" ht="14.1" customHeight="1">
      <c r="D627" s="349"/>
      <c r="E627" s="350"/>
      <c r="F627" s="351" t="s">
        <v>92</v>
      </c>
      <c r="G627" s="346"/>
    </row>
    <row r="628" spans="1:9" ht="14.1" customHeight="1">
      <c r="D628" s="349"/>
      <c r="E628" s="350"/>
      <c r="F628" s="351" t="s">
        <v>94</v>
      </c>
      <c r="G628" s="369">
        <f>SUM(G625:G626)</f>
        <v>3.9</v>
      </c>
    </row>
    <row r="629" spans="1:9" ht="14.1" customHeight="1">
      <c r="D629" s="349"/>
      <c r="E629" s="350"/>
      <c r="F629" s="351" t="s">
        <v>95</v>
      </c>
      <c r="G629" s="370">
        <f>SUM(G627:G628)</f>
        <v>3.9</v>
      </c>
    </row>
    <row r="630" spans="1:9">
      <c r="A630" s="356"/>
      <c r="B630" s="356"/>
      <c r="C630" s="356"/>
      <c r="D630" s="356"/>
      <c r="E630" s="356"/>
      <c r="F630" s="356"/>
      <c r="G630" s="356"/>
      <c r="H630" s="356"/>
      <c r="I630" s="356"/>
    </row>
    <row r="632" spans="1:9">
      <c r="A632" s="130" t="s">
        <v>542</v>
      </c>
    </row>
    <row r="633" spans="1:9">
      <c r="A633" s="130" t="s">
        <v>543</v>
      </c>
      <c r="B633" s="148" t="s">
        <v>639</v>
      </c>
      <c r="C633" s="339"/>
    </row>
    <row r="634" spans="1:9" ht="39.75" customHeight="1">
      <c r="A634" s="130" t="s">
        <v>78</v>
      </c>
      <c r="B634" s="1356" t="s">
        <v>640</v>
      </c>
      <c r="C634" s="1356"/>
      <c r="D634" s="1356"/>
      <c r="E634" s="150" t="s">
        <v>622</v>
      </c>
      <c r="F634" s="338"/>
      <c r="G634" s="338"/>
    </row>
    <row r="635" spans="1:9" ht="22.5">
      <c r="A635" s="341" t="s">
        <v>30</v>
      </c>
      <c r="B635" s="342" t="s">
        <v>19</v>
      </c>
      <c r="C635" s="343" t="s">
        <v>82</v>
      </c>
      <c r="D635" s="343" t="s">
        <v>79</v>
      </c>
      <c r="E635" s="344" t="s">
        <v>83</v>
      </c>
      <c r="F635" s="345" t="s">
        <v>84</v>
      </c>
      <c r="G635" s="346" t="s">
        <v>85</v>
      </c>
    </row>
    <row r="636" spans="1:9" ht="22.5">
      <c r="A636" s="341" t="s">
        <v>633</v>
      </c>
      <c r="B636" s="347" t="s">
        <v>634</v>
      </c>
      <c r="C636" s="344" t="s">
        <v>626</v>
      </c>
      <c r="D636" s="343" t="s">
        <v>79</v>
      </c>
      <c r="E636" s="374">
        <v>2.9000000000000002E-6</v>
      </c>
      <c r="F636" s="372">
        <v>27342.65</v>
      </c>
      <c r="G636" s="369">
        <f t="shared" ref="G636:G637" si="29">TRUNC(E636*F636,2)</f>
        <v>7.0000000000000007E-2</v>
      </c>
    </row>
    <row r="637" spans="1:9" ht="45">
      <c r="A637" s="341" t="s">
        <v>635</v>
      </c>
      <c r="B637" s="347" t="s">
        <v>636</v>
      </c>
      <c r="C637" s="344" t="s">
        <v>626</v>
      </c>
      <c r="D637" s="343" t="s">
        <v>79</v>
      </c>
      <c r="E637" s="374">
        <v>2.9000000000000002E-6</v>
      </c>
      <c r="F637" s="372" t="s">
        <v>637</v>
      </c>
      <c r="G637" s="369">
        <f t="shared" si="29"/>
        <v>0.72</v>
      </c>
    </row>
    <row r="638" spans="1:9">
      <c r="D638" s="349"/>
      <c r="E638" s="350"/>
      <c r="F638" s="351" t="s">
        <v>92</v>
      </c>
      <c r="G638" s="346"/>
    </row>
    <row r="639" spans="1:9">
      <c r="D639" s="349"/>
      <c r="E639" s="350"/>
      <c r="F639" s="351" t="s">
        <v>94</v>
      </c>
      <c r="G639" s="369">
        <f>SUM(G636:G637)</f>
        <v>0.79</v>
      </c>
    </row>
    <row r="640" spans="1:9">
      <c r="D640" s="349"/>
      <c r="E640" s="350"/>
      <c r="F640" s="351" t="s">
        <v>95</v>
      </c>
      <c r="G640" s="370">
        <f>SUM(G638:G639)</f>
        <v>0.79</v>
      </c>
    </row>
    <row r="641" spans="1:9">
      <c r="A641" s="356"/>
      <c r="B641" s="356"/>
      <c r="C641" s="356"/>
      <c r="D641" s="356"/>
      <c r="E641" s="356"/>
      <c r="F641" s="356"/>
      <c r="G641" s="356"/>
      <c r="H641" s="356"/>
      <c r="I641" s="356"/>
    </row>
    <row r="643" spans="1:9">
      <c r="A643" s="130" t="s">
        <v>542</v>
      </c>
    </row>
    <row r="644" spans="1:9">
      <c r="A644" s="130" t="s">
        <v>543</v>
      </c>
      <c r="B644" s="148" t="s">
        <v>641</v>
      </c>
      <c r="C644" s="339"/>
    </row>
    <row r="645" spans="1:9" ht="27.75" customHeight="1">
      <c r="A645" s="130" t="s">
        <v>78</v>
      </c>
      <c r="B645" s="1356" t="s">
        <v>642</v>
      </c>
      <c r="C645" s="1356"/>
      <c r="D645" s="1356"/>
      <c r="E645" s="375" t="s">
        <v>643</v>
      </c>
      <c r="F645" s="338"/>
      <c r="G645" s="338"/>
    </row>
    <row r="646" spans="1:9" ht="22.5">
      <c r="A646" s="341" t="s">
        <v>30</v>
      </c>
      <c r="B646" s="342" t="s">
        <v>19</v>
      </c>
      <c r="C646" s="343" t="s">
        <v>82</v>
      </c>
      <c r="D646" s="343" t="s">
        <v>79</v>
      </c>
      <c r="E646" s="344" t="s">
        <v>83</v>
      </c>
      <c r="F646" s="345" t="s">
        <v>84</v>
      </c>
      <c r="G646" s="346" t="s">
        <v>85</v>
      </c>
    </row>
    <row r="647" spans="1:9" ht="14.1" customHeight="1">
      <c r="A647" s="1308">
        <v>88297</v>
      </c>
      <c r="B647" s="1310" t="s">
        <v>644</v>
      </c>
      <c r="C647" s="346" t="s">
        <v>102</v>
      </c>
      <c r="D647" s="1457" t="s">
        <v>345</v>
      </c>
      <c r="E647" s="1461">
        <v>1</v>
      </c>
      <c r="F647" s="348">
        <f>G669</f>
        <v>11.29</v>
      </c>
      <c r="G647" s="369">
        <f t="shared" ref="G647" si="30">TRUNC(E647*F647,2)</f>
        <v>11.29</v>
      </c>
    </row>
    <row r="648" spans="1:9" ht="14.1" customHeight="1">
      <c r="A648" s="1380"/>
      <c r="B648" s="1311"/>
      <c r="C648" s="346" t="s">
        <v>89</v>
      </c>
      <c r="D648" s="1458"/>
      <c r="E648" s="1462"/>
      <c r="F648" s="348">
        <f>G670</f>
        <v>4.12</v>
      </c>
      <c r="G648" s="369">
        <f>TRUNC(E647*F648,2)</f>
        <v>4.12</v>
      </c>
    </row>
    <row r="649" spans="1:9" ht="38.25" customHeight="1">
      <c r="A649" s="341" t="s">
        <v>645</v>
      </c>
      <c r="B649" s="347" t="s">
        <v>646</v>
      </c>
      <c r="C649" s="344" t="s">
        <v>626</v>
      </c>
      <c r="D649" s="343" t="s">
        <v>345</v>
      </c>
      <c r="E649" s="368">
        <v>1</v>
      </c>
      <c r="F649" s="344">
        <f>G745</f>
        <v>0.64</v>
      </c>
      <c r="G649" s="369">
        <f t="shared" ref="G649:G652" si="31">TRUNC(E649*F649,2)</f>
        <v>0.64</v>
      </c>
    </row>
    <row r="650" spans="1:9" ht="36" customHeight="1">
      <c r="A650" s="341" t="s">
        <v>647</v>
      </c>
      <c r="B650" s="347" t="s">
        <v>648</v>
      </c>
      <c r="C650" s="344" t="s">
        <v>626</v>
      </c>
      <c r="D650" s="343" t="s">
        <v>345</v>
      </c>
      <c r="E650" s="368">
        <v>1</v>
      </c>
      <c r="F650" s="344">
        <f>G755</f>
        <v>0.16</v>
      </c>
      <c r="G650" s="369">
        <f t="shared" si="31"/>
        <v>0.16</v>
      </c>
    </row>
    <row r="651" spans="1:9" ht="36.75" customHeight="1">
      <c r="A651" s="341" t="s">
        <v>649</v>
      </c>
      <c r="B651" s="347" t="s">
        <v>650</v>
      </c>
      <c r="C651" s="344" t="s">
        <v>626</v>
      </c>
      <c r="D651" s="343" t="s">
        <v>345</v>
      </c>
      <c r="E651" s="368">
        <v>1</v>
      </c>
      <c r="F651" s="348">
        <f>G765</f>
        <v>0.8</v>
      </c>
      <c r="G651" s="369">
        <f t="shared" si="31"/>
        <v>0.8</v>
      </c>
    </row>
    <row r="652" spans="1:9" ht="39" customHeight="1">
      <c r="A652" s="341" t="s">
        <v>651</v>
      </c>
      <c r="B652" s="347" t="s">
        <v>652</v>
      </c>
      <c r="C652" s="344" t="s">
        <v>626</v>
      </c>
      <c r="D652" s="343" t="s">
        <v>345</v>
      </c>
      <c r="E652" s="368">
        <v>1</v>
      </c>
      <c r="F652" s="372">
        <f>G775</f>
        <v>2.5099999999999998</v>
      </c>
      <c r="G652" s="369">
        <f t="shared" si="31"/>
        <v>2.5099999999999998</v>
      </c>
    </row>
    <row r="653" spans="1:9" ht="14.1" customHeight="1">
      <c r="D653" s="376"/>
      <c r="E653" s="377"/>
      <c r="F653" s="378" t="s">
        <v>92</v>
      </c>
      <c r="G653" s="379">
        <f>G647</f>
        <v>11.29</v>
      </c>
    </row>
    <row r="654" spans="1:9" ht="14.1" customHeight="1">
      <c r="A654" s="352"/>
      <c r="D654" s="349"/>
      <c r="E654" s="350"/>
      <c r="F654" s="351" t="s">
        <v>94</v>
      </c>
      <c r="G654" s="369">
        <f>SUM(G648:G652)</f>
        <v>8.23</v>
      </c>
      <c r="H654" s="334"/>
    </row>
    <row r="655" spans="1:9" ht="14.1" customHeight="1">
      <c r="A655" s="352"/>
      <c r="D655" s="147"/>
      <c r="E655" s="131"/>
      <c r="F655" s="351" t="s">
        <v>95</v>
      </c>
      <c r="G655" s="370">
        <f>SUM(G653:G654)</f>
        <v>19.52</v>
      </c>
      <c r="H655" s="354"/>
    </row>
    <row r="656" spans="1:9">
      <c r="A656" s="355"/>
      <c r="B656" s="356"/>
      <c r="C656" s="357"/>
      <c r="D656" s="358"/>
      <c r="E656" s="355"/>
      <c r="F656" s="356"/>
      <c r="G656" s="356"/>
      <c r="H656" s="356"/>
      <c r="I656" s="355"/>
    </row>
    <row r="658" spans="1:8">
      <c r="A658" s="130" t="s">
        <v>653</v>
      </c>
      <c r="C658" s="133"/>
      <c r="D658" s="130"/>
      <c r="E658" s="135"/>
      <c r="H658" s="130"/>
    </row>
    <row r="659" spans="1:8" ht="14.1" customHeight="1">
      <c r="A659" s="130" t="s">
        <v>33</v>
      </c>
      <c r="B659" s="149" t="s">
        <v>654</v>
      </c>
      <c r="C659" s="133"/>
      <c r="D659" s="130"/>
      <c r="E659" s="135"/>
      <c r="H659" s="130"/>
    </row>
    <row r="660" spans="1:8" ht="26.25" customHeight="1">
      <c r="A660" s="130" t="s">
        <v>78</v>
      </c>
      <c r="B660" s="1456" t="s">
        <v>644</v>
      </c>
      <c r="C660" s="1456"/>
      <c r="D660" s="150" t="s">
        <v>345</v>
      </c>
      <c r="H660" s="130"/>
    </row>
    <row r="661" spans="1:8" ht="22.5">
      <c r="A661" s="381" t="s">
        <v>30</v>
      </c>
      <c r="B661" s="347" t="s">
        <v>19</v>
      </c>
      <c r="C661" s="343" t="s">
        <v>82</v>
      </c>
      <c r="D661" s="343" t="s">
        <v>79</v>
      </c>
      <c r="E661" s="344" t="s">
        <v>83</v>
      </c>
      <c r="F661" s="345" t="s">
        <v>84</v>
      </c>
      <c r="G661" s="382" t="s">
        <v>85</v>
      </c>
      <c r="H661" s="130"/>
    </row>
    <row r="662" spans="1:8" ht="22.5">
      <c r="A662" s="361">
        <v>4230</v>
      </c>
      <c r="B662" s="362" t="s">
        <v>655</v>
      </c>
      <c r="C662" s="343" t="s">
        <v>102</v>
      </c>
      <c r="D662" s="383" t="s">
        <v>345</v>
      </c>
      <c r="E662" s="384">
        <v>1</v>
      </c>
      <c r="F662" s="385">
        <f>11.19</f>
        <v>11.19</v>
      </c>
      <c r="G662" s="386">
        <f>TRUNC(E662*F662,2)</f>
        <v>11.19</v>
      </c>
      <c r="H662" s="130"/>
    </row>
    <row r="663" spans="1:8" ht="22.5">
      <c r="A663" s="415" t="s">
        <v>656</v>
      </c>
      <c r="B663" s="347" t="s">
        <v>657</v>
      </c>
      <c r="C663" s="343" t="s">
        <v>658</v>
      </c>
      <c r="D663" s="343" t="s">
        <v>345</v>
      </c>
      <c r="E663" s="387">
        <v>1</v>
      </c>
      <c r="F663" s="388">
        <v>2.15</v>
      </c>
      <c r="G663" s="346">
        <f t="shared" ref="G663:G668" si="32">TRUNC(E663*F663,2)</f>
        <v>2.15</v>
      </c>
      <c r="H663" s="130"/>
    </row>
    <row r="664" spans="1:8" ht="22.5">
      <c r="A664" s="415" t="s">
        <v>659</v>
      </c>
      <c r="B664" s="347" t="s">
        <v>660</v>
      </c>
      <c r="C664" s="343" t="s">
        <v>658</v>
      </c>
      <c r="D664" s="343" t="s">
        <v>345</v>
      </c>
      <c r="E664" s="387">
        <v>1</v>
      </c>
      <c r="F664" s="388">
        <v>0.6</v>
      </c>
      <c r="G664" s="369">
        <f t="shared" si="32"/>
        <v>0.6</v>
      </c>
      <c r="H664" s="130"/>
    </row>
    <row r="665" spans="1:8" ht="22.5">
      <c r="A665" s="415" t="s">
        <v>661</v>
      </c>
      <c r="B665" s="347" t="s">
        <v>662</v>
      </c>
      <c r="C665" s="343" t="s">
        <v>658</v>
      </c>
      <c r="D665" s="343" t="s">
        <v>345</v>
      </c>
      <c r="E665" s="387">
        <v>1</v>
      </c>
      <c r="F665" s="388">
        <v>0.37</v>
      </c>
      <c r="G665" s="346">
        <f t="shared" si="32"/>
        <v>0.37</v>
      </c>
      <c r="H665" s="130"/>
    </row>
    <row r="666" spans="1:8" ht="22.5">
      <c r="A666" s="415" t="s">
        <v>663</v>
      </c>
      <c r="B666" s="347" t="s">
        <v>664</v>
      </c>
      <c r="C666" s="343" t="s">
        <v>658</v>
      </c>
      <c r="D666" s="343" t="s">
        <v>345</v>
      </c>
      <c r="E666" s="387">
        <v>1</v>
      </c>
      <c r="F666" s="388">
        <v>0.02</v>
      </c>
      <c r="G666" s="346">
        <f t="shared" si="32"/>
        <v>0.02</v>
      </c>
      <c r="H666" s="130"/>
    </row>
    <row r="667" spans="1:8" ht="14.1" customHeight="1">
      <c r="A667" s="415" t="s">
        <v>665</v>
      </c>
      <c r="B667" s="347" t="s">
        <v>584</v>
      </c>
      <c r="C667" s="343" t="s">
        <v>89</v>
      </c>
      <c r="D667" s="343" t="s">
        <v>345</v>
      </c>
      <c r="E667" s="387">
        <v>1</v>
      </c>
      <c r="F667" s="388">
        <f>'COMP AUX'!G38</f>
        <v>0.98</v>
      </c>
      <c r="G667" s="369">
        <f t="shared" si="32"/>
        <v>0.98</v>
      </c>
      <c r="H667" s="130"/>
    </row>
    <row r="668" spans="1:8" ht="33.75">
      <c r="A668" s="361">
        <v>95360</v>
      </c>
      <c r="B668" s="362" t="s">
        <v>666</v>
      </c>
      <c r="C668" s="343" t="s">
        <v>102</v>
      </c>
      <c r="D668" s="343" t="s">
        <v>345</v>
      </c>
      <c r="E668" s="387">
        <v>1</v>
      </c>
      <c r="F668" s="388">
        <f>G735</f>
        <v>0.1</v>
      </c>
      <c r="G668" s="369">
        <f t="shared" si="32"/>
        <v>0.1</v>
      </c>
      <c r="H668" s="130"/>
    </row>
    <row r="669" spans="1:8" ht="14.1" customHeight="1">
      <c r="C669" s="133"/>
      <c r="D669" s="389"/>
      <c r="E669" s="350"/>
      <c r="F669" s="351" t="s">
        <v>92</v>
      </c>
      <c r="G669" s="369">
        <f>G662+G668</f>
        <v>11.29</v>
      </c>
      <c r="H669" s="130"/>
    </row>
    <row r="670" spans="1:8" ht="14.1" customHeight="1">
      <c r="C670" s="133"/>
      <c r="D670" s="147"/>
      <c r="E670" s="350"/>
      <c r="F670" s="351" t="s">
        <v>94</v>
      </c>
      <c r="G670" s="369">
        <f>SUM(G663:G667)</f>
        <v>4.12</v>
      </c>
      <c r="H670" s="130"/>
    </row>
    <row r="671" spans="1:8" ht="14.1" customHeight="1">
      <c r="A671" s="390"/>
      <c r="B671" s="146"/>
      <c r="C671" s="133"/>
      <c r="D671" s="376"/>
      <c r="E671" s="350"/>
      <c r="F671" s="351" t="s">
        <v>95</v>
      </c>
      <c r="G671" s="353">
        <f>SUM(G669:G670)</f>
        <v>15.41</v>
      </c>
      <c r="H671" s="130"/>
    </row>
    <row r="672" spans="1:8">
      <c r="A672" s="355"/>
      <c r="B672" s="356"/>
      <c r="C672" s="358"/>
      <c r="D672" s="355"/>
      <c r="E672" s="356"/>
      <c r="F672" s="356"/>
      <c r="G672" s="356"/>
      <c r="H672" s="355"/>
    </row>
    <row r="674" spans="1:8">
      <c r="A674" s="130" t="s">
        <v>653</v>
      </c>
      <c r="C674" s="133"/>
      <c r="D674" s="130"/>
      <c r="E674" s="135"/>
      <c r="H674" s="130"/>
    </row>
    <row r="675" spans="1:8" ht="13.5" customHeight="1">
      <c r="A675" s="130" t="s">
        <v>33</v>
      </c>
      <c r="B675" s="149" t="s">
        <v>1670</v>
      </c>
      <c r="C675" s="133"/>
      <c r="D675" s="130"/>
      <c r="E675" s="135"/>
      <c r="H675" s="130"/>
    </row>
    <row r="676" spans="1:8" ht="26.25" customHeight="1">
      <c r="A676" s="130" t="s">
        <v>78</v>
      </c>
      <c r="B676" s="1356" t="s">
        <v>1668</v>
      </c>
      <c r="C676" s="1356"/>
      <c r="D676" s="375" t="s">
        <v>345</v>
      </c>
      <c r="H676" s="130"/>
    </row>
    <row r="677" spans="1:8" ht="22.5">
      <c r="A677" s="381" t="s">
        <v>30</v>
      </c>
      <c r="B677" s="873" t="s">
        <v>19</v>
      </c>
      <c r="C677" s="343" t="s">
        <v>82</v>
      </c>
      <c r="D677" s="343" t="s">
        <v>79</v>
      </c>
      <c r="E677" s="870" t="s">
        <v>83</v>
      </c>
      <c r="F677" s="345" t="s">
        <v>84</v>
      </c>
      <c r="G677" s="382" t="s">
        <v>85</v>
      </c>
      <c r="H677" s="130"/>
    </row>
    <row r="678" spans="1:8" ht="22.5">
      <c r="A678" s="869">
        <v>2701</v>
      </c>
      <c r="B678" s="362" t="s">
        <v>1671</v>
      </c>
      <c r="C678" s="343" t="s">
        <v>102</v>
      </c>
      <c r="D678" s="383" t="s">
        <v>345</v>
      </c>
      <c r="E678" s="384">
        <v>1</v>
      </c>
      <c r="F678" s="385">
        <f>11.27</f>
        <v>11.27</v>
      </c>
      <c r="G678" s="386">
        <f>TRUNC(E678*F678,2)</f>
        <v>11.27</v>
      </c>
      <c r="H678" s="130"/>
    </row>
    <row r="679" spans="1:8" ht="22.5">
      <c r="A679" s="872" t="s">
        <v>656</v>
      </c>
      <c r="B679" s="873" t="s">
        <v>657</v>
      </c>
      <c r="C679" s="343" t="s">
        <v>658</v>
      </c>
      <c r="D679" s="343" t="s">
        <v>345</v>
      </c>
      <c r="E679" s="387">
        <v>1</v>
      </c>
      <c r="F679" s="388">
        <v>2.15</v>
      </c>
      <c r="G679" s="346">
        <f t="shared" ref="G679:G685" si="33">TRUNC(E679*F679,2)</f>
        <v>2.15</v>
      </c>
      <c r="H679" s="130"/>
    </row>
    <row r="680" spans="1:8" ht="22.5">
      <c r="A680" s="872" t="s">
        <v>659</v>
      </c>
      <c r="B680" s="873" t="s">
        <v>660</v>
      </c>
      <c r="C680" s="343" t="s">
        <v>658</v>
      </c>
      <c r="D680" s="343" t="s">
        <v>345</v>
      </c>
      <c r="E680" s="387">
        <v>1</v>
      </c>
      <c r="F680" s="388">
        <v>0.6</v>
      </c>
      <c r="G680" s="369">
        <f t="shared" si="33"/>
        <v>0.6</v>
      </c>
      <c r="H680" s="130"/>
    </row>
    <row r="681" spans="1:8" ht="22.5">
      <c r="A681" s="872" t="s">
        <v>661</v>
      </c>
      <c r="B681" s="873" t="s">
        <v>662</v>
      </c>
      <c r="C681" s="343" t="s">
        <v>658</v>
      </c>
      <c r="D681" s="343" t="s">
        <v>345</v>
      </c>
      <c r="E681" s="387">
        <v>1</v>
      </c>
      <c r="F681" s="388">
        <v>0.37</v>
      </c>
      <c r="G681" s="346">
        <f t="shared" si="33"/>
        <v>0.37</v>
      </c>
      <c r="H681" s="130"/>
    </row>
    <row r="682" spans="1:8" ht="22.5">
      <c r="A682" s="872" t="s">
        <v>663</v>
      </c>
      <c r="B682" s="873" t="s">
        <v>664</v>
      </c>
      <c r="C682" s="343" t="s">
        <v>658</v>
      </c>
      <c r="D682" s="343" t="s">
        <v>345</v>
      </c>
      <c r="E682" s="387">
        <v>1</v>
      </c>
      <c r="F682" s="388">
        <v>0.02</v>
      </c>
      <c r="G682" s="346">
        <f t="shared" si="33"/>
        <v>0.02</v>
      </c>
      <c r="H682" s="130"/>
    </row>
    <row r="683" spans="1:8" ht="22.5">
      <c r="A683" s="872" t="s">
        <v>837</v>
      </c>
      <c r="B683" s="873" t="s">
        <v>545</v>
      </c>
      <c r="C683" s="343" t="s">
        <v>89</v>
      </c>
      <c r="D683" s="343" t="s">
        <v>345</v>
      </c>
      <c r="E683" s="387">
        <v>1</v>
      </c>
      <c r="F683" s="388">
        <f>G22</f>
        <v>0.44000000000000006</v>
      </c>
      <c r="G683" s="346">
        <f t="shared" si="33"/>
        <v>0.44</v>
      </c>
      <c r="H683" s="130"/>
    </row>
    <row r="684" spans="1:8" ht="14.1" customHeight="1">
      <c r="A684" s="872" t="s">
        <v>665</v>
      </c>
      <c r="B684" s="873" t="s">
        <v>584</v>
      </c>
      <c r="C684" s="343" t="s">
        <v>89</v>
      </c>
      <c r="D684" s="343" t="s">
        <v>345</v>
      </c>
      <c r="E684" s="387">
        <v>1</v>
      </c>
      <c r="F684" s="388">
        <f>'COMP AUX'!G38</f>
        <v>0.98</v>
      </c>
      <c r="G684" s="369">
        <f t="shared" si="33"/>
        <v>0.98</v>
      </c>
      <c r="H684" s="130"/>
    </row>
    <row r="685" spans="1:8" ht="33.75">
      <c r="A685" s="869">
        <v>95343</v>
      </c>
      <c r="B685" s="362" t="s">
        <v>1672</v>
      </c>
      <c r="C685" s="343" t="s">
        <v>102</v>
      </c>
      <c r="D685" s="343" t="s">
        <v>345</v>
      </c>
      <c r="E685" s="387">
        <v>1</v>
      </c>
      <c r="F685" s="388">
        <f>G725</f>
        <v>0.13</v>
      </c>
      <c r="G685" s="369">
        <f t="shared" si="33"/>
        <v>0.13</v>
      </c>
      <c r="H685" s="130"/>
    </row>
    <row r="686" spans="1:8" ht="14.1" customHeight="1">
      <c r="C686" s="133"/>
      <c r="D686" s="389"/>
      <c r="E686" s="350"/>
      <c r="F686" s="351" t="s">
        <v>92</v>
      </c>
      <c r="G686" s="369">
        <f>G678+G685</f>
        <v>11.4</v>
      </c>
      <c r="H686" s="130"/>
    </row>
    <row r="687" spans="1:8" ht="14.1" customHeight="1">
      <c r="C687" s="133"/>
      <c r="D687" s="147"/>
      <c r="E687" s="350"/>
      <c r="F687" s="351" t="s">
        <v>94</v>
      </c>
      <c r="G687" s="369">
        <f>SUM(G679:G684)</f>
        <v>4.5600000000000005</v>
      </c>
      <c r="H687" s="130"/>
    </row>
    <row r="688" spans="1:8" ht="14.1" customHeight="1">
      <c r="A688" s="390"/>
      <c r="B688" s="146"/>
      <c r="C688" s="133"/>
      <c r="D688" s="376"/>
      <c r="E688" s="350"/>
      <c r="F688" s="351" t="s">
        <v>95</v>
      </c>
      <c r="G688" s="353">
        <f>SUM(G686:G687)</f>
        <v>15.96</v>
      </c>
      <c r="H688" s="130"/>
    </row>
    <row r="689" spans="1:8">
      <c r="A689" s="355"/>
      <c r="B689" s="356"/>
      <c r="C689" s="358"/>
      <c r="D689" s="355"/>
      <c r="E689" s="356"/>
      <c r="F689" s="356"/>
      <c r="G689" s="356"/>
      <c r="H689" s="355"/>
    </row>
    <row r="691" spans="1:8">
      <c r="A691" s="130" t="s">
        <v>653</v>
      </c>
      <c r="C691" s="133"/>
      <c r="D691" s="130"/>
      <c r="E691" s="135"/>
      <c r="H691" s="130"/>
    </row>
    <row r="692" spans="1:8">
      <c r="A692" s="130" t="s">
        <v>33</v>
      </c>
      <c r="B692" s="149" t="s">
        <v>1941</v>
      </c>
      <c r="C692" s="133"/>
      <c r="D692" s="130"/>
      <c r="E692" s="135"/>
      <c r="H692" s="130"/>
    </row>
    <row r="693" spans="1:8" ht="22.5" customHeight="1">
      <c r="A693" s="130" t="s">
        <v>78</v>
      </c>
      <c r="B693" s="1356" t="s">
        <v>386</v>
      </c>
      <c r="C693" s="1356"/>
      <c r="D693" s="375" t="s">
        <v>345</v>
      </c>
      <c r="H693" s="130"/>
    </row>
    <row r="694" spans="1:8" ht="22.5">
      <c r="A694" s="381" t="s">
        <v>30</v>
      </c>
      <c r="B694" s="934" t="s">
        <v>19</v>
      </c>
      <c r="C694" s="343" t="s">
        <v>82</v>
      </c>
      <c r="D694" s="343" t="s">
        <v>79</v>
      </c>
      <c r="E694" s="936" t="s">
        <v>83</v>
      </c>
      <c r="F694" s="345" t="s">
        <v>84</v>
      </c>
      <c r="G694" s="382" t="s">
        <v>85</v>
      </c>
      <c r="H694" s="130"/>
    </row>
    <row r="695" spans="1:8" ht="14.1" customHeight="1">
      <c r="A695" s="944" t="s">
        <v>1942</v>
      </c>
      <c r="B695" s="362" t="s">
        <v>1943</v>
      </c>
      <c r="C695" s="343" t="s">
        <v>102</v>
      </c>
      <c r="D695" s="383" t="s">
        <v>345</v>
      </c>
      <c r="E695" s="384">
        <v>1</v>
      </c>
      <c r="F695" s="385">
        <v>10.4</v>
      </c>
      <c r="G695" s="386">
        <f>TRUNC(E695*F695,2)</f>
        <v>10.4</v>
      </c>
      <c r="H695" s="130"/>
    </row>
    <row r="696" spans="1:8" ht="22.5">
      <c r="A696" s="933" t="s">
        <v>656</v>
      </c>
      <c r="B696" s="934" t="s">
        <v>657</v>
      </c>
      <c r="C696" s="343" t="s">
        <v>658</v>
      </c>
      <c r="D696" s="343" t="s">
        <v>345</v>
      </c>
      <c r="E696" s="387">
        <v>1</v>
      </c>
      <c r="F696" s="388">
        <v>2.15</v>
      </c>
      <c r="G696" s="346">
        <f t="shared" ref="G696:G702" si="34">TRUNC(E696*F696,2)</f>
        <v>2.15</v>
      </c>
      <c r="H696" s="130"/>
    </row>
    <row r="697" spans="1:8" ht="22.5">
      <c r="A697" s="933" t="s">
        <v>659</v>
      </c>
      <c r="B697" s="934" t="s">
        <v>660</v>
      </c>
      <c r="C697" s="343" t="s">
        <v>658</v>
      </c>
      <c r="D697" s="343" t="s">
        <v>345</v>
      </c>
      <c r="E697" s="387">
        <v>1</v>
      </c>
      <c r="F697" s="388">
        <v>0.6</v>
      </c>
      <c r="G697" s="369">
        <f t="shared" si="34"/>
        <v>0.6</v>
      </c>
      <c r="H697" s="130"/>
    </row>
    <row r="698" spans="1:8" ht="22.5">
      <c r="A698" s="933" t="s">
        <v>661</v>
      </c>
      <c r="B698" s="934" t="s">
        <v>662</v>
      </c>
      <c r="C698" s="343" t="s">
        <v>658</v>
      </c>
      <c r="D698" s="343" t="s">
        <v>345</v>
      </c>
      <c r="E698" s="387">
        <v>1</v>
      </c>
      <c r="F698" s="388">
        <v>0.37</v>
      </c>
      <c r="G698" s="346">
        <f t="shared" si="34"/>
        <v>0.37</v>
      </c>
      <c r="H698" s="130"/>
    </row>
    <row r="699" spans="1:8" ht="22.5">
      <c r="A699" s="933" t="s">
        <v>663</v>
      </c>
      <c r="B699" s="934" t="s">
        <v>664</v>
      </c>
      <c r="C699" s="343" t="s">
        <v>658</v>
      </c>
      <c r="D699" s="343" t="s">
        <v>345</v>
      </c>
      <c r="E699" s="387">
        <v>1</v>
      </c>
      <c r="F699" s="388">
        <v>0.02</v>
      </c>
      <c r="G699" s="346">
        <f t="shared" si="34"/>
        <v>0.02</v>
      </c>
      <c r="H699" s="130"/>
    </row>
    <row r="700" spans="1:8" ht="22.5">
      <c r="A700" s="933" t="s">
        <v>837</v>
      </c>
      <c r="B700" s="934" t="s">
        <v>545</v>
      </c>
      <c r="C700" s="343" t="s">
        <v>89</v>
      </c>
      <c r="D700" s="343" t="s">
        <v>345</v>
      </c>
      <c r="E700" s="387">
        <v>1</v>
      </c>
      <c r="F700" s="388">
        <f>G22</f>
        <v>0.44000000000000006</v>
      </c>
      <c r="G700" s="346">
        <f t="shared" si="34"/>
        <v>0.44</v>
      </c>
      <c r="H700" s="130"/>
    </row>
    <row r="701" spans="1:8" ht="14.1" customHeight="1">
      <c r="A701" s="933" t="s">
        <v>665</v>
      </c>
      <c r="B701" s="934" t="s">
        <v>584</v>
      </c>
      <c r="C701" s="343" t="s">
        <v>89</v>
      </c>
      <c r="D701" s="343" t="s">
        <v>345</v>
      </c>
      <c r="E701" s="387">
        <v>1</v>
      </c>
      <c r="F701" s="388">
        <f>'COMP AUX'!G38</f>
        <v>0.98</v>
      </c>
      <c r="G701" s="369">
        <f t="shared" si="34"/>
        <v>0.98</v>
      </c>
      <c r="H701" s="130"/>
    </row>
    <row r="702" spans="1:8" ht="33.75">
      <c r="A702" s="944">
        <v>95344</v>
      </c>
      <c r="B702" s="362" t="s">
        <v>1944</v>
      </c>
      <c r="C702" s="343" t="s">
        <v>102</v>
      </c>
      <c r="D702" s="343" t="s">
        <v>345</v>
      </c>
      <c r="E702" s="387">
        <v>1</v>
      </c>
      <c r="F702" s="388">
        <f>G715</f>
        <v>0.09</v>
      </c>
      <c r="G702" s="369">
        <f t="shared" si="34"/>
        <v>0.09</v>
      </c>
      <c r="H702" s="130"/>
    </row>
    <row r="703" spans="1:8" ht="14.1" customHeight="1">
      <c r="C703" s="133"/>
      <c r="D703" s="389"/>
      <c r="E703" s="350"/>
      <c r="F703" s="351" t="s">
        <v>92</v>
      </c>
      <c r="G703" s="369">
        <f>G695+G702</f>
        <v>10.49</v>
      </c>
      <c r="H703" s="130"/>
    </row>
    <row r="704" spans="1:8" ht="14.1" customHeight="1">
      <c r="C704" s="133"/>
      <c r="D704" s="147"/>
      <c r="E704" s="350"/>
      <c r="F704" s="351" t="s">
        <v>94</v>
      </c>
      <c r="G704" s="369">
        <f>SUM(G696:G701)</f>
        <v>4.5600000000000005</v>
      </c>
      <c r="H704" s="130"/>
    </row>
    <row r="705" spans="1:8" ht="14.1" customHeight="1">
      <c r="A705" s="390"/>
      <c r="B705" s="146"/>
      <c r="C705" s="133"/>
      <c r="D705" s="376"/>
      <c r="E705" s="350"/>
      <c r="F705" s="351" t="s">
        <v>95</v>
      </c>
      <c r="G705" s="370">
        <f>SUM(G703:G704)</f>
        <v>15.05</v>
      </c>
      <c r="H705" s="130"/>
    </row>
    <row r="706" spans="1:8">
      <c r="A706" s="355"/>
      <c r="B706" s="356"/>
      <c r="C706" s="358"/>
      <c r="D706" s="355"/>
      <c r="E706" s="356"/>
      <c r="F706" s="356"/>
      <c r="G706" s="356"/>
      <c r="H706" s="355"/>
    </row>
    <row r="708" spans="1:8">
      <c r="A708" s="130" t="s">
        <v>542</v>
      </c>
    </row>
    <row r="709" spans="1:8">
      <c r="A709" s="130" t="s">
        <v>543</v>
      </c>
      <c r="B709" s="359" t="s">
        <v>1945</v>
      </c>
      <c r="C709" s="360"/>
    </row>
    <row r="710" spans="1:8" ht="24.75" customHeight="1">
      <c r="A710" s="130" t="s">
        <v>78</v>
      </c>
      <c r="B710" s="1356" t="s">
        <v>1944</v>
      </c>
      <c r="C710" s="1356"/>
      <c r="D710" s="150" t="s">
        <v>345</v>
      </c>
      <c r="E710" s="338" t="s">
        <v>2</v>
      </c>
      <c r="F710" s="338"/>
      <c r="G710" s="338"/>
    </row>
    <row r="711" spans="1:8" ht="22.5">
      <c r="A711" s="341" t="s">
        <v>30</v>
      </c>
      <c r="B711" s="342" t="s">
        <v>19</v>
      </c>
      <c r="C711" s="343" t="s">
        <v>82</v>
      </c>
      <c r="D711" s="343" t="s">
        <v>79</v>
      </c>
      <c r="E711" s="936" t="s">
        <v>83</v>
      </c>
      <c r="F711" s="345" t="s">
        <v>84</v>
      </c>
      <c r="G711" s="346" t="s">
        <v>85</v>
      </c>
    </row>
    <row r="712" spans="1:8">
      <c r="A712" s="944" t="s">
        <v>1942</v>
      </c>
      <c r="B712" s="362" t="s">
        <v>1943</v>
      </c>
      <c r="C712" s="363" t="s">
        <v>102</v>
      </c>
      <c r="D712" s="343" t="s">
        <v>345</v>
      </c>
      <c r="E712" s="364">
        <v>9.2999999999999992E-3</v>
      </c>
      <c r="F712" s="385">
        <v>10.4</v>
      </c>
      <c r="G712" s="346">
        <f>TRUNC(E712*F712,2)</f>
        <v>0.09</v>
      </c>
    </row>
    <row r="713" spans="1:8">
      <c r="D713" s="349"/>
      <c r="E713" s="350"/>
      <c r="F713" s="351" t="s">
        <v>92</v>
      </c>
      <c r="G713" s="346">
        <f>G712</f>
        <v>0.09</v>
      </c>
    </row>
    <row r="714" spans="1:8">
      <c r="D714" s="349"/>
      <c r="E714" s="350"/>
      <c r="F714" s="351" t="s">
        <v>94</v>
      </c>
      <c r="G714" s="346"/>
    </row>
    <row r="715" spans="1:8">
      <c r="A715" s="352"/>
      <c r="D715" s="349"/>
      <c r="E715" s="350"/>
      <c r="F715" s="351" t="s">
        <v>95</v>
      </c>
      <c r="G715" s="353">
        <f>SUM(G713:G714)</f>
        <v>0.09</v>
      </c>
      <c r="H715" s="354"/>
    </row>
    <row r="716" spans="1:8">
      <c r="A716" s="355"/>
      <c r="B716" s="356"/>
      <c r="C716" s="357"/>
      <c r="D716" s="358"/>
      <c r="E716" s="355"/>
      <c r="F716" s="356"/>
      <c r="G716" s="356"/>
      <c r="H716" s="356"/>
    </row>
    <row r="718" spans="1:8">
      <c r="A718" s="130" t="s">
        <v>542</v>
      </c>
    </row>
    <row r="719" spans="1:8">
      <c r="A719" s="130" t="s">
        <v>543</v>
      </c>
      <c r="B719" s="359" t="s">
        <v>1673</v>
      </c>
      <c r="C719" s="360"/>
    </row>
    <row r="720" spans="1:8" ht="30" customHeight="1">
      <c r="A720" s="130" t="s">
        <v>78</v>
      </c>
      <c r="B720" s="1356" t="s">
        <v>1672</v>
      </c>
      <c r="C720" s="1356"/>
      <c r="D720" s="150" t="s">
        <v>345</v>
      </c>
      <c r="E720" s="338" t="s">
        <v>2</v>
      </c>
      <c r="F720" s="338"/>
      <c r="G720" s="338"/>
    </row>
    <row r="721" spans="1:9" ht="22.5">
      <c r="A721" s="341" t="s">
        <v>30</v>
      </c>
      <c r="B721" s="342" t="s">
        <v>19</v>
      </c>
      <c r="C721" s="343" t="s">
        <v>82</v>
      </c>
      <c r="D721" s="343" t="s">
        <v>79</v>
      </c>
      <c r="E721" s="870" t="s">
        <v>83</v>
      </c>
      <c r="F721" s="345" t="s">
        <v>84</v>
      </c>
      <c r="G721" s="346" t="s">
        <v>85</v>
      </c>
    </row>
    <row r="722" spans="1:9" ht="14.1" customHeight="1">
      <c r="A722" s="869">
        <v>2701</v>
      </c>
      <c r="B722" s="362" t="s">
        <v>1671</v>
      </c>
      <c r="C722" s="363" t="s">
        <v>102</v>
      </c>
      <c r="D722" s="343" t="s">
        <v>345</v>
      </c>
      <c r="E722" s="364">
        <v>1.1900000000000001E-2</v>
      </c>
      <c r="F722" s="385">
        <f>11.27</f>
        <v>11.27</v>
      </c>
      <c r="G722" s="346">
        <f>TRUNC(E722*F722,2)</f>
        <v>0.13</v>
      </c>
    </row>
    <row r="723" spans="1:9" ht="14.1" customHeight="1">
      <c r="D723" s="349"/>
      <c r="E723" s="350"/>
      <c r="F723" s="351" t="s">
        <v>92</v>
      </c>
      <c r="G723" s="346">
        <f>G722</f>
        <v>0.13</v>
      </c>
    </row>
    <row r="724" spans="1:9" ht="14.1" customHeight="1">
      <c r="D724" s="349"/>
      <c r="E724" s="350"/>
      <c r="F724" s="351" t="s">
        <v>94</v>
      </c>
      <c r="G724" s="346"/>
    </row>
    <row r="725" spans="1:9" ht="14.1" customHeight="1">
      <c r="A725" s="352"/>
      <c r="D725" s="349"/>
      <c r="E725" s="350"/>
      <c r="F725" s="351" t="s">
        <v>95</v>
      </c>
      <c r="G725" s="353">
        <f>SUM(G723:G724)</f>
        <v>0.13</v>
      </c>
      <c r="H725" s="354"/>
    </row>
    <row r="726" spans="1:9">
      <c r="A726" s="355"/>
      <c r="B726" s="356"/>
      <c r="C726" s="357"/>
      <c r="D726" s="358"/>
      <c r="E726" s="355"/>
      <c r="F726" s="356"/>
      <c r="G726" s="356"/>
      <c r="H726" s="356"/>
    </row>
    <row r="728" spans="1:9">
      <c r="A728" s="130" t="s">
        <v>542</v>
      </c>
    </row>
    <row r="729" spans="1:9">
      <c r="A729" s="130" t="s">
        <v>543</v>
      </c>
      <c r="B729" s="359" t="s">
        <v>667</v>
      </c>
      <c r="C729" s="360"/>
    </row>
    <row r="730" spans="1:9" ht="28.5" customHeight="1">
      <c r="A730" s="130" t="s">
        <v>78</v>
      </c>
      <c r="B730" s="1356" t="s">
        <v>666</v>
      </c>
      <c r="C730" s="1356"/>
      <c r="D730" s="150" t="s">
        <v>345</v>
      </c>
      <c r="E730" s="338" t="s">
        <v>2</v>
      </c>
      <c r="F730" s="338"/>
      <c r="G730" s="338"/>
    </row>
    <row r="731" spans="1:9" ht="22.5">
      <c r="A731" s="341" t="s">
        <v>30</v>
      </c>
      <c r="B731" s="342" t="s">
        <v>19</v>
      </c>
      <c r="C731" s="343" t="s">
        <v>82</v>
      </c>
      <c r="D731" s="343" t="s">
        <v>79</v>
      </c>
      <c r="E731" s="344" t="s">
        <v>83</v>
      </c>
      <c r="F731" s="345" t="s">
        <v>84</v>
      </c>
      <c r="G731" s="346" t="s">
        <v>85</v>
      </c>
    </row>
    <row r="732" spans="1:9" ht="22.5">
      <c r="A732" s="361">
        <v>4230</v>
      </c>
      <c r="B732" s="362" t="s">
        <v>655</v>
      </c>
      <c r="C732" s="363" t="s">
        <v>102</v>
      </c>
      <c r="D732" s="343" t="s">
        <v>345</v>
      </c>
      <c r="E732" s="364">
        <v>9.2999999999999992E-3</v>
      </c>
      <c r="F732" s="385">
        <f>11.19</f>
        <v>11.19</v>
      </c>
      <c r="G732" s="346">
        <f>TRUNC(E732*F732,2)</f>
        <v>0.1</v>
      </c>
    </row>
    <row r="733" spans="1:9" ht="14.1" customHeight="1">
      <c r="D733" s="349"/>
      <c r="E733" s="350"/>
      <c r="F733" s="351" t="s">
        <v>92</v>
      </c>
      <c r="G733" s="346">
        <f>G732</f>
        <v>0.1</v>
      </c>
    </row>
    <row r="734" spans="1:9" ht="14.1" customHeight="1">
      <c r="D734" s="349"/>
      <c r="E734" s="350"/>
      <c r="F734" s="351" t="s">
        <v>94</v>
      </c>
      <c r="G734" s="346"/>
    </row>
    <row r="735" spans="1:9" ht="14.1" customHeight="1">
      <c r="A735" s="352"/>
      <c r="D735" s="349"/>
      <c r="E735" s="350"/>
      <c r="F735" s="351" t="s">
        <v>95</v>
      </c>
      <c r="G735" s="353">
        <f>SUM(G733:G734)</f>
        <v>0.1</v>
      </c>
      <c r="H735" s="354"/>
    </row>
    <row r="736" spans="1:9">
      <c r="A736" s="355"/>
      <c r="B736" s="356"/>
      <c r="C736" s="357"/>
      <c r="D736" s="358"/>
      <c r="E736" s="355"/>
      <c r="F736" s="356"/>
      <c r="G736" s="356"/>
      <c r="H736" s="356"/>
      <c r="I736" s="355"/>
    </row>
    <row r="738" spans="1:9">
      <c r="A738" s="130" t="s">
        <v>542</v>
      </c>
    </row>
    <row r="739" spans="1:9">
      <c r="A739" s="130" t="s">
        <v>543</v>
      </c>
      <c r="B739" s="359" t="s">
        <v>668</v>
      </c>
      <c r="C739" s="360"/>
    </row>
    <row r="740" spans="1:9" ht="30.75" customHeight="1">
      <c r="A740" s="130" t="s">
        <v>78</v>
      </c>
      <c r="B740" s="1356" t="s">
        <v>646</v>
      </c>
      <c r="C740" s="1356"/>
      <c r="D740" s="150" t="s">
        <v>345</v>
      </c>
      <c r="E740" s="338" t="s">
        <v>2</v>
      </c>
      <c r="F740" s="338"/>
      <c r="G740" s="338"/>
    </row>
    <row r="741" spans="1:9" ht="22.5">
      <c r="A741" s="341" t="s">
        <v>30</v>
      </c>
      <c r="B741" s="342" t="s">
        <v>19</v>
      </c>
      <c r="C741" s="343" t="s">
        <v>82</v>
      </c>
      <c r="D741" s="343" t="s">
        <v>79</v>
      </c>
      <c r="E741" s="344" t="s">
        <v>83</v>
      </c>
      <c r="F741" s="345" t="s">
        <v>84</v>
      </c>
      <c r="G741" s="346" t="s">
        <v>85</v>
      </c>
    </row>
    <row r="742" spans="1:9" ht="27" customHeight="1">
      <c r="A742" s="361" t="s">
        <v>669</v>
      </c>
      <c r="B742" s="362" t="s">
        <v>670</v>
      </c>
      <c r="C742" s="363" t="s">
        <v>626</v>
      </c>
      <c r="D742" s="343" t="s">
        <v>345</v>
      </c>
      <c r="E742" s="364">
        <v>5.3300000000000001E-5</v>
      </c>
      <c r="F742" s="391">
        <v>12083.1</v>
      </c>
      <c r="G742" s="346">
        <f>TRUNC(E742*F742,2)</f>
        <v>0.64</v>
      </c>
    </row>
    <row r="743" spans="1:9" ht="14.1" customHeight="1">
      <c r="D743" s="349"/>
      <c r="E743" s="350"/>
      <c r="F743" s="351" t="s">
        <v>92</v>
      </c>
      <c r="G743" s="346"/>
    </row>
    <row r="744" spans="1:9" ht="14.1" customHeight="1">
      <c r="D744" s="349"/>
      <c r="E744" s="350"/>
      <c r="F744" s="351" t="s">
        <v>94</v>
      </c>
      <c r="G744" s="346">
        <f>G742</f>
        <v>0.64</v>
      </c>
    </row>
    <row r="745" spans="1:9" ht="14.1" customHeight="1">
      <c r="A745" s="352"/>
      <c r="D745" s="349"/>
      <c r="E745" s="350"/>
      <c r="F745" s="351" t="s">
        <v>95</v>
      </c>
      <c r="G745" s="353">
        <f>SUM(G743:G744)</f>
        <v>0.64</v>
      </c>
      <c r="H745" s="354"/>
    </row>
    <row r="746" spans="1:9">
      <c r="A746" s="355"/>
      <c r="B746" s="356"/>
      <c r="C746" s="357"/>
      <c r="D746" s="358"/>
      <c r="E746" s="355"/>
      <c r="F746" s="356"/>
      <c r="G746" s="356"/>
      <c r="H746" s="356"/>
      <c r="I746" s="355"/>
    </row>
    <row r="748" spans="1:9">
      <c r="A748" s="130" t="s">
        <v>542</v>
      </c>
    </row>
    <row r="749" spans="1:9">
      <c r="A749" s="130" t="s">
        <v>543</v>
      </c>
      <c r="B749" s="359" t="s">
        <v>671</v>
      </c>
      <c r="C749" s="360"/>
    </row>
    <row r="750" spans="1:9" ht="27" customHeight="1">
      <c r="A750" s="130" t="s">
        <v>78</v>
      </c>
      <c r="B750" s="1356" t="s">
        <v>672</v>
      </c>
      <c r="C750" s="1356"/>
      <c r="D750" s="636" t="s">
        <v>345</v>
      </c>
      <c r="E750" s="338" t="s">
        <v>2</v>
      </c>
      <c r="F750" s="338"/>
      <c r="G750" s="338"/>
    </row>
    <row r="751" spans="1:9" ht="22.5">
      <c r="A751" s="341" t="s">
        <v>30</v>
      </c>
      <c r="B751" s="342" t="s">
        <v>19</v>
      </c>
      <c r="C751" s="343" t="s">
        <v>82</v>
      </c>
      <c r="D751" s="343" t="s">
        <v>79</v>
      </c>
      <c r="E751" s="344" t="s">
        <v>83</v>
      </c>
      <c r="F751" s="345" t="s">
        <v>84</v>
      </c>
      <c r="G751" s="346" t="s">
        <v>85</v>
      </c>
    </row>
    <row r="752" spans="1:9" ht="22.5">
      <c r="A752" s="361" t="s">
        <v>669</v>
      </c>
      <c r="B752" s="362" t="s">
        <v>670</v>
      </c>
      <c r="C752" s="363" t="s">
        <v>626</v>
      </c>
      <c r="D752" s="343" t="s">
        <v>345</v>
      </c>
      <c r="E752" s="364">
        <v>1.4E-5</v>
      </c>
      <c r="F752" s="391">
        <v>12083.1</v>
      </c>
      <c r="G752" s="346">
        <f>TRUNC(E752*F752,2)</f>
        <v>0.16</v>
      </c>
    </row>
    <row r="753" spans="1:9" ht="14.1" customHeight="1">
      <c r="D753" s="349"/>
      <c r="E753" s="350"/>
      <c r="F753" s="351" t="s">
        <v>92</v>
      </c>
      <c r="G753" s="346"/>
    </row>
    <row r="754" spans="1:9" ht="14.1" customHeight="1">
      <c r="D754" s="349"/>
      <c r="E754" s="350"/>
      <c r="F754" s="351" t="s">
        <v>94</v>
      </c>
      <c r="G754" s="346">
        <f>G752</f>
        <v>0.16</v>
      </c>
    </row>
    <row r="755" spans="1:9" ht="14.1" customHeight="1">
      <c r="A755" s="352"/>
      <c r="D755" s="349"/>
      <c r="E755" s="350"/>
      <c r="F755" s="351" t="s">
        <v>95</v>
      </c>
      <c r="G755" s="353">
        <f>SUM(G753:G754)</f>
        <v>0.16</v>
      </c>
      <c r="H755" s="354"/>
    </row>
    <row r="756" spans="1:9">
      <c r="A756" s="355"/>
      <c r="B756" s="356"/>
      <c r="C756" s="357"/>
      <c r="D756" s="358"/>
      <c r="E756" s="355"/>
      <c r="F756" s="356"/>
      <c r="G756" s="356"/>
      <c r="H756" s="356"/>
      <c r="I756" s="355"/>
    </row>
    <row r="758" spans="1:9">
      <c r="A758" s="130" t="s">
        <v>542</v>
      </c>
    </row>
    <row r="759" spans="1:9">
      <c r="A759" s="130" t="s">
        <v>543</v>
      </c>
      <c r="B759" s="359" t="s">
        <v>673</v>
      </c>
      <c r="C759" s="360"/>
    </row>
    <row r="760" spans="1:9" ht="29.25" customHeight="1">
      <c r="A760" s="130" t="s">
        <v>78</v>
      </c>
      <c r="B760" s="1356" t="s">
        <v>674</v>
      </c>
      <c r="C760" s="1356"/>
      <c r="D760" s="636" t="s">
        <v>345</v>
      </c>
      <c r="E760" s="338" t="s">
        <v>2</v>
      </c>
      <c r="F760" s="338"/>
      <c r="G760" s="338"/>
    </row>
    <row r="761" spans="1:9" ht="22.5">
      <c r="A761" s="341" t="s">
        <v>30</v>
      </c>
      <c r="B761" s="342" t="s">
        <v>19</v>
      </c>
      <c r="C761" s="343" t="s">
        <v>82</v>
      </c>
      <c r="D761" s="343" t="s">
        <v>79</v>
      </c>
      <c r="E761" s="344" t="s">
        <v>83</v>
      </c>
      <c r="F761" s="345" t="s">
        <v>84</v>
      </c>
      <c r="G761" s="346" t="s">
        <v>85</v>
      </c>
    </row>
    <row r="762" spans="1:9" ht="22.5">
      <c r="A762" s="361" t="s">
        <v>669</v>
      </c>
      <c r="B762" s="362" t="s">
        <v>670</v>
      </c>
      <c r="C762" s="363" t="s">
        <v>626</v>
      </c>
      <c r="D762" s="343" t="s">
        <v>345</v>
      </c>
      <c r="E762" s="364">
        <v>6.6699999999999995E-5</v>
      </c>
      <c r="F762" s="391">
        <v>12083.1</v>
      </c>
      <c r="G762" s="369">
        <f>TRUNC(E762*F762,2)</f>
        <v>0.8</v>
      </c>
    </row>
    <row r="763" spans="1:9" ht="14.1" customHeight="1">
      <c r="D763" s="349"/>
      <c r="E763" s="350"/>
      <c r="F763" s="351" t="s">
        <v>92</v>
      </c>
      <c r="G763" s="369"/>
    </row>
    <row r="764" spans="1:9" ht="14.1" customHeight="1">
      <c r="D764" s="349"/>
      <c r="E764" s="350"/>
      <c r="F764" s="351" t="s">
        <v>94</v>
      </c>
      <c r="G764" s="369">
        <f>G762</f>
        <v>0.8</v>
      </c>
    </row>
    <row r="765" spans="1:9" ht="14.1" customHeight="1">
      <c r="A765" s="352"/>
      <c r="D765" s="349"/>
      <c r="E765" s="350"/>
      <c r="F765" s="351" t="s">
        <v>95</v>
      </c>
      <c r="G765" s="370">
        <f>SUM(G763:G764)</f>
        <v>0.8</v>
      </c>
      <c r="H765" s="354"/>
    </row>
    <row r="766" spans="1:9">
      <c r="A766" s="355"/>
      <c r="B766" s="356"/>
      <c r="C766" s="357"/>
      <c r="D766" s="358"/>
      <c r="E766" s="355"/>
      <c r="F766" s="356"/>
      <c r="G766" s="356"/>
      <c r="H766" s="356"/>
      <c r="I766" s="355"/>
    </row>
    <row r="768" spans="1:9">
      <c r="A768" s="130" t="s">
        <v>542</v>
      </c>
    </row>
    <row r="769" spans="1:9">
      <c r="A769" s="130" t="s">
        <v>543</v>
      </c>
      <c r="B769" s="359" t="s">
        <v>675</v>
      </c>
      <c r="C769" s="360"/>
    </row>
    <row r="770" spans="1:9" ht="27.75" customHeight="1">
      <c r="A770" s="130" t="s">
        <v>78</v>
      </c>
      <c r="B770" s="1356" t="s">
        <v>676</v>
      </c>
      <c r="C770" s="1356"/>
      <c r="D770" s="636" t="s">
        <v>345</v>
      </c>
      <c r="E770" s="338" t="s">
        <v>2</v>
      </c>
      <c r="F770" s="338"/>
      <c r="G770" s="338"/>
    </row>
    <row r="771" spans="1:9" ht="22.5">
      <c r="A771" s="341" t="s">
        <v>30</v>
      </c>
      <c r="B771" s="342" t="s">
        <v>19</v>
      </c>
      <c r="C771" s="343" t="s">
        <v>82</v>
      </c>
      <c r="D771" s="343" t="s">
        <v>79</v>
      </c>
      <c r="E771" s="344" t="s">
        <v>83</v>
      </c>
      <c r="F771" s="345" t="s">
        <v>84</v>
      </c>
      <c r="G771" s="346" t="s">
        <v>85</v>
      </c>
    </row>
    <row r="772" spans="1:9" ht="14.1" customHeight="1">
      <c r="A772" s="361">
        <v>4222</v>
      </c>
      <c r="B772" s="362" t="s">
        <v>677</v>
      </c>
      <c r="C772" s="363" t="s">
        <v>626</v>
      </c>
      <c r="D772" s="343" t="s">
        <v>560</v>
      </c>
      <c r="E772" s="364">
        <v>0.59</v>
      </c>
      <c r="F772" s="391">
        <v>4.2699999999999996</v>
      </c>
      <c r="G772" s="387">
        <f>TRUNC(E772*F772,2)</f>
        <v>2.5099999999999998</v>
      </c>
    </row>
    <row r="773" spans="1:9" ht="14.1" customHeight="1">
      <c r="D773" s="349"/>
      <c r="E773" s="350"/>
      <c r="F773" s="351" t="s">
        <v>92</v>
      </c>
      <c r="G773" s="387"/>
    </row>
    <row r="774" spans="1:9" ht="14.1" customHeight="1">
      <c r="D774" s="349"/>
      <c r="E774" s="350"/>
      <c r="F774" s="351" t="s">
        <v>94</v>
      </c>
      <c r="G774" s="387">
        <f>G772</f>
        <v>2.5099999999999998</v>
      </c>
    </row>
    <row r="775" spans="1:9" ht="14.1" customHeight="1">
      <c r="A775" s="352"/>
      <c r="D775" s="349"/>
      <c r="E775" s="350"/>
      <c r="F775" s="351" t="s">
        <v>95</v>
      </c>
      <c r="G775" s="392">
        <f>SUM(G773:G774)</f>
        <v>2.5099999999999998</v>
      </c>
      <c r="H775" s="354"/>
    </row>
    <row r="776" spans="1:9">
      <c r="A776" s="355"/>
      <c r="B776" s="356"/>
      <c r="C776" s="357"/>
      <c r="D776" s="358"/>
      <c r="E776" s="355"/>
      <c r="F776" s="356"/>
      <c r="G776" s="356"/>
      <c r="H776" s="356"/>
      <c r="I776" s="355"/>
    </row>
    <row r="778" spans="1:9">
      <c r="A778" s="130" t="s">
        <v>542</v>
      </c>
    </row>
    <row r="779" spans="1:9">
      <c r="A779" s="130" t="s">
        <v>543</v>
      </c>
      <c r="B779" s="148" t="s">
        <v>678</v>
      </c>
      <c r="C779" s="339"/>
    </row>
    <row r="780" spans="1:9" ht="27" customHeight="1">
      <c r="A780" s="130" t="s">
        <v>78</v>
      </c>
      <c r="B780" s="1356" t="s">
        <v>679</v>
      </c>
      <c r="C780" s="1356"/>
      <c r="D780" s="1356"/>
      <c r="E780" s="637" t="s">
        <v>643</v>
      </c>
      <c r="F780" s="338"/>
      <c r="G780" s="338"/>
    </row>
    <row r="781" spans="1:9" ht="22.5">
      <c r="A781" s="341" t="s">
        <v>30</v>
      </c>
      <c r="B781" s="342" t="s">
        <v>19</v>
      </c>
      <c r="C781" s="343" t="s">
        <v>82</v>
      </c>
      <c r="D781" s="343" t="s">
        <v>79</v>
      </c>
      <c r="E781" s="344" t="s">
        <v>83</v>
      </c>
      <c r="F781" s="345" t="s">
        <v>84</v>
      </c>
      <c r="G781" s="346" t="s">
        <v>85</v>
      </c>
    </row>
    <row r="782" spans="1:9" ht="14.1" customHeight="1">
      <c r="A782" s="1308">
        <v>88297</v>
      </c>
      <c r="B782" s="1310" t="s">
        <v>644</v>
      </c>
      <c r="C782" s="346" t="s">
        <v>102</v>
      </c>
      <c r="D782" s="1457" t="s">
        <v>345</v>
      </c>
      <c r="E782" s="1461">
        <v>1</v>
      </c>
      <c r="F782" s="348">
        <f>G669</f>
        <v>11.29</v>
      </c>
      <c r="G782" s="369">
        <f t="shared" ref="G782" si="35">TRUNC(E782*F782,2)</f>
        <v>11.29</v>
      </c>
    </row>
    <row r="783" spans="1:9" ht="14.1" customHeight="1">
      <c r="A783" s="1380"/>
      <c r="B783" s="1311"/>
      <c r="C783" s="346" t="s">
        <v>89</v>
      </c>
      <c r="D783" s="1458"/>
      <c r="E783" s="1462"/>
      <c r="F783" s="348">
        <f>G670</f>
        <v>4.12</v>
      </c>
      <c r="G783" s="369">
        <f>TRUNC(E782*F783,2)</f>
        <v>4.12</v>
      </c>
    </row>
    <row r="784" spans="1:9" ht="33.75">
      <c r="A784" s="341" t="s">
        <v>645</v>
      </c>
      <c r="B784" s="347" t="s">
        <v>646</v>
      </c>
      <c r="C784" s="344" t="s">
        <v>626</v>
      </c>
      <c r="D784" s="343" t="s">
        <v>345</v>
      </c>
      <c r="E784" s="368">
        <v>1</v>
      </c>
      <c r="F784" s="344">
        <f>G745</f>
        <v>0.64</v>
      </c>
      <c r="G784" s="369">
        <f t="shared" ref="G784:G785" si="36">TRUNC(E784*F784,2)</f>
        <v>0.64</v>
      </c>
    </row>
    <row r="785" spans="1:9" ht="33.75">
      <c r="A785" s="341" t="s">
        <v>647</v>
      </c>
      <c r="B785" s="347" t="s">
        <v>648</v>
      </c>
      <c r="C785" s="344" t="s">
        <v>626</v>
      </c>
      <c r="D785" s="343" t="s">
        <v>345</v>
      </c>
      <c r="E785" s="368">
        <v>1</v>
      </c>
      <c r="F785" s="344">
        <f>G755</f>
        <v>0.16</v>
      </c>
      <c r="G785" s="369">
        <f t="shared" si="36"/>
        <v>0.16</v>
      </c>
    </row>
    <row r="786" spans="1:9" ht="14.1" customHeight="1">
      <c r="D786" s="376"/>
      <c r="E786" s="377"/>
      <c r="F786" s="378" t="s">
        <v>92</v>
      </c>
      <c r="G786" s="379">
        <f>G782</f>
        <v>11.29</v>
      </c>
    </row>
    <row r="787" spans="1:9" ht="14.1" customHeight="1">
      <c r="A787" s="352"/>
      <c r="D787" s="349"/>
      <c r="E787" s="350"/>
      <c r="F787" s="351" t="s">
        <v>94</v>
      </c>
      <c r="G787" s="369">
        <f>SUM(G783:G785)</f>
        <v>4.92</v>
      </c>
      <c r="H787" s="334"/>
    </row>
    <row r="788" spans="1:9" ht="14.1" customHeight="1">
      <c r="A788" s="352"/>
      <c r="D788" s="147"/>
      <c r="E788" s="131"/>
      <c r="F788" s="351" t="s">
        <v>95</v>
      </c>
      <c r="G788" s="370">
        <f>SUM(G786:G787)</f>
        <v>16.21</v>
      </c>
      <c r="H788" s="354"/>
    </row>
    <row r="789" spans="1:9">
      <c r="A789" s="355"/>
      <c r="B789" s="356"/>
      <c r="C789" s="357"/>
      <c r="D789" s="358"/>
      <c r="E789" s="355"/>
      <c r="F789" s="356"/>
      <c r="G789" s="356"/>
      <c r="H789" s="356"/>
      <c r="I789" s="355"/>
    </row>
    <row r="791" spans="1:9">
      <c r="A791" s="130" t="s">
        <v>542</v>
      </c>
    </row>
    <row r="792" spans="1:9">
      <c r="A792" s="130" t="s">
        <v>543</v>
      </c>
      <c r="B792" s="148" t="s">
        <v>867</v>
      </c>
      <c r="C792" s="339"/>
    </row>
    <row r="793" spans="1:9" ht="23.25" customHeight="1">
      <c r="A793" s="130" t="s">
        <v>78</v>
      </c>
      <c r="B793" s="1356" t="s">
        <v>868</v>
      </c>
      <c r="C793" s="1356"/>
      <c r="D793" s="1356"/>
      <c r="E793" s="636" t="s">
        <v>682</v>
      </c>
      <c r="F793" s="338"/>
      <c r="G793" s="338"/>
    </row>
    <row r="794" spans="1:9" ht="22.5">
      <c r="A794" s="341" t="s">
        <v>30</v>
      </c>
      <c r="B794" s="347" t="s">
        <v>19</v>
      </c>
      <c r="C794" s="343" t="s">
        <v>82</v>
      </c>
      <c r="D794" s="343" t="s">
        <v>79</v>
      </c>
      <c r="E794" s="425" t="s">
        <v>83</v>
      </c>
      <c r="F794" s="345" t="s">
        <v>84</v>
      </c>
      <c r="G794" s="346" t="s">
        <v>85</v>
      </c>
    </row>
    <row r="795" spans="1:9" ht="22.5">
      <c r="A795" s="393" t="s">
        <v>683</v>
      </c>
      <c r="B795" s="394" t="s">
        <v>684</v>
      </c>
      <c r="C795" s="346" t="s">
        <v>89</v>
      </c>
      <c r="D795" s="395" t="s">
        <v>682</v>
      </c>
      <c r="E795" s="396">
        <v>0.85899999999999999</v>
      </c>
      <c r="F795" s="348">
        <v>56.25</v>
      </c>
      <c r="G795" s="369">
        <f t="shared" ref="G795:G798" si="37">TRUNC(E795*F795,2)</f>
        <v>48.31</v>
      </c>
    </row>
    <row r="796" spans="1:9" ht="14.1" customHeight="1">
      <c r="A796" s="393" t="s">
        <v>423</v>
      </c>
      <c r="B796" s="394" t="s">
        <v>424</v>
      </c>
      <c r="C796" s="346" t="s">
        <v>89</v>
      </c>
      <c r="D796" s="395" t="s">
        <v>685</v>
      </c>
      <c r="E796" s="399">
        <v>212.21</v>
      </c>
      <c r="F796" s="348">
        <v>0.49</v>
      </c>
      <c r="G796" s="369">
        <f t="shared" si="37"/>
        <v>103.98</v>
      </c>
    </row>
    <row r="797" spans="1:9" ht="22.5">
      <c r="A797" s="393" t="s">
        <v>686</v>
      </c>
      <c r="B797" s="394" t="s">
        <v>687</v>
      </c>
      <c r="C797" s="346" t="s">
        <v>89</v>
      </c>
      <c r="D797" s="395" t="s">
        <v>682</v>
      </c>
      <c r="E797" s="399">
        <v>0.57899999999999996</v>
      </c>
      <c r="F797" s="348">
        <v>63.77</v>
      </c>
      <c r="G797" s="369">
        <f t="shared" si="37"/>
        <v>36.92</v>
      </c>
    </row>
    <row r="798" spans="1:9" ht="14.1" customHeight="1">
      <c r="A798" s="1308" t="s">
        <v>688</v>
      </c>
      <c r="B798" s="1310" t="s">
        <v>106</v>
      </c>
      <c r="C798" s="346" t="s">
        <v>102</v>
      </c>
      <c r="D798" s="1457" t="s">
        <v>345</v>
      </c>
      <c r="E798" s="1459">
        <v>2.4500000000000002</v>
      </c>
      <c r="F798" s="348">
        <f>G104</f>
        <v>11.1</v>
      </c>
      <c r="G798" s="369">
        <f t="shared" si="37"/>
        <v>27.19</v>
      </c>
    </row>
    <row r="799" spans="1:9" ht="14.1" customHeight="1">
      <c r="A799" s="1380"/>
      <c r="B799" s="1311"/>
      <c r="C799" s="346" t="s">
        <v>89</v>
      </c>
      <c r="D799" s="1458"/>
      <c r="E799" s="1460"/>
      <c r="F799" s="348">
        <f>G105</f>
        <v>4.5600000000000005</v>
      </c>
      <c r="G799" s="369">
        <f>TRUNC(E798*F799,2)</f>
        <v>11.17</v>
      </c>
    </row>
    <row r="800" spans="1:9" ht="14.1" customHeight="1">
      <c r="A800" s="1308" t="s">
        <v>689</v>
      </c>
      <c r="B800" s="1310" t="s">
        <v>690</v>
      </c>
      <c r="C800" s="346" t="s">
        <v>102</v>
      </c>
      <c r="D800" s="1457" t="s">
        <v>345</v>
      </c>
      <c r="E800" s="1459">
        <v>1.55</v>
      </c>
      <c r="F800" s="348">
        <f>G861</f>
        <v>10.58</v>
      </c>
      <c r="G800" s="369">
        <f>TRUNC(E800*F800,2)</f>
        <v>16.39</v>
      </c>
    </row>
    <row r="801" spans="1:9" ht="14.1" customHeight="1">
      <c r="A801" s="1380"/>
      <c r="B801" s="1311"/>
      <c r="C801" s="346" t="s">
        <v>89</v>
      </c>
      <c r="D801" s="1458"/>
      <c r="E801" s="1460"/>
      <c r="F801" s="348">
        <f>G862</f>
        <v>4.12</v>
      </c>
      <c r="G801" s="369">
        <f>TRUNC(E800*F801,2)</f>
        <v>6.38</v>
      </c>
    </row>
    <row r="802" spans="1:9" ht="45">
      <c r="A802" s="393">
        <v>88830</v>
      </c>
      <c r="B802" s="394" t="s">
        <v>869</v>
      </c>
      <c r="C802" s="346" t="s">
        <v>626</v>
      </c>
      <c r="D802" s="395" t="s">
        <v>643</v>
      </c>
      <c r="E802" s="399">
        <v>0.8</v>
      </c>
      <c r="F802" s="348">
        <f>G1121</f>
        <v>1.04</v>
      </c>
      <c r="G802" s="369">
        <f t="shared" ref="G802:G803" si="38">TRUNC(E802*F802,2)</f>
        <v>0.83</v>
      </c>
    </row>
    <row r="803" spans="1:9" ht="45">
      <c r="A803" s="393">
        <v>88831</v>
      </c>
      <c r="B803" s="394" t="s">
        <v>870</v>
      </c>
      <c r="C803" s="346" t="s">
        <v>626</v>
      </c>
      <c r="D803" s="395" t="s">
        <v>622</v>
      </c>
      <c r="E803" s="399">
        <v>0.75</v>
      </c>
      <c r="F803" s="348">
        <f>G1172</f>
        <v>0.04</v>
      </c>
      <c r="G803" s="369">
        <f t="shared" si="38"/>
        <v>0.03</v>
      </c>
    </row>
    <row r="804" spans="1:9" ht="14.1" customHeight="1">
      <c r="D804" s="376"/>
      <c r="E804" s="377"/>
      <c r="F804" s="378" t="s">
        <v>92</v>
      </c>
      <c r="G804" s="379">
        <f>G798+G800</f>
        <v>43.58</v>
      </c>
    </row>
    <row r="805" spans="1:9" ht="14.1" customHeight="1">
      <c r="A805" s="352"/>
      <c r="D805" s="349"/>
      <c r="E805" s="350"/>
      <c r="F805" s="351" t="s">
        <v>94</v>
      </c>
      <c r="G805" s="369">
        <f>G795+G796+G797+G799+G801+G802+G803</f>
        <v>207.62000000000003</v>
      </c>
      <c r="H805" s="334"/>
    </row>
    <row r="806" spans="1:9" ht="14.1" customHeight="1">
      <c r="A806" s="352"/>
      <c r="D806" s="147"/>
      <c r="E806" s="131"/>
      <c r="F806" s="351" t="s">
        <v>95</v>
      </c>
      <c r="G806" s="370">
        <f>SUM(G804:G805)</f>
        <v>251.20000000000005</v>
      </c>
      <c r="H806" s="354"/>
    </row>
    <row r="807" spans="1:9">
      <c r="A807" s="355"/>
      <c r="B807" s="356"/>
      <c r="C807" s="357"/>
      <c r="D807" s="358"/>
      <c r="E807" s="355"/>
      <c r="F807" s="356"/>
      <c r="G807" s="356"/>
      <c r="H807" s="356"/>
      <c r="I807" s="355"/>
    </row>
    <row r="809" spans="1:9">
      <c r="A809" s="130" t="s">
        <v>542</v>
      </c>
    </row>
    <row r="810" spans="1:9">
      <c r="A810" s="130" t="s">
        <v>543</v>
      </c>
      <c r="B810" s="148" t="s">
        <v>1218</v>
      </c>
      <c r="C810" s="339"/>
    </row>
    <row r="811" spans="1:9" ht="27.75" customHeight="1">
      <c r="A811" s="130" t="s">
        <v>78</v>
      </c>
      <c r="B811" s="1356" t="s">
        <v>1219</v>
      </c>
      <c r="C811" s="1356"/>
      <c r="D811" s="1356"/>
      <c r="E811" s="636" t="s">
        <v>682</v>
      </c>
      <c r="F811" s="338"/>
      <c r="G811" s="338"/>
    </row>
    <row r="812" spans="1:9" ht="22.5">
      <c r="A812" s="341" t="s">
        <v>30</v>
      </c>
      <c r="B812" s="719" t="s">
        <v>19</v>
      </c>
      <c r="C812" s="343" t="s">
        <v>82</v>
      </c>
      <c r="D812" s="343" t="s">
        <v>79</v>
      </c>
      <c r="E812" s="715" t="s">
        <v>83</v>
      </c>
      <c r="F812" s="345" t="s">
        <v>84</v>
      </c>
      <c r="G812" s="346" t="s">
        <v>85</v>
      </c>
    </row>
    <row r="813" spans="1:9" ht="22.5">
      <c r="A813" s="720" t="s">
        <v>683</v>
      </c>
      <c r="B813" s="714" t="s">
        <v>684</v>
      </c>
      <c r="C813" s="346" t="s">
        <v>89</v>
      </c>
      <c r="D813" s="723" t="s">
        <v>682</v>
      </c>
      <c r="E813" s="722">
        <v>0.78500000000000003</v>
      </c>
      <c r="F813" s="348">
        <v>56.25</v>
      </c>
      <c r="G813" s="369">
        <f t="shared" ref="G813:G816" si="39">TRUNC(E813*F813,2)</f>
        <v>44.15</v>
      </c>
    </row>
    <row r="814" spans="1:9" ht="15" customHeight="1">
      <c r="A814" s="720" t="s">
        <v>423</v>
      </c>
      <c r="B814" s="714" t="s">
        <v>424</v>
      </c>
      <c r="C814" s="346" t="s">
        <v>89</v>
      </c>
      <c r="D814" s="723" t="s">
        <v>685</v>
      </c>
      <c r="E814" s="725">
        <v>322.98</v>
      </c>
      <c r="F814" s="348">
        <v>0.49</v>
      </c>
      <c r="G814" s="369">
        <f t="shared" si="39"/>
        <v>158.26</v>
      </c>
    </row>
    <row r="815" spans="1:9" ht="22.5">
      <c r="A815" s="720" t="s">
        <v>686</v>
      </c>
      <c r="B815" s="714" t="s">
        <v>687</v>
      </c>
      <c r="C815" s="346" t="s">
        <v>89</v>
      </c>
      <c r="D815" s="723" t="s">
        <v>682</v>
      </c>
      <c r="E815" s="725">
        <v>0.58699999999999997</v>
      </c>
      <c r="F815" s="348">
        <v>63.77</v>
      </c>
      <c r="G815" s="369">
        <f t="shared" si="39"/>
        <v>37.43</v>
      </c>
    </row>
    <row r="816" spans="1:9" ht="15" customHeight="1">
      <c r="A816" s="1308" t="s">
        <v>688</v>
      </c>
      <c r="B816" s="1310" t="s">
        <v>106</v>
      </c>
      <c r="C816" s="346" t="s">
        <v>102</v>
      </c>
      <c r="D816" s="1457" t="s">
        <v>345</v>
      </c>
      <c r="E816" s="1459">
        <v>2.5299999999999998</v>
      </c>
      <c r="F816" s="348">
        <f>G104</f>
        <v>11.1</v>
      </c>
      <c r="G816" s="369">
        <f t="shared" si="39"/>
        <v>28.08</v>
      </c>
    </row>
    <row r="817" spans="1:8" ht="15" customHeight="1">
      <c r="A817" s="1380"/>
      <c r="B817" s="1311"/>
      <c r="C817" s="346" t="s">
        <v>89</v>
      </c>
      <c r="D817" s="1458"/>
      <c r="E817" s="1460"/>
      <c r="F817" s="348">
        <f>G105</f>
        <v>4.5600000000000005</v>
      </c>
      <c r="G817" s="369">
        <f>TRUNC(E816*F817,2)</f>
        <v>11.53</v>
      </c>
    </row>
    <row r="818" spans="1:8" ht="15" customHeight="1">
      <c r="A818" s="1308" t="s">
        <v>689</v>
      </c>
      <c r="B818" s="1310" t="s">
        <v>690</v>
      </c>
      <c r="C818" s="346" t="s">
        <v>102</v>
      </c>
      <c r="D818" s="1457" t="s">
        <v>345</v>
      </c>
      <c r="E818" s="1459">
        <v>1.6</v>
      </c>
      <c r="F818" s="348">
        <f>G861</f>
        <v>10.58</v>
      </c>
      <c r="G818" s="369">
        <f>TRUNC(E818*F818,2)</f>
        <v>16.920000000000002</v>
      </c>
    </row>
    <row r="819" spans="1:8" ht="15" customHeight="1">
      <c r="A819" s="1380"/>
      <c r="B819" s="1311"/>
      <c r="C819" s="346" t="s">
        <v>89</v>
      </c>
      <c r="D819" s="1458"/>
      <c r="E819" s="1460"/>
      <c r="F819" s="348">
        <f>G862</f>
        <v>4.12</v>
      </c>
      <c r="G819" s="369">
        <f>TRUNC(E818*F819,2)</f>
        <v>6.59</v>
      </c>
    </row>
    <row r="820" spans="1:8" ht="45">
      <c r="A820" s="720">
        <v>88830</v>
      </c>
      <c r="B820" s="714" t="s">
        <v>869</v>
      </c>
      <c r="C820" s="346" t="s">
        <v>626</v>
      </c>
      <c r="D820" s="723" t="s">
        <v>643</v>
      </c>
      <c r="E820" s="725">
        <v>0.83</v>
      </c>
      <c r="F820" s="348">
        <f>G1121</f>
        <v>1.04</v>
      </c>
      <c r="G820" s="369">
        <f t="shared" ref="G820:G821" si="40">TRUNC(E820*F820,2)</f>
        <v>0.86</v>
      </c>
    </row>
    <row r="821" spans="1:8" ht="45">
      <c r="A821" s="720">
        <v>88831</v>
      </c>
      <c r="B821" s="714" t="s">
        <v>870</v>
      </c>
      <c r="C821" s="346" t="s">
        <v>626</v>
      </c>
      <c r="D821" s="723" t="s">
        <v>622</v>
      </c>
      <c r="E821" s="725">
        <v>0.78</v>
      </c>
      <c r="F821" s="348">
        <f>G1172</f>
        <v>0.04</v>
      </c>
      <c r="G821" s="369">
        <f t="shared" si="40"/>
        <v>0.03</v>
      </c>
    </row>
    <row r="822" spans="1:8" ht="15" customHeight="1">
      <c r="D822" s="376"/>
      <c r="E822" s="377"/>
      <c r="F822" s="378" t="s">
        <v>92</v>
      </c>
      <c r="G822" s="379">
        <f>G816+G818</f>
        <v>45</v>
      </c>
    </row>
    <row r="823" spans="1:8" ht="15" customHeight="1">
      <c r="A823" s="352"/>
      <c r="D823" s="349"/>
      <c r="E823" s="350"/>
      <c r="F823" s="351" t="s">
        <v>94</v>
      </c>
      <c r="G823" s="369">
        <f>G813+G814+G815+G817+G819+G820+G821</f>
        <v>258.84999999999997</v>
      </c>
      <c r="H823" s="334"/>
    </row>
    <row r="824" spans="1:8" ht="15" customHeight="1">
      <c r="A824" s="352"/>
      <c r="D824" s="147"/>
      <c r="E824" s="131"/>
      <c r="F824" s="351" t="s">
        <v>95</v>
      </c>
      <c r="G824" s="370">
        <f>SUM(G822:G823)</f>
        <v>303.84999999999997</v>
      </c>
      <c r="H824" s="354"/>
    </row>
    <row r="825" spans="1:8">
      <c r="A825" s="355"/>
      <c r="B825" s="356"/>
      <c r="C825" s="357"/>
      <c r="D825" s="358"/>
      <c r="E825" s="355"/>
      <c r="F825" s="356"/>
      <c r="G825" s="356"/>
      <c r="H825" s="356"/>
    </row>
    <row r="832" spans="1:8" ht="14.1" customHeight="1">
      <c r="A832" s="130" t="s">
        <v>542</v>
      </c>
    </row>
    <row r="833" spans="1:9" ht="14.1" customHeight="1">
      <c r="A833" s="130" t="s">
        <v>543</v>
      </c>
      <c r="B833" s="148" t="s">
        <v>680</v>
      </c>
      <c r="C833" s="339"/>
    </row>
    <row r="834" spans="1:9" ht="25.5" customHeight="1">
      <c r="A834" s="130" t="s">
        <v>78</v>
      </c>
      <c r="B834" s="1356" t="s">
        <v>681</v>
      </c>
      <c r="C834" s="1356"/>
      <c r="D834" s="1356"/>
      <c r="E834" s="636" t="s">
        <v>682</v>
      </c>
      <c r="F834" s="338"/>
      <c r="G834" s="338"/>
    </row>
    <row r="835" spans="1:9" ht="22.5">
      <c r="A835" s="341" t="s">
        <v>30</v>
      </c>
      <c r="B835" s="347" t="s">
        <v>19</v>
      </c>
      <c r="C835" s="343" t="s">
        <v>82</v>
      </c>
      <c r="D835" s="343" t="s">
        <v>79</v>
      </c>
      <c r="E835" s="344" t="s">
        <v>83</v>
      </c>
      <c r="F835" s="345" t="s">
        <v>84</v>
      </c>
      <c r="G835" s="346" t="s">
        <v>85</v>
      </c>
    </row>
    <row r="836" spans="1:9" ht="22.5">
      <c r="A836" s="393" t="s">
        <v>683</v>
      </c>
      <c r="B836" s="394" t="s">
        <v>684</v>
      </c>
      <c r="C836" s="346" t="s">
        <v>89</v>
      </c>
      <c r="D836" s="395" t="s">
        <v>682</v>
      </c>
      <c r="E836" s="396">
        <v>0.86399999999999999</v>
      </c>
      <c r="F836" s="348">
        <v>56.25</v>
      </c>
      <c r="G836" s="369">
        <f t="shared" ref="G836:G844" si="41">TRUNC(E836*F836,2)</f>
        <v>48.6</v>
      </c>
    </row>
    <row r="837" spans="1:9" ht="14.1" customHeight="1">
      <c r="A837" s="393" t="s">
        <v>423</v>
      </c>
      <c r="B837" s="394" t="s">
        <v>424</v>
      </c>
      <c r="C837" s="346" t="s">
        <v>89</v>
      </c>
      <c r="D837" s="395" t="s">
        <v>685</v>
      </c>
      <c r="E837" s="397">
        <v>213.45</v>
      </c>
      <c r="F837" s="348">
        <v>0.49</v>
      </c>
      <c r="G837" s="369">
        <f t="shared" si="41"/>
        <v>104.59</v>
      </c>
    </row>
    <row r="838" spans="1:9" ht="22.5">
      <c r="A838" s="393" t="s">
        <v>686</v>
      </c>
      <c r="B838" s="394" t="s">
        <v>687</v>
      </c>
      <c r="C838" s="346" t="s">
        <v>89</v>
      </c>
      <c r="D838" s="395" t="s">
        <v>682</v>
      </c>
      <c r="E838" s="398">
        <v>0.58199999999999996</v>
      </c>
      <c r="F838" s="348">
        <v>63.77</v>
      </c>
      <c r="G838" s="369">
        <f t="shared" si="41"/>
        <v>37.11</v>
      </c>
    </row>
    <row r="839" spans="1:9" ht="15" customHeight="1">
      <c r="A839" s="1308" t="s">
        <v>688</v>
      </c>
      <c r="B839" s="1310" t="s">
        <v>106</v>
      </c>
      <c r="C839" s="346" t="s">
        <v>102</v>
      </c>
      <c r="D839" s="1457" t="s">
        <v>345</v>
      </c>
      <c r="E839" s="1459">
        <v>2.11</v>
      </c>
      <c r="F839" s="348">
        <f>G104</f>
        <v>11.1</v>
      </c>
      <c r="G839" s="369">
        <f t="shared" si="41"/>
        <v>23.42</v>
      </c>
    </row>
    <row r="840" spans="1:9" ht="15" customHeight="1">
      <c r="A840" s="1380"/>
      <c r="B840" s="1311"/>
      <c r="C840" s="346" t="s">
        <v>89</v>
      </c>
      <c r="D840" s="1458"/>
      <c r="E840" s="1460"/>
      <c r="F840" s="348">
        <f>G105</f>
        <v>4.5600000000000005</v>
      </c>
      <c r="G840" s="369">
        <f>TRUNC(E839*F840,2)</f>
        <v>9.6199999999999992</v>
      </c>
    </row>
    <row r="841" spans="1:9" ht="15" customHeight="1">
      <c r="A841" s="1308" t="s">
        <v>689</v>
      </c>
      <c r="B841" s="1310" t="s">
        <v>690</v>
      </c>
      <c r="C841" s="346" t="s">
        <v>102</v>
      </c>
      <c r="D841" s="1457" t="s">
        <v>345</v>
      </c>
      <c r="E841" s="1459">
        <v>1.33</v>
      </c>
      <c r="F841" s="348">
        <f>G861</f>
        <v>10.58</v>
      </c>
      <c r="G841" s="369">
        <f>TRUNC(E841*F841,2)</f>
        <v>14.07</v>
      </c>
    </row>
    <row r="842" spans="1:9" ht="15" customHeight="1">
      <c r="A842" s="1380"/>
      <c r="B842" s="1311"/>
      <c r="C842" s="346" t="s">
        <v>89</v>
      </c>
      <c r="D842" s="1458"/>
      <c r="E842" s="1460"/>
      <c r="F842" s="348">
        <f>G862</f>
        <v>4.12</v>
      </c>
      <c r="G842" s="369">
        <f>TRUNC(E841*F842,2)</f>
        <v>5.47</v>
      </c>
    </row>
    <row r="843" spans="1:9" ht="45">
      <c r="A843" s="393" t="s">
        <v>691</v>
      </c>
      <c r="B843" s="394" t="s">
        <v>692</v>
      </c>
      <c r="C843" s="346" t="s">
        <v>626</v>
      </c>
      <c r="D843" s="395" t="s">
        <v>643</v>
      </c>
      <c r="E843" s="397">
        <v>0.69</v>
      </c>
      <c r="F843" s="348">
        <f>G913</f>
        <v>3.1</v>
      </c>
      <c r="G843" s="369">
        <f t="shared" si="41"/>
        <v>2.13</v>
      </c>
    </row>
    <row r="844" spans="1:9" ht="45">
      <c r="A844" s="393" t="s">
        <v>693</v>
      </c>
      <c r="B844" s="394" t="s">
        <v>694</v>
      </c>
      <c r="C844" s="346" t="s">
        <v>626</v>
      </c>
      <c r="D844" s="395" t="s">
        <v>622</v>
      </c>
      <c r="E844" s="397">
        <v>0.65</v>
      </c>
      <c r="F844" s="348">
        <f>G964</f>
        <v>1.0900000000000001</v>
      </c>
      <c r="G844" s="369">
        <f t="shared" si="41"/>
        <v>0.7</v>
      </c>
    </row>
    <row r="845" spans="1:9" ht="14.1" customHeight="1">
      <c r="D845" s="376"/>
      <c r="E845" s="377"/>
      <c r="F845" s="378" t="s">
        <v>92</v>
      </c>
      <c r="G845" s="379">
        <f>G839+G841</f>
        <v>37.49</v>
      </c>
    </row>
    <row r="846" spans="1:9" ht="14.1" customHeight="1">
      <c r="A846" s="352"/>
      <c r="D846" s="349"/>
      <c r="E846" s="350"/>
      <c r="F846" s="351" t="s">
        <v>94</v>
      </c>
      <c r="G846" s="369">
        <f>G836+G837+G838+G840+G842+G843+G844</f>
        <v>208.22</v>
      </c>
      <c r="H846" s="334"/>
    </row>
    <row r="847" spans="1:9" ht="14.1" customHeight="1">
      <c r="A847" s="352"/>
      <c r="D847" s="147"/>
      <c r="E847" s="131"/>
      <c r="F847" s="351" t="s">
        <v>95</v>
      </c>
      <c r="G847" s="370">
        <f>SUM(G845:G846)</f>
        <v>245.71</v>
      </c>
      <c r="H847" s="354"/>
    </row>
    <row r="848" spans="1:9">
      <c r="A848" s="355"/>
      <c r="B848" s="356"/>
      <c r="C848" s="357"/>
      <c r="D848" s="358"/>
      <c r="E848" s="355"/>
      <c r="F848" s="356"/>
      <c r="G848" s="356"/>
      <c r="H848" s="356"/>
      <c r="I848" s="355"/>
    </row>
    <row r="850" spans="1:9">
      <c r="A850" s="130" t="s">
        <v>653</v>
      </c>
      <c r="C850" s="133"/>
      <c r="D850" s="130"/>
      <c r="E850" s="135"/>
      <c r="H850" s="130"/>
    </row>
    <row r="851" spans="1:9">
      <c r="A851" s="130" t="s">
        <v>33</v>
      </c>
      <c r="B851" s="149" t="s">
        <v>695</v>
      </c>
      <c r="C851" s="133"/>
      <c r="D851" s="130"/>
      <c r="E851" s="135"/>
      <c r="H851" s="130"/>
    </row>
    <row r="852" spans="1:9" ht="27.75" customHeight="1">
      <c r="A852" s="130" t="s">
        <v>78</v>
      </c>
      <c r="B852" s="1456" t="s">
        <v>690</v>
      </c>
      <c r="C852" s="1456"/>
      <c r="D852" s="637" t="s">
        <v>345</v>
      </c>
      <c r="H852" s="130"/>
    </row>
    <row r="853" spans="1:9" ht="22.5">
      <c r="A853" s="428" t="s">
        <v>30</v>
      </c>
      <c r="B853" s="347" t="s">
        <v>19</v>
      </c>
      <c r="C853" s="343" t="s">
        <v>82</v>
      </c>
      <c r="D853" s="343" t="s">
        <v>79</v>
      </c>
      <c r="E853" s="344" t="s">
        <v>83</v>
      </c>
      <c r="F853" s="345" t="s">
        <v>84</v>
      </c>
      <c r="G853" s="382" t="s">
        <v>85</v>
      </c>
      <c r="H853" s="130"/>
    </row>
    <row r="854" spans="1:9" ht="22.5">
      <c r="A854" s="361">
        <v>37666</v>
      </c>
      <c r="B854" s="362" t="s">
        <v>696</v>
      </c>
      <c r="C854" s="343" t="s">
        <v>102</v>
      </c>
      <c r="D854" s="383" t="s">
        <v>345</v>
      </c>
      <c r="E854" s="384">
        <v>1</v>
      </c>
      <c r="F854" s="385">
        <f>10.49</f>
        <v>10.49</v>
      </c>
      <c r="G854" s="386">
        <f>TRUNC(E854*F854,2)</f>
        <v>10.49</v>
      </c>
      <c r="H854" s="130"/>
    </row>
    <row r="855" spans="1:9" ht="22.5">
      <c r="A855" s="415" t="s">
        <v>656</v>
      </c>
      <c r="B855" s="347" t="s">
        <v>657</v>
      </c>
      <c r="C855" s="343" t="s">
        <v>658</v>
      </c>
      <c r="D855" s="343" t="s">
        <v>345</v>
      </c>
      <c r="E855" s="387">
        <v>1</v>
      </c>
      <c r="F855" s="388">
        <v>2.15</v>
      </c>
      <c r="G855" s="346">
        <f t="shared" ref="G855:G860" si="42">TRUNC(E855*F855,2)</f>
        <v>2.15</v>
      </c>
      <c r="H855" s="130"/>
    </row>
    <row r="856" spans="1:9" ht="22.5">
      <c r="A856" s="415" t="s">
        <v>659</v>
      </c>
      <c r="B856" s="347" t="s">
        <v>660</v>
      </c>
      <c r="C856" s="343" t="s">
        <v>658</v>
      </c>
      <c r="D856" s="343" t="s">
        <v>345</v>
      </c>
      <c r="E856" s="387">
        <v>1</v>
      </c>
      <c r="F856" s="388">
        <v>0.6</v>
      </c>
      <c r="G856" s="369">
        <f t="shared" si="42"/>
        <v>0.6</v>
      </c>
      <c r="H856" s="130"/>
    </row>
    <row r="857" spans="1:9" ht="22.5">
      <c r="A857" s="415" t="s">
        <v>661</v>
      </c>
      <c r="B857" s="347" t="s">
        <v>662</v>
      </c>
      <c r="C857" s="343" t="s">
        <v>658</v>
      </c>
      <c r="D857" s="343" t="s">
        <v>345</v>
      </c>
      <c r="E857" s="387">
        <v>1</v>
      </c>
      <c r="F857" s="388">
        <v>0.37</v>
      </c>
      <c r="G857" s="346">
        <f t="shared" si="42"/>
        <v>0.37</v>
      </c>
      <c r="H857" s="130"/>
    </row>
    <row r="858" spans="1:9" ht="22.5">
      <c r="A858" s="415" t="s">
        <v>663</v>
      </c>
      <c r="B858" s="347" t="s">
        <v>664</v>
      </c>
      <c r="C858" s="343" t="s">
        <v>658</v>
      </c>
      <c r="D858" s="343" t="s">
        <v>345</v>
      </c>
      <c r="E858" s="387">
        <v>1</v>
      </c>
      <c r="F858" s="388">
        <v>0.02</v>
      </c>
      <c r="G858" s="346">
        <f t="shared" si="42"/>
        <v>0.02</v>
      </c>
      <c r="H858" s="130"/>
    </row>
    <row r="859" spans="1:9" ht="14.1" customHeight="1">
      <c r="A859" s="415" t="s">
        <v>665</v>
      </c>
      <c r="B859" s="347" t="s">
        <v>584</v>
      </c>
      <c r="C859" s="343" t="s">
        <v>89</v>
      </c>
      <c r="D859" s="343" t="s">
        <v>345</v>
      </c>
      <c r="E859" s="387">
        <v>1</v>
      </c>
      <c r="F859" s="388">
        <f>'COMP AUX'!G38</f>
        <v>0.98</v>
      </c>
      <c r="G859" s="369">
        <f t="shared" si="42"/>
        <v>0.98</v>
      </c>
      <c r="H859" s="130"/>
    </row>
    <row r="860" spans="1:9" ht="33.75">
      <c r="A860" s="361">
        <v>95389</v>
      </c>
      <c r="B860" s="362" t="s">
        <v>697</v>
      </c>
      <c r="C860" s="343" t="s">
        <v>102</v>
      </c>
      <c r="D860" s="343" t="s">
        <v>345</v>
      </c>
      <c r="E860" s="387">
        <v>1</v>
      </c>
      <c r="F860" s="388">
        <f>G900</f>
        <v>0.09</v>
      </c>
      <c r="G860" s="369">
        <f t="shared" si="42"/>
        <v>0.09</v>
      </c>
      <c r="H860" s="130"/>
    </row>
    <row r="861" spans="1:9" ht="14.1" customHeight="1">
      <c r="C861" s="133"/>
      <c r="D861" s="389"/>
      <c r="E861" s="350"/>
      <c r="F861" s="351" t="s">
        <v>92</v>
      </c>
      <c r="G861" s="369">
        <f>G854+G860</f>
        <v>10.58</v>
      </c>
      <c r="H861" s="130"/>
    </row>
    <row r="862" spans="1:9" ht="14.1" customHeight="1">
      <c r="C862" s="133"/>
      <c r="D862" s="147"/>
      <c r="E862" s="350"/>
      <c r="F862" s="351" t="s">
        <v>94</v>
      </c>
      <c r="G862" s="369">
        <f>SUM(G855:G859)</f>
        <v>4.12</v>
      </c>
      <c r="H862" s="130"/>
    </row>
    <row r="863" spans="1:9" ht="14.1" customHeight="1">
      <c r="A863" s="390"/>
      <c r="B863" s="146"/>
      <c r="C863" s="133"/>
      <c r="D863" s="376"/>
      <c r="E863" s="350"/>
      <c r="F863" s="351" t="s">
        <v>95</v>
      </c>
      <c r="G863" s="353">
        <f>SUM(G861:G862)</f>
        <v>14.7</v>
      </c>
      <c r="H863" s="130"/>
    </row>
    <row r="864" spans="1:9">
      <c r="A864" s="355"/>
      <c r="B864" s="356"/>
      <c r="C864" s="358"/>
      <c r="D864" s="355"/>
      <c r="E864" s="356"/>
      <c r="F864" s="356"/>
      <c r="G864" s="356"/>
      <c r="H864" s="355"/>
      <c r="I864" s="355"/>
    </row>
    <row r="866" spans="1:8">
      <c r="A866" s="130" t="s">
        <v>653</v>
      </c>
      <c r="C866" s="133"/>
      <c r="D866" s="130"/>
      <c r="E866" s="135"/>
      <c r="H866" s="130"/>
    </row>
    <row r="867" spans="1:8">
      <c r="A867" s="130" t="s">
        <v>33</v>
      </c>
      <c r="B867" s="149" t="s">
        <v>1140</v>
      </c>
      <c r="C867" s="133"/>
      <c r="D867" s="130"/>
      <c r="E867" s="135"/>
      <c r="H867" s="130"/>
    </row>
    <row r="868" spans="1:8" ht="19.5" customHeight="1">
      <c r="A868" s="130" t="s">
        <v>78</v>
      </c>
      <c r="B868" s="1456" t="s">
        <v>1126</v>
      </c>
      <c r="C868" s="1456"/>
      <c r="D868" s="375" t="s">
        <v>345</v>
      </c>
      <c r="H868" s="130"/>
    </row>
    <row r="869" spans="1:8" ht="22.5">
      <c r="A869" s="428" t="s">
        <v>30</v>
      </c>
      <c r="B869" s="665" t="s">
        <v>19</v>
      </c>
      <c r="C869" s="343" t="s">
        <v>82</v>
      </c>
      <c r="D869" s="343" t="s">
        <v>79</v>
      </c>
      <c r="E869" s="652" t="s">
        <v>83</v>
      </c>
      <c r="F869" s="345" t="s">
        <v>84</v>
      </c>
      <c r="G869" s="382" t="s">
        <v>85</v>
      </c>
      <c r="H869" s="130"/>
    </row>
    <row r="870" spans="1:8" ht="15" customHeight="1">
      <c r="A870" s="654">
        <v>6160</v>
      </c>
      <c r="B870" s="362" t="s">
        <v>1141</v>
      </c>
      <c r="C870" s="343" t="s">
        <v>102</v>
      </c>
      <c r="D870" s="383" t="s">
        <v>345</v>
      </c>
      <c r="E870" s="384">
        <v>1</v>
      </c>
      <c r="F870" s="385">
        <f>14.68</f>
        <v>14.68</v>
      </c>
      <c r="G870" s="386">
        <f>TRUNC(E870*F870,2)</f>
        <v>14.68</v>
      </c>
      <c r="H870" s="130"/>
    </row>
    <row r="871" spans="1:8" ht="22.5">
      <c r="A871" s="664" t="s">
        <v>656</v>
      </c>
      <c r="B871" s="665" t="s">
        <v>657</v>
      </c>
      <c r="C871" s="343" t="s">
        <v>658</v>
      </c>
      <c r="D871" s="343" t="s">
        <v>345</v>
      </c>
      <c r="E871" s="387">
        <v>1</v>
      </c>
      <c r="F871" s="388">
        <v>2.15</v>
      </c>
      <c r="G871" s="346">
        <f t="shared" ref="G871:G877" si="43">TRUNC(E871*F871,2)</f>
        <v>2.15</v>
      </c>
      <c r="H871" s="130"/>
    </row>
    <row r="872" spans="1:8" ht="22.5">
      <c r="A872" s="664" t="s">
        <v>659</v>
      </c>
      <c r="B872" s="665" t="s">
        <v>660</v>
      </c>
      <c r="C872" s="343" t="s">
        <v>658</v>
      </c>
      <c r="D872" s="343" t="s">
        <v>345</v>
      </c>
      <c r="E872" s="387">
        <v>1</v>
      </c>
      <c r="F872" s="388">
        <v>0.6</v>
      </c>
      <c r="G872" s="369">
        <f t="shared" si="43"/>
        <v>0.6</v>
      </c>
      <c r="H872" s="130"/>
    </row>
    <row r="873" spans="1:8" ht="22.5">
      <c r="A873" s="664" t="s">
        <v>661</v>
      </c>
      <c r="B873" s="665" t="s">
        <v>662</v>
      </c>
      <c r="C873" s="343" t="s">
        <v>658</v>
      </c>
      <c r="D873" s="343" t="s">
        <v>345</v>
      </c>
      <c r="E873" s="387">
        <v>1</v>
      </c>
      <c r="F873" s="388">
        <v>0.37</v>
      </c>
      <c r="G873" s="346">
        <f t="shared" si="43"/>
        <v>0.37</v>
      </c>
      <c r="H873" s="130"/>
    </row>
    <row r="874" spans="1:8" ht="22.5">
      <c r="A874" s="664" t="s">
        <v>663</v>
      </c>
      <c r="B874" s="665" t="s">
        <v>664</v>
      </c>
      <c r="C874" s="343" t="s">
        <v>658</v>
      </c>
      <c r="D874" s="343" t="s">
        <v>345</v>
      </c>
      <c r="E874" s="387">
        <v>1</v>
      </c>
      <c r="F874" s="388">
        <v>0.02</v>
      </c>
      <c r="G874" s="346">
        <f t="shared" si="43"/>
        <v>0.02</v>
      </c>
      <c r="H874" s="130"/>
    </row>
    <row r="875" spans="1:8" ht="22.5">
      <c r="A875" s="664" t="s">
        <v>837</v>
      </c>
      <c r="B875" s="665" t="s">
        <v>545</v>
      </c>
      <c r="C875" s="343" t="s">
        <v>658</v>
      </c>
      <c r="D875" s="343" t="s">
        <v>345</v>
      </c>
      <c r="E875" s="387">
        <v>1</v>
      </c>
      <c r="F875" s="388">
        <f>G22</f>
        <v>0.44000000000000006</v>
      </c>
      <c r="G875" s="346">
        <f t="shared" si="43"/>
        <v>0.44</v>
      </c>
      <c r="H875" s="130"/>
    </row>
    <row r="876" spans="1:8">
      <c r="A876" s="664" t="s">
        <v>665</v>
      </c>
      <c r="B876" s="665" t="s">
        <v>584</v>
      </c>
      <c r="C876" s="343" t="s">
        <v>89</v>
      </c>
      <c r="D876" s="343" t="s">
        <v>345</v>
      </c>
      <c r="E876" s="387">
        <v>1</v>
      </c>
      <c r="F876" s="388">
        <f>'COMP AUX'!G38</f>
        <v>0.98</v>
      </c>
      <c r="G876" s="369">
        <f t="shared" si="43"/>
        <v>0.98</v>
      </c>
      <c r="H876" s="130"/>
    </row>
    <row r="877" spans="1:8" ht="22.5">
      <c r="A877" s="654">
        <v>95379</v>
      </c>
      <c r="B877" s="362" t="s">
        <v>1142</v>
      </c>
      <c r="C877" s="343" t="s">
        <v>102</v>
      </c>
      <c r="D877" s="343" t="s">
        <v>345</v>
      </c>
      <c r="E877" s="387">
        <v>1</v>
      </c>
      <c r="F877" s="388">
        <f>G890</f>
        <v>0.13</v>
      </c>
      <c r="G877" s="369">
        <f t="shared" si="43"/>
        <v>0.13</v>
      </c>
      <c r="H877" s="130"/>
    </row>
    <row r="878" spans="1:8" ht="15" customHeight="1">
      <c r="C878" s="133"/>
      <c r="D878" s="389"/>
      <c r="E878" s="350"/>
      <c r="F878" s="351" t="s">
        <v>92</v>
      </c>
      <c r="G878" s="369">
        <f>G870+G877</f>
        <v>14.81</v>
      </c>
      <c r="H878" s="130"/>
    </row>
    <row r="879" spans="1:8" ht="15" customHeight="1">
      <c r="C879" s="133"/>
      <c r="D879" s="147"/>
      <c r="E879" s="350"/>
      <c r="F879" s="351" t="s">
        <v>94</v>
      </c>
      <c r="G879" s="369">
        <f>SUM(G871:G876)</f>
        <v>4.5600000000000005</v>
      </c>
      <c r="H879" s="130"/>
    </row>
    <row r="880" spans="1:8" ht="15" customHeight="1">
      <c r="A880" s="390"/>
      <c r="B880" s="146"/>
      <c r="C880" s="133"/>
      <c r="D880" s="376"/>
      <c r="E880" s="350"/>
      <c r="F880" s="351" t="s">
        <v>95</v>
      </c>
      <c r="G880" s="353">
        <f>SUM(G878:G879)</f>
        <v>19.37</v>
      </c>
      <c r="H880" s="130"/>
    </row>
    <row r="881" spans="1:8">
      <c r="A881" s="355"/>
      <c r="B881" s="356"/>
      <c r="C881" s="358"/>
      <c r="D881" s="355"/>
      <c r="E881" s="356"/>
      <c r="F881" s="356"/>
      <c r="G881" s="356"/>
      <c r="H881" s="355"/>
    </row>
    <row r="883" spans="1:8">
      <c r="A883" s="130" t="s">
        <v>542</v>
      </c>
    </row>
    <row r="884" spans="1:8" ht="12" customHeight="1">
      <c r="A884" s="130" t="s">
        <v>543</v>
      </c>
      <c r="B884" s="359" t="s">
        <v>1144</v>
      </c>
      <c r="C884" s="360"/>
    </row>
    <row r="885" spans="1:8" ht="27.75" customHeight="1">
      <c r="A885" s="130" t="s">
        <v>78</v>
      </c>
      <c r="B885" s="1356" t="s">
        <v>1142</v>
      </c>
      <c r="C885" s="1356"/>
      <c r="D885" s="637" t="s">
        <v>345</v>
      </c>
      <c r="E885" s="338" t="s">
        <v>2</v>
      </c>
      <c r="F885" s="338"/>
      <c r="G885" s="338"/>
    </row>
    <row r="886" spans="1:8" ht="22.5">
      <c r="A886" s="341" t="s">
        <v>30</v>
      </c>
      <c r="B886" s="342" t="s">
        <v>19</v>
      </c>
      <c r="C886" s="343" t="s">
        <v>82</v>
      </c>
      <c r="D886" s="343" t="s">
        <v>79</v>
      </c>
      <c r="E886" s="652" t="s">
        <v>83</v>
      </c>
      <c r="F886" s="345" t="s">
        <v>84</v>
      </c>
      <c r="G886" s="346" t="s">
        <v>85</v>
      </c>
    </row>
    <row r="887" spans="1:8" ht="15" customHeight="1">
      <c r="A887" s="654">
        <v>6160</v>
      </c>
      <c r="B887" s="362" t="s">
        <v>1143</v>
      </c>
      <c r="C887" s="363" t="s">
        <v>102</v>
      </c>
      <c r="D887" s="343" t="s">
        <v>345</v>
      </c>
      <c r="E887" s="364">
        <v>9.2999999999999992E-3</v>
      </c>
      <c r="F887" s="385">
        <f>14.68</f>
        <v>14.68</v>
      </c>
      <c r="G887" s="346">
        <f>TRUNC(E887*F887,2)</f>
        <v>0.13</v>
      </c>
    </row>
    <row r="888" spans="1:8" ht="15" customHeight="1">
      <c r="D888" s="349"/>
      <c r="E888" s="350"/>
      <c r="F888" s="351" t="s">
        <v>92</v>
      </c>
      <c r="G888" s="346">
        <f>G887</f>
        <v>0.13</v>
      </c>
    </row>
    <row r="889" spans="1:8" ht="15" customHeight="1">
      <c r="D889" s="349"/>
      <c r="E889" s="350"/>
      <c r="F889" s="351" t="s">
        <v>94</v>
      </c>
      <c r="G889" s="346"/>
    </row>
    <row r="890" spans="1:8" ht="15" customHeight="1">
      <c r="A890" s="352"/>
      <c r="D890" s="349"/>
      <c r="E890" s="350"/>
      <c r="F890" s="351" t="s">
        <v>95</v>
      </c>
      <c r="G890" s="353">
        <f>SUM(G888:G889)</f>
        <v>0.13</v>
      </c>
      <c r="H890" s="354"/>
    </row>
    <row r="891" spans="1:8">
      <c r="A891" s="355"/>
      <c r="B891" s="356"/>
      <c r="C891" s="357"/>
      <c r="D891" s="358"/>
      <c r="E891" s="355"/>
      <c r="F891" s="356"/>
      <c r="G891" s="356"/>
      <c r="H891" s="356"/>
    </row>
    <row r="893" spans="1:8">
      <c r="A893" s="130" t="s">
        <v>542</v>
      </c>
    </row>
    <row r="894" spans="1:8">
      <c r="A894" s="130" t="s">
        <v>543</v>
      </c>
      <c r="B894" s="359" t="s">
        <v>698</v>
      </c>
      <c r="C894" s="360"/>
    </row>
    <row r="895" spans="1:8" ht="33" customHeight="1">
      <c r="A895" s="130" t="s">
        <v>78</v>
      </c>
      <c r="B895" s="1356" t="s">
        <v>697</v>
      </c>
      <c r="C895" s="1356"/>
      <c r="D895" s="637" t="s">
        <v>345</v>
      </c>
      <c r="E895" s="338" t="s">
        <v>2</v>
      </c>
      <c r="F895" s="338"/>
      <c r="G895" s="338"/>
    </row>
    <row r="896" spans="1:8" ht="22.5">
      <c r="A896" s="341" t="s">
        <v>30</v>
      </c>
      <c r="B896" s="342" t="s">
        <v>19</v>
      </c>
      <c r="C896" s="343" t="s">
        <v>82</v>
      </c>
      <c r="D896" s="343" t="s">
        <v>79</v>
      </c>
      <c r="E896" s="344" t="s">
        <v>83</v>
      </c>
      <c r="F896" s="345" t="s">
        <v>84</v>
      </c>
      <c r="G896" s="346" t="s">
        <v>85</v>
      </c>
    </row>
    <row r="897" spans="1:9" ht="22.5">
      <c r="A897" s="361">
        <v>37666</v>
      </c>
      <c r="B897" s="362" t="s">
        <v>696</v>
      </c>
      <c r="C897" s="363" t="s">
        <v>102</v>
      </c>
      <c r="D897" s="343" t="s">
        <v>345</v>
      </c>
      <c r="E897" s="364">
        <v>9.2999999999999992E-3</v>
      </c>
      <c r="F897" s="385">
        <f>10.49</f>
        <v>10.49</v>
      </c>
      <c r="G897" s="346">
        <f>TRUNC(E897*F897,2)</f>
        <v>0.09</v>
      </c>
    </row>
    <row r="898" spans="1:9" ht="14.1" customHeight="1">
      <c r="D898" s="349"/>
      <c r="E898" s="350"/>
      <c r="F898" s="351" t="s">
        <v>92</v>
      </c>
      <c r="G898" s="346">
        <f>G897</f>
        <v>0.09</v>
      </c>
    </row>
    <row r="899" spans="1:9" ht="14.1" customHeight="1">
      <c r="D899" s="349"/>
      <c r="E899" s="350"/>
      <c r="F899" s="351" t="s">
        <v>94</v>
      </c>
      <c r="G899" s="346"/>
    </row>
    <row r="900" spans="1:9" ht="14.1" customHeight="1">
      <c r="A900" s="352"/>
      <c r="D900" s="349"/>
      <c r="E900" s="350"/>
      <c r="F900" s="351" t="s">
        <v>95</v>
      </c>
      <c r="G900" s="353">
        <f>SUM(G898:G899)</f>
        <v>0.09</v>
      </c>
      <c r="H900" s="354"/>
    </row>
    <row r="901" spans="1:9">
      <c r="A901" s="355"/>
      <c r="B901" s="356"/>
      <c r="C901" s="357"/>
      <c r="D901" s="358"/>
      <c r="E901" s="355"/>
      <c r="F901" s="356"/>
      <c r="G901" s="356"/>
      <c r="H901" s="356"/>
      <c r="I901" s="355"/>
    </row>
    <row r="903" spans="1:9">
      <c r="A903" s="130" t="s">
        <v>542</v>
      </c>
    </row>
    <row r="904" spans="1:9">
      <c r="A904" s="130" t="s">
        <v>543</v>
      </c>
      <c r="B904" s="148" t="s">
        <v>699</v>
      </c>
      <c r="C904" s="339"/>
    </row>
    <row r="905" spans="1:9" ht="40.5" customHeight="1">
      <c r="A905" s="130" t="s">
        <v>78</v>
      </c>
      <c r="B905" s="1356" t="s">
        <v>700</v>
      </c>
      <c r="C905" s="1356"/>
      <c r="D905" s="1356"/>
      <c r="E905" s="150" t="s">
        <v>643</v>
      </c>
      <c r="F905" s="338"/>
      <c r="G905" s="338"/>
    </row>
    <row r="906" spans="1:9" ht="22.5">
      <c r="A906" s="341" t="s">
        <v>30</v>
      </c>
      <c r="B906" s="342" t="s">
        <v>19</v>
      </c>
      <c r="C906" s="343" t="s">
        <v>82</v>
      </c>
      <c r="D906" s="343" t="s">
        <v>79</v>
      </c>
      <c r="E906" s="344" t="s">
        <v>83</v>
      </c>
      <c r="F906" s="345" t="s">
        <v>84</v>
      </c>
      <c r="G906" s="346" t="s">
        <v>85</v>
      </c>
    </row>
    <row r="907" spans="1:9" ht="50.1" customHeight="1">
      <c r="A907" s="400" t="s">
        <v>701</v>
      </c>
      <c r="B907" s="401" t="s">
        <v>702</v>
      </c>
      <c r="C907" s="402" t="s">
        <v>626</v>
      </c>
      <c r="D907" s="403" t="s">
        <v>345</v>
      </c>
      <c r="E907" s="404">
        <v>1</v>
      </c>
      <c r="F907" s="405">
        <f>G923</f>
        <v>0.89</v>
      </c>
      <c r="G907" s="406">
        <f t="shared" ref="G907:G910" si="44">TRUNC(E907*F907,2)</f>
        <v>0.89</v>
      </c>
    </row>
    <row r="908" spans="1:9" ht="50.1" customHeight="1">
      <c r="A908" s="407" t="s">
        <v>703</v>
      </c>
      <c r="B908" s="347" t="s">
        <v>704</v>
      </c>
      <c r="C908" s="346" t="s">
        <v>626</v>
      </c>
      <c r="D908" s="343" t="s">
        <v>345</v>
      </c>
      <c r="E908" s="408">
        <v>1</v>
      </c>
      <c r="F908" s="348">
        <f>G933</f>
        <v>0.2</v>
      </c>
      <c r="G908" s="406">
        <f t="shared" si="44"/>
        <v>0.2</v>
      </c>
    </row>
    <row r="909" spans="1:9" ht="50.1" customHeight="1">
      <c r="A909" s="341" t="s">
        <v>705</v>
      </c>
      <c r="B909" s="347" t="s">
        <v>706</v>
      </c>
      <c r="C909" s="344" t="s">
        <v>626</v>
      </c>
      <c r="D909" s="343" t="s">
        <v>345</v>
      </c>
      <c r="E909" s="368">
        <v>1</v>
      </c>
      <c r="F909" s="348">
        <f>G943</f>
        <v>0.84</v>
      </c>
      <c r="G909" s="406">
        <f t="shared" si="44"/>
        <v>0.84</v>
      </c>
    </row>
    <row r="910" spans="1:9" ht="50.1" customHeight="1">
      <c r="A910" s="341" t="s">
        <v>707</v>
      </c>
      <c r="B910" s="347" t="s">
        <v>708</v>
      </c>
      <c r="C910" s="344" t="s">
        <v>626</v>
      </c>
      <c r="D910" s="343" t="s">
        <v>345</v>
      </c>
      <c r="E910" s="368">
        <v>1</v>
      </c>
      <c r="F910" s="348">
        <f>G953</f>
        <v>1.17</v>
      </c>
      <c r="G910" s="369">
        <f t="shared" si="44"/>
        <v>1.17</v>
      </c>
    </row>
    <row r="911" spans="1:9" ht="14.1" customHeight="1">
      <c r="D911" s="376"/>
      <c r="E911" s="377"/>
      <c r="F911" s="378" t="s">
        <v>92</v>
      </c>
      <c r="G911" s="379"/>
    </row>
    <row r="912" spans="1:9" ht="14.1" customHeight="1">
      <c r="A912" s="352"/>
      <c r="D912" s="349"/>
      <c r="E912" s="350"/>
      <c r="F912" s="351" t="s">
        <v>94</v>
      </c>
      <c r="G912" s="369">
        <f>SUM(G907:G910)</f>
        <v>3.1</v>
      </c>
      <c r="H912" s="334"/>
    </row>
    <row r="913" spans="1:9" ht="14.1" customHeight="1">
      <c r="A913" s="352"/>
      <c r="D913" s="147"/>
      <c r="E913" s="131"/>
      <c r="F913" s="351" t="s">
        <v>95</v>
      </c>
      <c r="G913" s="370">
        <f>SUM(G911:G912)</f>
        <v>3.1</v>
      </c>
      <c r="H913" s="354"/>
    </row>
    <row r="914" spans="1:9">
      <c r="A914" s="355"/>
      <c r="B914" s="356"/>
      <c r="C914" s="357"/>
      <c r="D914" s="358"/>
      <c r="E914" s="355"/>
      <c r="F914" s="356"/>
      <c r="G914" s="356"/>
      <c r="H914" s="356"/>
      <c r="I914" s="355"/>
    </row>
    <row r="916" spans="1:9">
      <c r="A916" s="130" t="s">
        <v>542</v>
      </c>
    </row>
    <row r="917" spans="1:9">
      <c r="A917" s="130" t="s">
        <v>543</v>
      </c>
      <c r="B917" s="148" t="s">
        <v>709</v>
      </c>
      <c r="C917" s="339"/>
    </row>
    <row r="918" spans="1:9" ht="35.25" customHeight="1">
      <c r="A918" s="130" t="s">
        <v>78</v>
      </c>
      <c r="B918" s="1356" t="s">
        <v>702</v>
      </c>
      <c r="C918" s="1356"/>
      <c r="D918" s="1356"/>
      <c r="E918" s="150" t="s">
        <v>345</v>
      </c>
      <c r="F918" s="338"/>
      <c r="G918" s="338"/>
    </row>
    <row r="919" spans="1:9" ht="22.5">
      <c r="A919" s="341" t="s">
        <v>30</v>
      </c>
      <c r="B919" s="342" t="s">
        <v>19</v>
      </c>
      <c r="C919" s="343" t="s">
        <v>82</v>
      </c>
      <c r="D919" s="343" t="s">
        <v>79</v>
      </c>
      <c r="E919" s="344" t="s">
        <v>83</v>
      </c>
      <c r="F919" s="345" t="s">
        <v>84</v>
      </c>
      <c r="G919" s="346" t="s">
        <v>85</v>
      </c>
    </row>
    <row r="920" spans="1:9" ht="39.75" customHeight="1">
      <c r="A920" s="407">
        <v>36397</v>
      </c>
      <c r="B920" s="409" t="s">
        <v>710</v>
      </c>
      <c r="C920" s="346" t="s">
        <v>626</v>
      </c>
      <c r="D920" s="343" t="s">
        <v>345</v>
      </c>
      <c r="E920" s="410">
        <v>6.3999999999999997E-5</v>
      </c>
      <c r="F920" s="372">
        <v>14040.97</v>
      </c>
      <c r="G920" s="369">
        <f t="shared" ref="G920" si="45">TRUNC(E920*F920,2)</f>
        <v>0.89</v>
      </c>
    </row>
    <row r="921" spans="1:9" ht="14.1" customHeight="1">
      <c r="D921" s="376"/>
      <c r="E921" s="377"/>
      <c r="F921" s="378" t="s">
        <v>92</v>
      </c>
      <c r="G921" s="379">
        <v>0</v>
      </c>
    </row>
    <row r="922" spans="1:9" ht="14.1" customHeight="1">
      <c r="A922" s="352"/>
      <c r="D922" s="349"/>
      <c r="E922" s="350"/>
      <c r="F922" s="351" t="s">
        <v>94</v>
      </c>
      <c r="G922" s="369">
        <f>G920</f>
        <v>0.89</v>
      </c>
      <c r="H922" s="334"/>
    </row>
    <row r="923" spans="1:9" ht="14.1" customHeight="1">
      <c r="A923" s="352"/>
      <c r="D923" s="147"/>
      <c r="E923" s="131"/>
      <c r="F923" s="351" t="s">
        <v>95</v>
      </c>
      <c r="G923" s="370">
        <f>SUM(G921:G922)</f>
        <v>0.89</v>
      </c>
      <c r="H923" s="354"/>
    </row>
    <row r="924" spans="1:9" ht="14.1" customHeight="1">
      <c r="A924" s="355"/>
      <c r="B924" s="356"/>
      <c r="C924" s="357"/>
      <c r="D924" s="358"/>
      <c r="E924" s="355"/>
      <c r="F924" s="356"/>
      <c r="G924" s="356"/>
      <c r="H924" s="356"/>
      <c r="I924" s="355"/>
    </row>
    <row r="926" spans="1:9">
      <c r="A926" s="130" t="s">
        <v>542</v>
      </c>
    </row>
    <row r="927" spans="1:9">
      <c r="A927" s="130" t="s">
        <v>543</v>
      </c>
      <c r="B927" s="148" t="s">
        <v>711</v>
      </c>
      <c r="C927" s="339"/>
    </row>
    <row r="928" spans="1:9" ht="28.5" customHeight="1">
      <c r="A928" s="130" t="s">
        <v>78</v>
      </c>
      <c r="B928" s="1356" t="s">
        <v>712</v>
      </c>
      <c r="C928" s="1356"/>
      <c r="D928" s="1356"/>
      <c r="E928" s="150" t="s">
        <v>345</v>
      </c>
      <c r="F928" s="338"/>
      <c r="G928" s="338"/>
    </row>
    <row r="929" spans="1:9" ht="22.5">
      <c r="A929" s="341" t="s">
        <v>30</v>
      </c>
      <c r="B929" s="342" t="s">
        <v>19</v>
      </c>
      <c r="C929" s="343" t="s">
        <v>82</v>
      </c>
      <c r="D929" s="343" t="s">
        <v>79</v>
      </c>
      <c r="E929" s="344" t="s">
        <v>83</v>
      </c>
      <c r="F929" s="345" t="s">
        <v>84</v>
      </c>
      <c r="G929" s="346" t="s">
        <v>85</v>
      </c>
    </row>
    <row r="930" spans="1:9" ht="45">
      <c r="A930" s="407">
        <v>36397</v>
      </c>
      <c r="B930" s="409" t="s">
        <v>710</v>
      </c>
      <c r="C930" s="346" t="s">
        <v>626</v>
      </c>
      <c r="D930" s="343" t="s">
        <v>345</v>
      </c>
      <c r="E930" s="410">
        <v>1.4399999999999999E-5</v>
      </c>
      <c r="F930" s="372">
        <v>14040.97</v>
      </c>
      <c r="G930" s="369">
        <f t="shared" ref="G930" si="46">TRUNC(E930*F930,2)</f>
        <v>0.2</v>
      </c>
    </row>
    <row r="931" spans="1:9" ht="14.1" customHeight="1">
      <c r="D931" s="376"/>
      <c r="E931" s="377"/>
      <c r="F931" s="378" t="s">
        <v>92</v>
      </c>
      <c r="G931" s="379">
        <v>0</v>
      </c>
    </row>
    <row r="932" spans="1:9" ht="14.1" customHeight="1">
      <c r="A932" s="352"/>
      <c r="D932" s="349"/>
      <c r="E932" s="350"/>
      <c r="F932" s="351" t="s">
        <v>94</v>
      </c>
      <c r="G932" s="369">
        <f>G930</f>
        <v>0.2</v>
      </c>
      <c r="H932" s="334"/>
    </row>
    <row r="933" spans="1:9" ht="14.1" customHeight="1">
      <c r="A933" s="352"/>
      <c r="D933" s="147"/>
      <c r="E933" s="131"/>
      <c r="F933" s="351" t="s">
        <v>95</v>
      </c>
      <c r="G933" s="370">
        <f>SUM(G931:G932)</f>
        <v>0.2</v>
      </c>
      <c r="H933" s="354"/>
    </row>
    <row r="934" spans="1:9">
      <c r="A934" s="355"/>
      <c r="B934" s="356"/>
      <c r="C934" s="357"/>
      <c r="D934" s="358"/>
      <c r="E934" s="355"/>
      <c r="F934" s="356"/>
      <c r="G934" s="356"/>
      <c r="H934" s="356"/>
      <c r="I934" s="355"/>
    </row>
    <row r="936" spans="1:9">
      <c r="A936" s="130" t="s">
        <v>542</v>
      </c>
    </row>
    <row r="937" spans="1:9">
      <c r="A937" s="130" t="s">
        <v>543</v>
      </c>
      <c r="B937" s="148" t="s">
        <v>713</v>
      </c>
      <c r="C937" s="339"/>
    </row>
    <row r="938" spans="1:9" ht="36.75" customHeight="1">
      <c r="A938" s="130" t="s">
        <v>78</v>
      </c>
      <c r="B938" s="1356" t="s">
        <v>714</v>
      </c>
      <c r="C938" s="1356"/>
      <c r="D938" s="1356"/>
      <c r="E938" s="150" t="s">
        <v>345</v>
      </c>
      <c r="F938" s="338"/>
      <c r="G938" s="338"/>
    </row>
    <row r="939" spans="1:9" ht="22.5">
      <c r="A939" s="341" t="s">
        <v>30</v>
      </c>
      <c r="B939" s="342" t="s">
        <v>19</v>
      </c>
      <c r="C939" s="343" t="s">
        <v>82</v>
      </c>
      <c r="D939" s="343" t="s">
        <v>79</v>
      </c>
      <c r="E939" s="344" t="s">
        <v>83</v>
      </c>
      <c r="F939" s="345" t="s">
        <v>84</v>
      </c>
      <c r="G939" s="346" t="s">
        <v>85</v>
      </c>
    </row>
    <row r="940" spans="1:9" ht="45">
      <c r="A940" s="407">
        <v>36397</v>
      </c>
      <c r="B940" s="409" t="s">
        <v>710</v>
      </c>
      <c r="C940" s="346" t="s">
        <v>626</v>
      </c>
      <c r="D940" s="343" t="s">
        <v>345</v>
      </c>
      <c r="E940" s="410">
        <v>6.0000000000000002E-5</v>
      </c>
      <c r="F940" s="372">
        <v>14040.97</v>
      </c>
      <c r="G940" s="369">
        <f t="shared" ref="G940" si="47">TRUNC(E940*F940,2)</f>
        <v>0.84</v>
      </c>
    </row>
    <row r="941" spans="1:9" ht="14.1" customHeight="1">
      <c r="D941" s="376"/>
      <c r="E941" s="377"/>
      <c r="F941" s="378" t="s">
        <v>92</v>
      </c>
      <c r="G941" s="379">
        <v>0</v>
      </c>
    </row>
    <row r="942" spans="1:9" ht="14.1" customHeight="1">
      <c r="A942" s="352"/>
      <c r="D942" s="349"/>
      <c r="E942" s="350"/>
      <c r="F942" s="351" t="s">
        <v>94</v>
      </c>
      <c r="G942" s="369">
        <f>G940</f>
        <v>0.84</v>
      </c>
      <c r="H942" s="334"/>
    </row>
    <row r="943" spans="1:9" ht="14.1" customHeight="1">
      <c r="A943" s="352"/>
      <c r="D943" s="147"/>
      <c r="E943" s="131"/>
      <c r="F943" s="351" t="s">
        <v>95</v>
      </c>
      <c r="G943" s="370">
        <f>SUM(G941:G942)</f>
        <v>0.84</v>
      </c>
      <c r="H943" s="354"/>
    </row>
    <row r="944" spans="1:9">
      <c r="A944" s="355"/>
      <c r="B944" s="356"/>
      <c r="C944" s="357"/>
      <c r="D944" s="358"/>
      <c r="E944" s="355"/>
      <c r="F944" s="356"/>
      <c r="G944" s="356"/>
      <c r="H944" s="356"/>
      <c r="I944" s="355"/>
    </row>
    <row r="946" spans="1:9">
      <c r="A946" s="130" t="s">
        <v>542</v>
      </c>
    </row>
    <row r="947" spans="1:9">
      <c r="A947" s="130" t="s">
        <v>543</v>
      </c>
      <c r="B947" s="148" t="s">
        <v>715</v>
      </c>
      <c r="C947" s="339"/>
    </row>
    <row r="948" spans="1:9" ht="39.75" customHeight="1">
      <c r="A948" s="130" t="s">
        <v>78</v>
      </c>
      <c r="B948" s="1356" t="s">
        <v>716</v>
      </c>
      <c r="C948" s="1356"/>
      <c r="D948" s="1356"/>
      <c r="E948" s="150" t="s">
        <v>345</v>
      </c>
      <c r="F948" s="338"/>
      <c r="G948" s="338"/>
    </row>
    <row r="949" spans="1:9" ht="22.5">
      <c r="A949" s="341" t="s">
        <v>30</v>
      </c>
      <c r="B949" s="342" t="s">
        <v>19</v>
      </c>
      <c r="C949" s="343" t="s">
        <v>82</v>
      </c>
      <c r="D949" s="343" t="s">
        <v>79</v>
      </c>
      <c r="E949" s="344" t="s">
        <v>83</v>
      </c>
      <c r="F949" s="345" t="s">
        <v>84</v>
      </c>
      <c r="G949" s="346" t="s">
        <v>85</v>
      </c>
    </row>
    <row r="950" spans="1:9" ht="22.5">
      <c r="A950" s="407" t="s">
        <v>717</v>
      </c>
      <c r="B950" s="409" t="s">
        <v>718</v>
      </c>
      <c r="C950" s="346" t="s">
        <v>89</v>
      </c>
      <c r="D950" s="343" t="s">
        <v>719</v>
      </c>
      <c r="E950" s="408">
        <v>2.5</v>
      </c>
      <c r="F950" s="372">
        <v>0.47</v>
      </c>
      <c r="G950" s="369">
        <f t="shared" ref="G950" si="48">TRUNC(E950*F950,2)</f>
        <v>1.17</v>
      </c>
    </row>
    <row r="951" spans="1:9" ht="14.1" customHeight="1">
      <c r="D951" s="376"/>
      <c r="E951" s="377"/>
      <c r="F951" s="378" t="s">
        <v>92</v>
      </c>
      <c r="G951" s="379">
        <v>0</v>
      </c>
    </row>
    <row r="952" spans="1:9" ht="14.1" customHeight="1">
      <c r="A952" s="352"/>
      <c r="D952" s="349"/>
      <c r="E952" s="350"/>
      <c r="F952" s="351" t="s">
        <v>94</v>
      </c>
      <c r="G952" s="369">
        <f>G950</f>
        <v>1.17</v>
      </c>
      <c r="H952" s="334"/>
    </row>
    <row r="953" spans="1:9" ht="14.1" customHeight="1">
      <c r="A953" s="352"/>
      <c r="D953" s="147"/>
      <c r="E953" s="131"/>
      <c r="F953" s="351" t="s">
        <v>95</v>
      </c>
      <c r="G953" s="370">
        <f>SUM(G951:G952)</f>
        <v>1.17</v>
      </c>
      <c r="H953" s="354"/>
    </row>
    <row r="954" spans="1:9">
      <c r="A954" s="355"/>
      <c r="B954" s="356"/>
      <c r="C954" s="357"/>
      <c r="D954" s="358"/>
      <c r="E954" s="355"/>
      <c r="F954" s="356"/>
      <c r="G954" s="356"/>
      <c r="H954" s="356"/>
      <c r="I954" s="355"/>
    </row>
    <row r="956" spans="1:9">
      <c r="A956" s="130" t="s">
        <v>542</v>
      </c>
    </row>
    <row r="957" spans="1:9">
      <c r="A957" s="130" t="s">
        <v>543</v>
      </c>
      <c r="B957" s="148" t="s">
        <v>720</v>
      </c>
      <c r="C957" s="339"/>
    </row>
    <row r="958" spans="1:9" ht="37.5" customHeight="1">
      <c r="A958" s="130" t="s">
        <v>78</v>
      </c>
      <c r="B958" s="1356" t="s">
        <v>721</v>
      </c>
      <c r="C958" s="1356"/>
      <c r="D958" s="1356"/>
      <c r="E958" s="150" t="s">
        <v>622</v>
      </c>
      <c r="F958" s="338"/>
      <c r="G958" s="338"/>
    </row>
    <row r="959" spans="1:9" ht="22.5">
      <c r="A959" s="341" t="s">
        <v>30</v>
      </c>
      <c r="B959" s="342" t="s">
        <v>19</v>
      </c>
      <c r="C959" s="343" t="s">
        <v>82</v>
      </c>
      <c r="D959" s="343" t="s">
        <v>79</v>
      </c>
      <c r="E959" s="344" t="s">
        <v>83</v>
      </c>
      <c r="F959" s="345" t="s">
        <v>84</v>
      </c>
      <c r="G959" s="346" t="s">
        <v>85</v>
      </c>
    </row>
    <row r="960" spans="1:9" ht="45">
      <c r="A960" s="400" t="s">
        <v>701</v>
      </c>
      <c r="B960" s="401" t="s">
        <v>702</v>
      </c>
      <c r="C960" s="402" t="s">
        <v>626</v>
      </c>
      <c r="D960" s="403" t="s">
        <v>345</v>
      </c>
      <c r="E960" s="404">
        <v>1</v>
      </c>
      <c r="F960" s="405">
        <f>G923</f>
        <v>0.89</v>
      </c>
      <c r="G960" s="406">
        <f t="shared" ref="G960:G961" si="49">TRUNC(E960*F960,2)</f>
        <v>0.89</v>
      </c>
    </row>
    <row r="961" spans="1:9" ht="45">
      <c r="A961" s="407" t="s">
        <v>703</v>
      </c>
      <c r="B961" s="347" t="s">
        <v>704</v>
      </c>
      <c r="C961" s="346" t="s">
        <v>626</v>
      </c>
      <c r="D961" s="343" t="s">
        <v>345</v>
      </c>
      <c r="E961" s="408">
        <v>1</v>
      </c>
      <c r="F961" s="348">
        <f>G933</f>
        <v>0.2</v>
      </c>
      <c r="G961" s="406">
        <f t="shared" si="49"/>
        <v>0.2</v>
      </c>
    </row>
    <row r="962" spans="1:9" ht="14.1" customHeight="1">
      <c r="D962" s="376"/>
      <c r="E962" s="377"/>
      <c r="F962" s="378" t="s">
        <v>92</v>
      </c>
      <c r="G962" s="369"/>
    </row>
    <row r="963" spans="1:9" ht="14.1" customHeight="1">
      <c r="A963" s="352"/>
      <c r="D963" s="349"/>
      <c r="E963" s="350"/>
      <c r="F963" s="351" t="s">
        <v>94</v>
      </c>
      <c r="G963" s="369">
        <f>SUM(G960:G961)</f>
        <v>1.0900000000000001</v>
      </c>
      <c r="H963" s="334"/>
    </row>
    <row r="964" spans="1:9" ht="14.1" customHeight="1">
      <c r="A964" s="352"/>
      <c r="D964" s="147"/>
      <c r="E964" s="131"/>
      <c r="F964" s="351" t="s">
        <v>95</v>
      </c>
      <c r="G964" s="370">
        <f>SUM(G962:G963)</f>
        <v>1.0900000000000001</v>
      </c>
      <c r="H964" s="354"/>
    </row>
    <row r="965" spans="1:9">
      <c r="A965" s="355"/>
      <c r="B965" s="356"/>
      <c r="C965" s="357"/>
      <c r="D965" s="358"/>
      <c r="E965" s="355"/>
      <c r="F965" s="356"/>
      <c r="G965" s="356"/>
      <c r="H965" s="356"/>
      <c r="I965" s="355"/>
    </row>
    <row r="966" spans="1:9">
      <c r="A966" s="337"/>
      <c r="B966" s="334"/>
      <c r="C966" s="335"/>
      <c r="D966" s="336"/>
      <c r="E966" s="337"/>
      <c r="F966" s="334"/>
      <c r="G966" s="334"/>
      <c r="H966" s="334"/>
      <c r="I966" s="337"/>
    </row>
    <row r="967" spans="1:9">
      <c r="A967" s="130" t="s">
        <v>542</v>
      </c>
    </row>
    <row r="968" spans="1:9">
      <c r="A968" s="130" t="s">
        <v>543</v>
      </c>
      <c r="B968" s="148" t="s">
        <v>722</v>
      </c>
      <c r="C968" s="339"/>
    </row>
    <row r="969" spans="1:9" ht="28.5" customHeight="1">
      <c r="A969" s="130" t="s">
        <v>78</v>
      </c>
      <c r="B969" s="1356" t="s">
        <v>723</v>
      </c>
      <c r="C969" s="1356"/>
      <c r="D969" s="1356"/>
      <c r="E969" s="150" t="s">
        <v>643</v>
      </c>
      <c r="F969" s="338"/>
      <c r="G969" s="338"/>
    </row>
    <row r="970" spans="1:9" ht="22.5">
      <c r="A970" s="341" t="s">
        <v>30</v>
      </c>
      <c r="B970" s="342" t="s">
        <v>19</v>
      </c>
      <c r="C970" s="343" t="s">
        <v>82</v>
      </c>
      <c r="D970" s="343" t="s">
        <v>79</v>
      </c>
      <c r="E970" s="344" t="s">
        <v>83</v>
      </c>
      <c r="F970" s="345" t="s">
        <v>84</v>
      </c>
      <c r="G970" s="346" t="s">
        <v>85</v>
      </c>
    </row>
    <row r="971" spans="1:9" ht="14.1" customHeight="1">
      <c r="A971" s="1308" t="s">
        <v>724</v>
      </c>
      <c r="B971" s="1310" t="s">
        <v>644</v>
      </c>
      <c r="C971" s="411" t="s">
        <v>102</v>
      </c>
      <c r="D971" s="1457" t="s">
        <v>345</v>
      </c>
      <c r="E971" s="1461">
        <v>1</v>
      </c>
      <c r="F971" s="405">
        <f>G669</f>
        <v>11.29</v>
      </c>
      <c r="G971" s="402">
        <f>TRUNC(E971*F971,2)</f>
        <v>11.29</v>
      </c>
    </row>
    <row r="972" spans="1:9" ht="14.1" customHeight="1">
      <c r="A972" s="1380"/>
      <c r="B972" s="1311"/>
      <c r="C972" s="402" t="s">
        <v>89</v>
      </c>
      <c r="D972" s="1458"/>
      <c r="E972" s="1462"/>
      <c r="F972" s="405">
        <f>G670</f>
        <v>4.12</v>
      </c>
      <c r="G972" s="406">
        <f>TRUNC(E971*F972,2)</f>
        <v>4.12</v>
      </c>
    </row>
    <row r="973" spans="1:9" ht="33.75">
      <c r="A973" s="400" t="s">
        <v>725</v>
      </c>
      <c r="B973" s="401" t="s">
        <v>726</v>
      </c>
      <c r="C973" s="402" t="s">
        <v>626</v>
      </c>
      <c r="D973" s="403" t="s">
        <v>345</v>
      </c>
      <c r="E973" s="404">
        <v>1</v>
      </c>
      <c r="F973" s="405">
        <f>G989</f>
        <v>0.05</v>
      </c>
      <c r="G973" s="406">
        <f t="shared" ref="G973:G976" si="50">TRUNC(E973*F973,2)</f>
        <v>0.05</v>
      </c>
    </row>
    <row r="974" spans="1:9" ht="33.75">
      <c r="A974" s="400" t="s">
        <v>727</v>
      </c>
      <c r="B974" s="401" t="s">
        <v>728</v>
      </c>
      <c r="C974" s="402" t="s">
        <v>626</v>
      </c>
      <c r="D974" s="403" t="s">
        <v>345</v>
      </c>
      <c r="E974" s="404">
        <v>1</v>
      </c>
      <c r="F974" s="405">
        <f>G999</f>
        <v>0.01</v>
      </c>
      <c r="G974" s="406">
        <f t="shared" si="50"/>
        <v>0.01</v>
      </c>
    </row>
    <row r="975" spans="1:9" ht="33.75">
      <c r="A975" s="400" t="s">
        <v>729</v>
      </c>
      <c r="B975" s="401" t="s">
        <v>730</v>
      </c>
      <c r="C975" s="402" t="s">
        <v>626</v>
      </c>
      <c r="D975" s="403" t="s">
        <v>345</v>
      </c>
      <c r="E975" s="404">
        <v>1</v>
      </c>
      <c r="F975" s="405">
        <f>G1009</f>
        <v>0.04</v>
      </c>
      <c r="G975" s="406">
        <f t="shared" si="50"/>
        <v>0.04</v>
      </c>
    </row>
    <row r="976" spans="1:9" ht="33.75">
      <c r="A976" s="407" t="s">
        <v>731</v>
      </c>
      <c r="B976" s="347" t="s">
        <v>732</v>
      </c>
      <c r="C976" s="346" t="s">
        <v>626</v>
      </c>
      <c r="D976" s="343" t="s">
        <v>345</v>
      </c>
      <c r="E976" s="408">
        <v>1</v>
      </c>
      <c r="F976" s="348">
        <f>G1019</f>
        <v>1.48</v>
      </c>
      <c r="G976" s="406">
        <f t="shared" si="50"/>
        <v>1.48</v>
      </c>
    </row>
    <row r="977" spans="1:9">
      <c r="D977" s="376"/>
      <c r="E977" s="377"/>
      <c r="F977" s="378" t="s">
        <v>92</v>
      </c>
      <c r="G977" s="369">
        <f>G971</f>
        <v>11.29</v>
      </c>
    </row>
    <row r="978" spans="1:9">
      <c r="A978" s="352"/>
      <c r="D978" s="349"/>
      <c r="E978" s="350"/>
      <c r="F978" s="351" t="s">
        <v>94</v>
      </c>
      <c r="G978" s="369">
        <f>SUM(G972:G976)</f>
        <v>5.6999999999999993</v>
      </c>
      <c r="H978" s="334"/>
    </row>
    <row r="979" spans="1:9">
      <c r="A979" s="352"/>
      <c r="D979" s="147"/>
      <c r="E979" s="131"/>
      <c r="F979" s="351" t="s">
        <v>95</v>
      </c>
      <c r="G979" s="370">
        <f>SUM(G977:G978)</f>
        <v>16.989999999999998</v>
      </c>
      <c r="H979" s="354"/>
    </row>
    <row r="980" spans="1:9">
      <c r="A980" s="355"/>
      <c r="B980" s="356"/>
      <c r="C980" s="357"/>
      <c r="D980" s="358"/>
      <c r="E980" s="355"/>
      <c r="F980" s="356"/>
      <c r="G980" s="356"/>
      <c r="H980" s="356"/>
      <c r="I980" s="355"/>
    </row>
    <row r="981" spans="1:9">
      <c r="A981" s="337"/>
      <c r="B981" s="334"/>
      <c r="C981" s="335"/>
      <c r="D981" s="336"/>
      <c r="E981" s="337"/>
      <c r="F981" s="334"/>
      <c r="G981" s="334"/>
      <c r="H981" s="334"/>
      <c r="I981" s="337"/>
    </row>
    <row r="982" spans="1:9">
      <c r="A982" s="130" t="s">
        <v>542</v>
      </c>
      <c r="H982" s="334"/>
      <c r="I982" s="337"/>
    </row>
    <row r="983" spans="1:9">
      <c r="A983" s="130" t="s">
        <v>543</v>
      </c>
      <c r="B983" s="148" t="s">
        <v>733</v>
      </c>
      <c r="C983" s="339"/>
      <c r="H983" s="334"/>
      <c r="I983" s="337"/>
    </row>
    <row r="984" spans="1:9" ht="24" customHeight="1">
      <c r="A984" s="130" t="s">
        <v>78</v>
      </c>
      <c r="B984" s="1356" t="s">
        <v>726</v>
      </c>
      <c r="C984" s="1356"/>
      <c r="D984" s="1356"/>
      <c r="E984" s="150" t="s">
        <v>345</v>
      </c>
      <c r="F984" s="338"/>
      <c r="G984" s="338"/>
      <c r="H984" s="334"/>
      <c r="I984" s="337"/>
    </row>
    <row r="985" spans="1:9" ht="22.5">
      <c r="A985" s="341" t="s">
        <v>30</v>
      </c>
      <c r="B985" s="342" t="s">
        <v>19</v>
      </c>
      <c r="C985" s="343" t="s">
        <v>82</v>
      </c>
      <c r="D985" s="343" t="s">
        <v>79</v>
      </c>
      <c r="E985" s="344" t="s">
        <v>83</v>
      </c>
      <c r="F985" s="345" t="s">
        <v>84</v>
      </c>
      <c r="G985" s="346" t="s">
        <v>85</v>
      </c>
      <c r="H985" s="334"/>
      <c r="I985" s="337"/>
    </row>
    <row r="986" spans="1:9" ht="33.75">
      <c r="A986" s="361" t="s">
        <v>734</v>
      </c>
      <c r="B986" s="362" t="s">
        <v>735</v>
      </c>
      <c r="C986" s="363" t="s">
        <v>626</v>
      </c>
      <c r="D986" s="343" t="s">
        <v>79</v>
      </c>
      <c r="E986" s="364">
        <v>7.2000000000000002E-5</v>
      </c>
      <c r="F986" s="365">
        <v>801.26</v>
      </c>
      <c r="G986" s="346">
        <f>TRUNC(E986*F986,2)</f>
        <v>0.05</v>
      </c>
    </row>
    <row r="987" spans="1:9" ht="14.1" customHeight="1">
      <c r="D987" s="349"/>
      <c r="E987" s="350"/>
      <c r="F987" s="351" t="s">
        <v>92</v>
      </c>
      <c r="G987" s="346"/>
    </row>
    <row r="988" spans="1:9" ht="14.1" customHeight="1">
      <c r="D988" s="349"/>
      <c r="E988" s="350"/>
      <c r="F988" s="351" t="s">
        <v>94</v>
      </c>
      <c r="G988" s="346">
        <f>G986</f>
        <v>0.05</v>
      </c>
    </row>
    <row r="989" spans="1:9" ht="14.1" customHeight="1">
      <c r="A989" s="352"/>
      <c r="D989" s="349"/>
      <c r="E989" s="350"/>
      <c r="F989" s="351" t="s">
        <v>95</v>
      </c>
      <c r="G989" s="353">
        <f>SUM(G987:G988)</f>
        <v>0.05</v>
      </c>
      <c r="H989" s="354"/>
    </row>
    <row r="990" spans="1:9">
      <c r="A990" s="355"/>
      <c r="B990" s="356"/>
      <c r="C990" s="357"/>
      <c r="D990" s="358"/>
      <c r="E990" s="355"/>
      <c r="F990" s="356"/>
      <c r="G990" s="356"/>
      <c r="H990" s="356"/>
      <c r="I990" s="355"/>
    </row>
    <row r="991" spans="1:9">
      <c r="A991" s="337"/>
      <c r="B991" s="334"/>
      <c r="C991" s="335"/>
      <c r="D991" s="336"/>
      <c r="E991" s="337"/>
      <c r="F991" s="334"/>
      <c r="G991" s="334"/>
      <c r="H991" s="334"/>
      <c r="I991" s="337"/>
    </row>
    <row r="992" spans="1:9">
      <c r="A992" s="130" t="s">
        <v>542</v>
      </c>
      <c r="H992" s="334"/>
      <c r="I992" s="337"/>
    </row>
    <row r="993" spans="1:9">
      <c r="A993" s="130" t="s">
        <v>543</v>
      </c>
      <c r="B993" s="148" t="s">
        <v>736</v>
      </c>
      <c r="C993" s="339"/>
      <c r="H993" s="334"/>
      <c r="I993" s="337"/>
    </row>
    <row r="994" spans="1:9" ht="20.25" customHeight="1">
      <c r="A994" s="130" t="s">
        <v>78</v>
      </c>
      <c r="B994" s="1356" t="s">
        <v>737</v>
      </c>
      <c r="C994" s="1356"/>
      <c r="D994" s="1356"/>
      <c r="E994" s="150" t="s">
        <v>345</v>
      </c>
      <c r="F994" s="338"/>
      <c r="G994" s="338"/>
      <c r="H994" s="334"/>
      <c r="I994" s="337"/>
    </row>
    <row r="995" spans="1:9" ht="22.5">
      <c r="A995" s="341" t="s">
        <v>30</v>
      </c>
      <c r="B995" s="342" t="s">
        <v>19</v>
      </c>
      <c r="C995" s="343" t="s">
        <v>82</v>
      </c>
      <c r="D995" s="343" t="s">
        <v>79</v>
      </c>
      <c r="E995" s="344" t="s">
        <v>83</v>
      </c>
      <c r="F995" s="345" t="s">
        <v>84</v>
      </c>
      <c r="G995" s="346" t="s">
        <v>85</v>
      </c>
      <c r="H995" s="334"/>
      <c r="I995" s="337"/>
    </row>
    <row r="996" spans="1:9" ht="33.75">
      <c r="A996" s="361" t="s">
        <v>734</v>
      </c>
      <c r="B996" s="362" t="s">
        <v>735</v>
      </c>
      <c r="C996" s="363" t="s">
        <v>626</v>
      </c>
      <c r="D996" s="343" t="s">
        <v>79</v>
      </c>
      <c r="E996" s="364">
        <v>1.4399999999999999E-5</v>
      </c>
      <c r="F996" s="365">
        <v>801.26</v>
      </c>
      <c r="G996" s="346">
        <f>TRUNC(E996*F996,2)</f>
        <v>0.01</v>
      </c>
    </row>
    <row r="997" spans="1:9" ht="14.1" customHeight="1">
      <c r="D997" s="349"/>
      <c r="E997" s="350"/>
      <c r="F997" s="351" t="s">
        <v>92</v>
      </c>
      <c r="G997" s="346"/>
    </row>
    <row r="998" spans="1:9" ht="14.1" customHeight="1">
      <c r="D998" s="349"/>
      <c r="E998" s="350"/>
      <c r="F998" s="351" t="s">
        <v>94</v>
      </c>
      <c r="G998" s="346">
        <f>G996</f>
        <v>0.01</v>
      </c>
    </row>
    <row r="999" spans="1:9" ht="14.1" customHeight="1">
      <c r="A999" s="352"/>
      <c r="D999" s="349"/>
      <c r="E999" s="350"/>
      <c r="F999" s="351" t="s">
        <v>95</v>
      </c>
      <c r="G999" s="353">
        <f>SUM(G997:G998)</f>
        <v>0.01</v>
      </c>
      <c r="H999" s="354"/>
    </row>
    <row r="1000" spans="1:9">
      <c r="A1000" s="355"/>
      <c r="B1000" s="356"/>
      <c r="C1000" s="357"/>
      <c r="D1000" s="358"/>
      <c r="E1000" s="355"/>
      <c r="F1000" s="356"/>
      <c r="G1000" s="356"/>
      <c r="H1000" s="356"/>
      <c r="I1000" s="355"/>
    </row>
    <row r="1001" spans="1:9">
      <c r="A1001" s="337"/>
      <c r="B1001" s="334"/>
      <c r="C1001" s="335"/>
      <c r="D1001" s="336"/>
      <c r="E1001" s="337"/>
      <c r="F1001" s="334"/>
      <c r="G1001" s="334"/>
      <c r="H1001" s="334"/>
      <c r="I1001" s="337"/>
    </row>
    <row r="1002" spans="1:9">
      <c r="A1002" s="130" t="s">
        <v>542</v>
      </c>
      <c r="H1002" s="334"/>
      <c r="I1002" s="337"/>
    </row>
    <row r="1003" spans="1:9">
      <c r="A1003" s="130" t="s">
        <v>543</v>
      </c>
      <c r="B1003" s="148" t="s">
        <v>738</v>
      </c>
      <c r="C1003" s="339"/>
      <c r="H1003" s="334"/>
      <c r="I1003" s="337"/>
    </row>
    <row r="1004" spans="1:9" ht="25.5" customHeight="1">
      <c r="A1004" s="130" t="s">
        <v>78</v>
      </c>
      <c r="B1004" s="1356" t="s">
        <v>739</v>
      </c>
      <c r="C1004" s="1356"/>
      <c r="D1004" s="1356"/>
      <c r="E1004" s="150" t="s">
        <v>345</v>
      </c>
      <c r="F1004" s="338"/>
      <c r="G1004" s="338"/>
      <c r="H1004" s="334"/>
      <c r="I1004" s="337"/>
    </row>
    <row r="1005" spans="1:9" ht="22.5">
      <c r="A1005" s="341" t="s">
        <v>30</v>
      </c>
      <c r="B1005" s="342" t="s">
        <v>19</v>
      </c>
      <c r="C1005" s="343" t="s">
        <v>82</v>
      </c>
      <c r="D1005" s="343" t="s">
        <v>79</v>
      </c>
      <c r="E1005" s="344" t="s">
        <v>83</v>
      </c>
      <c r="F1005" s="345" t="s">
        <v>84</v>
      </c>
      <c r="G1005" s="346" t="s">
        <v>85</v>
      </c>
      <c r="H1005" s="334"/>
      <c r="I1005" s="337"/>
    </row>
    <row r="1006" spans="1:9" ht="33.75">
      <c r="A1006" s="361" t="s">
        <v>734</v>
      </c>
      <c r="B1006" s="362" t="s">
        <v>735</v>
      </c>
      <c r="C1006" s="363" t="s">
        <v>626</v>
      </c>
      <c r="D1006" s="343" t="s">
        <v>79</v>
      </c>
      <c r="E1006" s="364">
        <v>5.0000000000000002E-5</v>
      </c>
      <c r="F1006" s="365">
        <v>801.26</v>
      </c>
      <c r="G1006" s="346">
        <f>TRUNC(E1006*F1006,2)</f>
        <v>0.04</v>
      </c>
    </row>
    <row r="1007" spans="1:9" ht="14.1" customHeight="1">
      <c r="D1007" s="349"/>
      <c r="E1007" s="350"/>
      <c r="F1007" s="351" t="s">
        <v>92</v>
      </c>
      <c r="G1007" s="346"/>
    </row>
    <row r="1008" spans="1:9" ht="14.1" customHeight="1">
      <c r="D1008" s="349"/>
      <c r="E1008" s="350"/>
      <c r="F1008" s="351" t="s">
        <v>94</v>
      </c>
      <c r="G1008" s="346">
        <f>G1006</f>
        <v>0.04</v>
      </c>
    </row>
    <row r="1009" spans="1:9" ht="14.1" customHeight="1">
      <c r="A1009" s="352"/>
      <c r="D1009" s="349"/>
      <c r="E1009" s="350"/>
      <c r="F1009" s="351" t="s">
        <v>95</v>
      </c>
      <c r="G1009" s="353">
        <f>SUM(G1007:G1008)</f>
        <v>0.04</v>
      </c>
      <c r="H1009" s="354"/>
    </row>
    <row r="1010" spans="1:9">
      <c r="A1010" s="355"/>
      <c r="B1010" s="356"/>
      <c r="C1010" s="357"/>
      <c r="D1010" s="358"/>
      <c r="E1010" s="355"/>
      <c r="F1010" s="356"/>
      <c r="G1010" s="356"/>
      <c r="H1010" s="356"/>
      <c r="I1010" s="355"/>
    </row>
    <row r="1011" spans="1:9">
      <c r="A1011" s="337"/>
      <c r="B1011" s="334"/>
      <c r="C1011" s="335"/>
      <c r="D1011" s="336"/>
      <c r="E1011" s="337"/>
      <c r="F1011" s="334"/>
      <c r="G1011" s="334"/>
      <c r="H1011" s="334"/>
      <c r="I1011" s="337"/>
    </row>
    <row r="1012" spans="1:9">
      <c r="A1012" s="130" t="s">
        <v>542</v>
      </c>
      <c r="H1012" s="334"/>
      <c r="I1012" s="337"/>
    </row>
    <row r="1013" spans="1:9">
      <c r="A1013" s="130" t="s">
        <v>543</v>
      </c>
      <c r="B1013" s="148" t="s">
        <v>740</v>
      </c>
      <c r="C1013" s="339"/>
      <c r="H1013" s="334"/>
      <c r="I1013" s="337"/>
    </row>
    <row r="1014" spans="1:9" ht="23.25" customHeight="1">
      <c r="A1014" s="130" t="s">
        <v>78</v>
      </c>
      <c r="B1014" s="1356" t="s">
        <v>741</v>
      </c>
      <c r="C1014" s="1356"/>
      <c r="D1014" s="1356"/>
      <c r="E1014" s="150" t="s">
        <v>345</v>
      </c>
      <c r="F1014" s="338"/>
      <c r="G1014" s="338"/>
      <c r="H1014" s="334"/>
      <c r="I1014" s="337"/>
    </row>
    <row r="1015" spans="1:9" ht="22.5">
      <c r="A1015" s="341" t="s">
        <v>30</v>
      </c>
      <c r="B1015" s="342" t="s">
        <v>19</v>
      </c>
      <c r="C1015" s="343" t="s">
        <v>82</v>
      </c>
      <c r="D1015" s="343" t="s">
        <v>79</v>
      </c>
      <c r="E1015" s="344" t="s">
        <v>83</v>
      </c>
      <c r="F1015" s="345" t="s">
        <v>84</v>
      </c>
      <c r="G1015" s="346" t="s">
        <v>85</v>
      </c>
      <c r="H1015" s="334"/>
      <c r="I1015" s="337"/>
    </row>
    <row r="1016" spans="1:9" ht="22.5">
      <c r="A1016" s="361">
        <v>2705</v>
      </c>
      <c r="B1016" s="362" t="s">
        <v>718</v>
      </c>
      <c r="C1016" s="363" t="s">
        <v>89</v>
      </c>
      <c r="D1016" s="343" t="s">
        <v>719</v>
      </c>
      <c r="E1016" s="364">
        <v>3.17</v>
      </c>
      <c r="F1016" s="365">
        <v>0.47</v>
      </c>
      <c r="G1016" s="346">
        <f>TRUNC(E1016*F1016,2)</f>
        <v>1.48</v>
      </c>
    </row>
    <row r="1017" spans="1:9" ht="14.1" customHeight="1">
      <c r="D1017" s="349"/>
      <c r="E1017" s="350"/>
      <c r="F1017" s="351" t="s">
        <v>92</v>
      </c>
      <c r="G1017" s="346"/>
    </row>
    <row r="1018" spans="1:9" ht="14.1" customHeight="1">
      <c r="D1018" s="349"/>
      <c r="E1018" s="350"/>
      <c r="F1018" s="351" t="s">
        <v>94</v>
      </c>
      <c r="G1018" s="346">
        <f>G1016</f>
        <v>1.48</v>
      </c>
    </row>
    <row r="1019" spans="1:9" ht="14.1" customHeight="1">
      <c r="A1019" s="352"/>
      <c r="D1019" s="349"/>
      <c r="E1019" s="350"/>
      <c r="F1019" s="351" t="s">
        <v>95</v>
      </c>
      <c r="G1019" s="353">
        <f>SUM(G1017:G1018)</f>
        <v>1.48</v>
      </c>
      <c r="H1019" s="354"/>
    </row>
    <row r="1020" spans="1:9">
      <c r="A1020" s="355"/>
      <c r="B1020" s="356"/>
      <c r="C1020" s="357"/>
      <c r="D1020" s="358"/>
      <c r="E1020" s="355"/>
      <c r="F1020" s="356"/>
      <c r="G1020" s="356"/>
      <c r="H1020" s="356"/>
      <c r="I1020" s="355"/>
    </row>
    <row r="1021" spans="1:9">
      <c r="A1021" s="337"/>
      <c r="B1021" s="334"/>
      <c r="C1021" s="335"/>
      <c r="D1021" s="336"/>
      <c r="E1021" s="337"/>
      <c r="F1021" s="334"/>
      <c r="G1021" s="334"/>
      <c r="H1021" s="334"/>
      <c r="I1021" s="337"/>
    </row>
    <row r="1022" spans="1:9">
      <c r="A1022" s="130" t="s">
        <v>542</v>
      </c>
    </row>
    <row r="1023" spans="1:9">
      <c r="A1023" s="130" t="s">
        <v>543</v>
      </c>
      <c r="B1023" s="148" t="s">
        <v>742</v>
      </c>
      <c r="C1023" s="339"/>
    </row>
    <row r="1024" spans="1:9" ht="24" customHeight="1">
      <c r="A1024" s="130" t="s">
        <v>78</v>
      </c>
      <c r="B1024" s="1356" t="s">
        <v>743</v>
      </c>
      <c r="C1024" s="1356"/>
      <c r="D1024" s="1356"/>
      <c r="E1024" s="150" t="s">
        <v>643</v>
      </c>
      <c r="F1024" s="338"/>
      <c r="G1024" s="338"/>
    </row>
    <row r="1025" spans="1:9" ht="22.5">
      <c r="A1025" s="341" t="s">
        <v>30</v>
      </c>
      <c r="B1025" s="342" t="s">
        <v>19</v>
      </c>
      <c r="C1025" s="343" t="s">
        <v>82</v>
      </c>
      <c r="D1025" s="343" t="s">
        <v>79</v>
      </c>
      <c r="E1025" s="344" t="s">
        <v>83</v>
      </c>
      <c r="F1025" s="345" t="s">
        <v>84</v>
      </c>
      <c r="G1025" s="346" t="s">
        <v>85</v>
      </c>
    </row>
    <row r="1026" spans="1:9" ht="14.1" customHeight="1">
      <c r="A1026" s="1308" t="s">
        <v>724</v>
      </c>
      <c r="B1026" s="1310" t="s">
        <v>644</v>
      </c>
      <c r="C1026" s="411" t="s">
        <v>102</v>
      </c>
      <c r="D1026" s="1457" t="s">
        <v>345</v>
      </c>
      <c r="E1026" s="1461">
        <v>1</v>
      </c>
      <c r="F1026" s="405">
        <f>G669</f>
        <v>11.29</v>
      </c>
      <c r="G1026" s="402">
        <f>TRUNC(E1026*F1026,2)</f>
        <v>11.29</v>
      </c>
      <c r="H1026" s="334"/>
      <c r="I1026" s="337"/>
    </row>
    <row r="1027" spans="1:9" ht="14.1" customHeight="1">
      <c r="A1027" s="1380"/>
      <c r="B1027" s="1311"/>
      <c r="C1027" s="402" t="s">
        <v>89</v>
      </c>
      <c r="D1027" s="1458"/>
      <c r="E1027" s="1462"/>
      <c r="F1027" s="405">
        <f>G670</f>
        <v>4.12</v>
      </c>
      <c r="G1027" s="406">
        <f>TRUNC(E1026*F1027,2)</f>
        <v>4.12</v>
      </c>
      <c r="H1027" s="334"/>
      <c r="I1027" s="337"/>
    </row>
    <row r="1028" spans="1:9" ht="33.75">
      <c r="A1028" s="400" t="s">
        <v>725</v>
      </c>
      <c r="B1028" s="401" t="s">
        <v>726</v>
      </c>
      <c r="C1028" s="402" t="s">
        <v>626</v>
      </c>
      <c r="D1028" s="403" t="s">
        <v>345</v>
      </c>
      <c r="E1028" s="404">
        <v>1</v>
      </c>
      <c r="F1028" s="405">
        <f>G989</f>
        <v>0.05</v>
      </c>
      <c r="G1028" s="406">
        <f t="shared" ref="G1028:G1029" si="51">TRUNC(E1028*F1028,2)</f>
        <v>0.05</v>
      </c>
      <c r="H1028" s="334"/>
      <c r="I1028" s="337"/>
    </row>
    <row r="1029" spans="1:9" ht="33.75">
      <c r="A1029" s="412" t="s">
        <v>727</v>
      </c>
      <c r="B1029" s="409" t="s">
        <v>728</v>
      </c>
      <c r="C1029" s="344" t="s">
        <v>626</v>
      </c>
      <c r="D1029" s="403" t="s">
        <v>345</v>
      </c>
      <c r="E1029" s="404">
        <v>1</v>
      </c>
      <c r="F1029" s="405">
        <f>G999</f>
        <v>0.01</v>
      </c>
      <c r="G1029" s="406">
        <f t="shared" si="51"/>
        <v>0.01</v>
      </c>
      <c r="H1029" s="334"/>
      <c r="I1029" s="337"/>
    </row>
    <row r="1030" spans="1:9" ht="14.1" customHeight="1">
      <c r="D1030" s="349"/>
      <c r="E1030" s="350"/>
      <c r="F1030" s="351" t="s">
        <v>92</v>
      </c>
      <c r="G1030" s="346">
        <f>G1026</f>
        <v>11.29</v>
      </c>
    </row>
    <row r="1031" spans="1:9" ht="14.1" customHeight="1">
      <c r="D1031" s="349"/>
      <c r="E1031" s="350"/>
      <c r="F1031" s="351" t="s">
        <v>94</v>
      </c>
      <c r="G1031" s="369">
        <f>G1027+G1028+G1029</f>
        <v>4.18</v>
      </c>
    </row>
    <row r="1032" spans="1:9" ht="14.1" customHeight="1">
      <c r="A1032" s="352"/>
      <c r="D1032" s="349"/>
      <c r="E1032" s="350"/>
      <c r="F1032" s="351" t="s">
        <v>95</v>
      </c>
      <c r="G1032" s="353">
        <f>SUM(G1030:G1031)</f>
        <v>15.469999999999999</v>
      </c>
      <c r="H1032" s="354"/>
    </row>
    <row r="1033" spans="1:9">
      <c r="A1033" s="355"/>
      <c r="B1033" s="356"/>
      <c r="C1033" s="357"/>
      <c r="D1033" s="358"/>
      <c r="E1033" s="355"/>
      <c r="F1033" s="356"/>
      <c r="G1033" s="356"/>
      <c r="H1033" s="356"/>
      <c r="I1033" s="355"/>
    </row>
    <row r="1035" spans="1:9">
      <c r="A1035" s="130" t="s">
        <v>542</v>
      </c>
    </row>
    <row r="1036" spans="1:9">
      <c r="A1036" s="130" t="s">
        <v>543</v>
      </c>
      <c r="B1036" s="359" t="s">
        <v>744</v>
      </c>
      <c r="C1036" s="360"/>
    </row>
    <row r="1037" spans="1:9" ht="33.75">
      <c r="A1037" s="130" t="s">
        <v>78</v>
      </c>
      <c r="B1037" s="340" t="s">
        <v>745</v>
      </c>
      <c r="C1037" s="150" t="s">
        <v>345</v>
      </c>
      <c r="E1037" s="338" t="s">
        <v>2</v>
      </c>
      <c r="F1037" s="338"/>
      <c r="G1037" s="338"/>
    </row>
    <row r="1038" spans="1:9" ht="22.5">
      <c r="A1038" s="341" t="s">
        <v>30</v>
      </c>
      <c r="B1038" s="342" t="s">
        <v>19</v>
      </c>
      <c r="C1038" s="343" t="s">
        <v>82</v>
      </c>
      <c r="D1038" s="343" t="s">
        <v>79</v>
      </c>
      <c r="E1038" s="344" t="s">
        <v>83</v>
      </c>
      <c r="F1038" s="345" t="s">
        <v>84</v>
      </c>
      <c r="G1038" s="346" t="s">
        <v>85</v>
      </c>
    </row>
    <row r="1039" spans="1:9" ht="14.1" customHeight="1">
      <c r="A1039" s="361">
        <v>6114</v>
      </c>
      <c r="B1039" s="362" t="s">
        <v>746</v>
      </c>
      <c r="C1039" s="363" t="s">
        <v>102</v>
      </c>
      <c r="D1039" s="343" t="s">
        <v>345</v>
      </c>
      <c r="E1039" s="364">
        <v>9.2999999999999992E-3</v>
      </c>
      <c r="F1039" s="365">
        <f>10.22</f>
        <v>10.220000000000001</v>
      </c>
      <c r="G1039" s="346">
        <f>TRUNC(E1039*F1039,2)</f>
        <v>0.09</v>
      </c>
    </row>
    <row r="1040" spans="1:9" ht="14.1" customHeight="1">
      <c r="D1040" s="349"/>
      <c r="E1040" s="350"/>
      <c r="F1040" s="351" t="s">
        <v>92</v>
      </c>
      <c r="G1040" s="346">
        <f>G1039</f>
        <v>0.09</v>
      </c>
    </row>
    <row r="1041" spans="1:9" ht="14.1" customHeight="1">
      <c r="D1041" s="349"/>
      <c r="E1041" s="350"/>
      <c r="F1041" s="351" t="s">
        <v>94</v>
      </c>
      <c r="G1041" s="346"/>
    </row>
    <row r="1042" spans="1:9" ht="14.1" customHeight="1">
      <c r="A1042" s="352"/>
      <c r="D1042" s="349"/>
      <c r="E1042" s="350"/>
      <c r="F1042" s="351" t="s">
        <v>95</v>
      </c>
      <c r="G1042" s="353">
        <f>SUM(G1040:G1041)</f>
        <v>0.09</v>
      </c>
      <c r="H1042" s="354"/>
    </row>
    <row r="1043" spans="1:9">
      <c r="A1043" s="355"/>
      <c r="B1043" s="356"/>
      <c r="C1043" s="357"/>
      <c r="D1043" s="358"/>
      <c r="E1043" s="355"/>
      <c r="F1043" s="356"/>
      <c r="G1043" s="356"/>
      <c r="H1043" s="356"/>
      <c r="I1043" s="355"/>
    </row>
    <row r="1045" spans="1:9">
      <c r="A1045" s="130" t="s">
        <v>542</v>
      </c>
    </row>
    <row r="1046" spans="1:9">
      <c r="A1046" s="130" t="s">
        <v>543</v>
      </c>
      <c r="B1046" s="359" t="s">
        <v>967</v>
      </c>
      <c r="C1046" s="360"/>
    </row>
    <row r="1047" spans="1:9" ht="22.5">
      <c r="A1047" s="130" t="s">
        <v>78</v>
      </c>
      <c r="B1047" s="340" t="s">
        <v>747</v>
      </c>
      <c r="C1047" s="150" t="s">
        <v>345</v>
      </c>
      <c r="E1047" s="338" t="s">
        <v>2</v>
      </c>
      <c r="F1047" s="338"/>
      <c r="G1047" s="338"/>
    </row>
    <row r="1048" spans="1:9" ht="22.5">
      <c r="A1048" s="341" t="s">
        <v>30</v>
      </c>
      <c r="B1048" s="342" t="s">
        <v>19</v>
      </c>
      <c r="C1048" s="343" t="s">
        <v>82</v>
      </c>
      <c r="D1048" s="343" t="s">
        <v>79</v>
      </c>
      <c r="E1048" s="344" t="s">
        <v>83</v>
      </c>
      <c r="F1048" s="345" t="s">
        <v>84</v>
      </c>
      <c r="G1048" s="346" t="s">
        <v>85</v>
      </c>
    </row>
    <row r="1049" spans="1:9" ht="14.1" customHeight="1">
      <c r="A1049" s="361">
        <v>378</v>
      </c>
      <c r="B1049" s="362" t="s">
        <v>748</v>
      </c>
      <c r="C1049" s="363" t="s">
        <v>102</v>
      </c>
      <c r="D1049" s="343" t="s">
        <v>345</v>
      </c>
      <c r="E1049" s="364">
        <v>9.2999999999999992E-3</v>
      </c>
      <c r="F1049" s="365">
        <f>14.68</f>
        <v>14.68</v>
      </c>
      <c r="G1049" s="346">
        <f>TRUNC(E1049*F1049,2)</f>
        <v>0.13</v>
      </c>
    </row>
    <row r="1050" spans="1:9" ht="14.1" customHeight="1">
      <c r="D1050" s="349"/>
      <c r="E1050" s="350"/>
      <c r="F1050" s="351" t="s">
        <v>92</v>
      </c>
      <c r="G1050" s="346">
        <f>G1049</f>
        <v>0.13</v>
      </c>
    </row>
    <row r="1051" spans="1:9" ht="14.1" customHeight="1">
      <c r="D1051" s="349"/>
      <c r="E1051" s="350"/>
      <c r="F1051" s="351" t="s">
        <v>94</v>
      </c>
      <c r="G1051" s="346"/>
    </row>
    <row r="1052" spans="1:9" ht="14.1" customHeight="1">
      <c r="A1052" s="352"/>
      <c r="D1052" s="349"/>
      <c r="E1052" s="350"/>
      <c r="F1052" s="351" t="s">
        <v>95</v>
      </c>
      <c r="G1052" s="353">
        <f>SUM(G1050:G1051)</f>
        <v>0.13</v>
      </c>
      <c r="H1052" s="354"/>
    </row>
    <row r="1053" spans="1:9">
      <c r="A1053" s="355"/>
      <c r="B1053" s="356"/>
      <c r="C1053" s="357"/>
      <c r="D1053" s="358"/>
      <c r="E1053" s="355"/>
      <c r="F1053" s="356"/>
      <c r="G1053" s="356"/>
      <c r="H1053" s="356"/>
      <c r="I1053" s="355"/>
    </row>
    <row r="1055" spans="1:9">
      <c r="A1055" s="130" t="s">
        <v>542</v>
      </c>
    </row>
    <row r="1056" spans="1:9">
      <c r="A1056" s="130" t="s">
        <v>543</v>
      </c>
      <c r="B1056" s="359" t="s">
        <v>966</v>
      </c>
      <c r="C1056" s="360"/>
    </row>
    <row r="1057" spans="1:9" ht="33.75">
      <c r="A1057" s="130" t="s">
        <v>78</v>
      </c>
      <c r="B1057" s="340" t="s">
        <v>749</v>
      </c>
      <c r="C1057" s="150" t="s">
        <v>685</v>
      </c>
      <c r="E1057" s="338" t="s">
        <v>2</v>
      </c>
      <c r="F1057" s="338"/>
      <c r="G1057" s="338"/>
    </row>
    <row r="1058" spans="1:9" ht="22.5">
      <c r="A1058" s="341" t="s">
        <v>30</v>
      </c>
      <c r="B1058" s="413" t="s">
        <v>19</v>
      </c>
      <c r="C1058" s="343" t="s">
        <v>82</v>
      </c>
      <c r="D1058" s="343" t="s">
        <v>79</v>
      </c>
      <c r="E1058" s="344" t="s">
        <v>83</v>
      </c>
      <c r="F1058" s="345" t="s">
        <v>84</v>
      </c>
      <c r="G1058" s="346" t="s">
        <v>85</v>
      </c>
    </row>
    <row r="1059" spans="1:9" ht="14.1" customHeight="1">
      <c r="A1059" s="341" t="s">
        <v>750</v>
      </c>
      <c r="B1059" s="362" t="s">
        <v>751</v>
      </c>
      <c r="C1059" s="345" t="s">
        <v>89</v>
      </c>
      <c r="D1059" s="343" t="s">
        <v>685</v>
      </c>
      <c r="E1059" s="368">
        <v>1.1100000000000001</v>
      </c>
      <c r="F1059" s="345">
        <v>5.0199999999999996</v>
      </c>
      <c r="G1059" s="369">
        <f t="shared" ref="G1059:G1060" si="52">TRUNC(E1059*F1059,2)</f>
        <v>5.57</v>
      </c>
    </row>
    <row r="1060" spans="1:9" ht="14.1" customHeight="1">
      <c r="A1060" s="1347" t="s">
        <v>752</v>
      </c>
      <c r="B1060" s="1351" t="s">
        <v>753</v>
      </c>
      <c r="C1060" s="345" t="s">
        <v>102</v>
      </c>
      <c r="D1060" s="1457" t="s">
        <v>345</v>
      </c>
      <c r="E1060" s="1364">
        <v>3.2000000000000002E-3</v>
      </c>
      <c r="F1060" s="414">
        <f>G185</f>
        <v>10.31</v>
      </c>
      <c r="G1060" s="369">
        <f t="shared" si="52"/>
        <v>0.03</v>
      </c>
    </row>
    <row r="1061" spans="1:9" ht="14.1" customHeight="1">
      <c r="A1061" s="1348"/>
      <c r="B1061" s="1352"/>
      <c r="C1061" s="345" t="s">
        <v>89</v>
      </c>
      <c r="D1061" s="1458"/>
      <c r="E1061" s="1365"/>
      <c r="F1061" s="414">
        <f>G186</f>
        <v>4.5600000000000005</v>
      </c>
      <c r="G1061" s="369">
        <f>TRUNC(E1060*F1061,2)</f>
        <v>0.01</v>
      </c>
    </row>
    <row r="1062" spans="1:9" ht="14.1" customHeight="1">
      <c r="A1062" s="1317">
        <v>88245</v>
      </c>
      <c r="B1062" s="1351" t="s">
        <v>754</v>
      </c>
      <c r="C1062" s="345" t="s">
        <v>102</v>
      </c>
      <c r="D1062" s="1457" t="s">
        <v>345</v>
      </c>
      <c r="E1062" s="1414">
        <v>2.24E-2</v>
      </c>
      <c r="F1062" s="414">
        <f>G168</f>
        <v>14.81</v>
      </c>
      <c r="G1062" s="369">
        <f t="shared" ref="G1062" si="53">TRUNC(E1062*F1062,2)</f>
        <v>0.33</v>
      </c>
    </row>
    <row r="1063" spans="1:9" ht="14.1" customHeight="1">
      <c r="A1063" s="1318"/>
      <c r="B1063" s="1352"/>
      <c r="C1063" s="363" t="s">
        <v>89</v>
      </c>
      <c r="D1063" s="1458"/>
      <c r="E1063" s="1415"/>
      <c r="F1063" s="414">
        <f>G169</f>
        <v>4.5600000000000005</v>
      </c>
      <c r="G1063" s="369">
        <f>TRUNC(E1062*F1063,2)</f>
        <v>0.1</v>
      </c>
    </row>
    <row r="1064" spans="1:9" ht="14.1" customHeight="1">
      <c r="D1064" s="349"/>
      <c r="E1064" s="350"/>
      <c r="F1064" s="351" t="s">
        <v>92</v>
      </c>
      <c r="G1064" s="369">
        <f>G1060+G1062</f>
        <v>0.36</v>
      </c>
    </row>
    <row r="1065" spans="1:9" ht="14.1" customHeight="1">
      <c r="D1065" s="349"/>
      <c r="E1065" s="350"/>
      <c r="F1065" s="351" t="s">
        <v>94</v>
      </c>
      <c r="G1065" s="369">
        <f>G1059+G1061+G1063</f>
        <v>5.68</v>
      </c>
    </row>
    <row r="1066" spans="1:9" ht="14.1" customHeight="1">
      <c r="A1066" s="352"/>
      <c r="D1066" s="349"/>
      <c r="E1066" s="350"/>
      <c r="F1066" s="351" t="s">
        <v>95</v>
      </c>
      <c r="G1066" s="353">
        <f>SUM(G1064:G1065)</f>
        <v>6.04</v>
      </c>
      <c r="H1066" s="354"/>
    </row>
    <row r="1067" spans="1:9">
      <c r="A1067" s="355"/>
      <c r="B1067" s="356"/>
      <c r="C1067" s="357"/>
      <c r="D1067" s="358"/>
      <c r="E1067" s="355"/>
      <c r="F1067" s="356"/>
      <c r="G1067" s="356"/>
      <c r="H1067" s="356"/>
      <c r="I1067" s="355"/>
    </row>
    <row r="1069" spans="1:9">
      <c r="A1069" s="130" t="s">
        <v>542</v>
      </c>
    </row>
    <row r="1070" spans="1:9">
      <c r="A1070" s="130" t="s">
        <v>543</v>
      </c>
      <c r="B1070" s="359" t="s">
        <v>965</v>
      </c>
      <c r="C1070" s="360"/>
    </row>
    <row r="1071" spans="1:9" ht="33.75">
      <c r="A1071" s="130" t="s">
        <v>78</v>
      </c>
      <c r="B1071" s="340" t="s">
        <v>755</v>
      </c>
      <c r="C1071" s="150" t="s">
        <v>685</v>
      </c>
      <c r="E1071" s="338" t="s">
        <v>2</v>
      </c>
      <c r="F1071" s="338"/>
      <c r="G1071" s="338"/>
    </row>
    <row r="1072" spans="1:9" ht="22.5">
      <c r="A1072" s="341" t="s">
        <v>30</v>
      </c>
      <c r="B1072" s="413" t="s">
        <v>19</v>
      </c>
      <c r="C1072" s="343" t="s">
        <v>82</v>
      </c>
      <c r="D1072" s="343" t="s">
        <v>79</v>
      </c>
      <c r="E1072" s="344" t="s">
        <v>83</v>
      </c>
      <c r="F1072" s="345" t="s">
        <v>84</v>
      </c>
      <c r="G1072" s="346" t="s">
        <v>85</v>
      </c>
    </row>
    <row r="1073" spans="1:9" ht="14.1" customHeight="1">
      <c r="A1073" s="415">
        <v>34</v>
      </c>
      <c r="B1073" s="362" t="s">
        <v>756</v>
      </c>
      <c r="C1073" s="345" t="s">
        <v>89</v>
      </c>
      <c r="D1073" s="343" t="s">
        <v>685</v>
      </c>
      <c r="E1073" s="344">
        <v>1.1100000000000001</v>
      </c>
      <c r="F1073" s="345">
        <v>4.2699999999999996</v>
      </c>
      <c r="G1073" s="369">
        <f t="shared" ref="G1073:G1076" si="54">TRUNC(E1073*F1073,2)</f>
        <v>4.7300000000000004</v>
      </c>
    </row>
    <row r="1074" spans="1:9" ht="14.1" customHeight="1">
      <c r="A1074" s="1347" t="s">
        <v>752</v>
      </c>
      <c r="B1074" s="1351" t="s">
        <v>753</v>
      </c>
      <c r="C1074" s="345" t="s">
        <v>102</v>
      </c>
      <c r="D1074" s="1457" t="s">
        <v>345</v>
      </c>
      <c r="E1074" s="1364">
        <v>1.8E-3</v>
      </c>
      <c r="F1074" s="414">
        <f>G185</f>
        <v>10.31</v>
      </c>
      <c r="G1074" s="369">
        <f t="shared" si="54"/>
        <v>0.01</v>
      </c>
    </row>
    <row r="1075" spans="1:9" ht="14.1" customHeight="1">
      <c r="A1075" s="1348"/>
      <c r="B1075" s="1352"/>
      <c r="C1075" s="345" t="s">
        <v>89</v>
      </c>
      <c r="D1075" s="1458"/>
      <c r="E1075" s="1365"/>
      <c r="F1075" s="414">
        <f>G186</f>
        <v>4.5600000000000005</v>
      </c>
      <c r="G1075" s="369">
        <f>TRUNC(E1074*F1075,2)</f>
        <v>0</v>
      </c>
    </row>
    <row r="1076" spans="1:9" ht="14.1" customHeight="1">
      <c r="A1076" s="1317">
        <v>88245</v>
      </c>
      <c r="B1076" s="1351" t="s">
        <v>754</v>
      </c>
      <c r="C1076" s="345" t="s">
        <v>102</v>
      </c>
      <c r="D1076" s="1457" t="s">
        <v>345</v>
      </c>
      <c r="E1076" s="1414">
        <v>1.2500000000000001E-2</v>
      </c>
      <c r="F1076" s="414">
        <f>G168</f>
        <v>14.81</v>
      </c>
      <c r="G1076" s="369">
        <f t="shared" si="54"/>
        <v>0.18</v>
      </c>
    </row>
    <row r="1077" spans="1:9" ht="14.1" customHeight="1">
      <c r="A1077" s="1318"/>
      <c r="B1077" s="1352"/>
      <c r="C1077" s="363" t="s">
        <v>89</v>
      </c>
      <c r="D1077" s="1458"/>
      <c r="E1077" s="1415"/>
      <c r="F1077" s="414">
        <f>G169</f>
        <v>4.5600000000000005</v>
      </c>
      <c r="G1077" s="346">
        <f>TRUNC(E1076*F1077,2)</f>
        <v>0.05</v>
      </c>
    </row>
    <row r="1078" spans="1:9" ht="14.1" customHeight="1">
      <c r="D1078" s="349"/>
      <c r="E1078" s="350"/>
      <c r="F1078" s="351" t="s">
        <v>92</v>
      </c>
      <c r="G1078" s="369">
        <f>G1074+G1076</f>
        <v>0.19</v>
      </c>
    </row>
    <row r="1079" spans="1:9" ht="14.1" customHeight="1">
      <c r="D1079" s="349"/>
      <c r="E1079" s="350"/>
      <c r="F1079" s="351" t="s">
        <v>94</v>
      </c>
      <c r="G1079" s="369">
        <f>G1073+G1075+G1077</f>
        <v>4.78</v>
      </c>
    </row>
    <row r="1080" spans="1:9" ht="14.1" customHeight="1">
      <c r="A1080" s="352"/>
      <c r="D1080" s="349"/>
      <c r="E1080" s="350"/>
      <c r="F1080" s="351" t="s">
        <v>95</v>
      </c>
      <c r="G1080" s="353">
        <f>SUM(G1078:G1079)</f>
        <v>4.9700000000000006</v>
      </c>
      <c r="H1080" s="354"/>
    </row>
    <row r="1081" spans="1:9">
      <c r="A1081" s="355"/>
      <c r="B1081" s="356"/>
      <c r="C1081" s="357"/>
      <c r="D1081" s="358"/>
      <c r="E1081" s="355"/>
      <c r="F1081" s="356"/>
      <c r="G1081" s="356"/>
      <c r="H1081" s="356"/>
      <c r="I1081" s="355"/>
    </row>
    <row r="1083" spans="1:9">
      <c r="A1083" s="130" t="s">
        <v>542</v>
      </c>
    </row>
    <row r="1084" spans="1:9">
      <c r="A1084" s="130" t="s">
        <v>543</v>
      </c>
      <c r="B1084" s="359" t="s">
        <v>1206</v>
      </c>
      <c r="C1084" s="360"/>
    </row>
    <row r="1085" spans="1:9" ht="33.75">
      <c r="A1085" s="130" t="s">
        <v>78</v>
      </c>
      <c r="B1085" s="724" t="s">
        <v>1207</v>
      </c>
      <c r="C1085" s="150" t="s">
        <v>685</v>
      </c>
      <c r="E1085" s="338" t="s">
        <v>2</v>
      </c>
      <c r="F1085" s="338"/>
      <c r="G1085" s="338"/>
    </row>
    <row r="1086" spans="1:9" ht="22.5">
      <c r="A1086" s="341" t="s">
        <v>30</v>
      </c>
      <c r="B1086" s="413" t="s">
        <v>19</v>
      </c>
      <c r="C1086" s="343" t="s">
        <v>82</v>
      </c>
      <c r="D1086" s="343" t="s">
        <v>79</v>
      </c>
      <c r="E1086" s="715" t="s">
        <v>83</v>
      </c>
      <c r="F1086" s="345" t="s">
        <v>84</v>
      </c>
      <c r="G1086" s="346" t="s">
        <v>85</v>
      </c>
    </row>
    <row r="1087" spans="1:9" ht="15" customHeight="1">
      <c r="A1087" s="718">
        <v>31</v>
      </c>
      <c r="B1087" s="362" t="s">
        <v>1208</v>
      </c>
      <c r="C1087" s="345" t="s">
        <v>89</v>
      </c>
      <c r="D1087" s="343" t="s">
        <v>685</v>
      </c>
      <c r="E1087" s="715">
        <v>1.1100000000000001</v>
      </c>
      <c r="F1087" s="345">
        <v>4.0599999999999996</v>
      </c>
      <c r="G1087" s="369">
        <f t="shared" ref="G1087:G1088" si="55">TRUNC(E1087*F1087,2)</f>
        <v>4.5</v>
      </c>
    </row>
    <row r="1088" spans="1:9" ht="15" customHeight="1">
      <c r="A1088" s="1347" t="s">
        <v>752</v>
      </c>
      <c r="B1088" s="1351" t="s">
        <v>753</v>
      </c>
      <c r="C1088" s="345" t="s">
        <v>102</v>
      </c>
      <c r="D1088" s="1457" t="s">
        <v>345</v>
      </c>
      <c r="E1088" s="1364">
        <v>1E-3</v>
      </c>
      <c r="F1088" s="414">
        <f>G185</f>
        <v>10.31</v>
      </c>
      <c r="G1088" s="369">
        <f t="shared" si="55"/>
        <v>0.01</v>
      </c>
    </row>
    <row r="1089" spans="1:8" ht="15" customHeight="1">
      <c r="A1089" s="1348"/>
      <c r="B1089" s="1352"/>
      <c r="C1089" s="345" t="s">
        <v>89</v>
      </c>
      <c r="D1089" s="1458"/>
      <c r="E1089" s="1365"/>
      <c r="F1089" s="414">
        <f>G186</f>
        <v>4.5600000000000005</v>
      </c>
      <c r="G1089" s="369">
        <f>TRUNC(E1088*F1089,2)</f>
        <v>0</v>
      </c>
    </row>
    <row r="1090" spans="1:8" ht="15" customHeight="1">
      <c r="A1090" s="1317">
        <v>88245</v>
      </c>
      <c r="B1090" s="1351" t="s">
        <v>754</v>
      </c>
      <c r="C1090" s="345" t="s">
        <v>102</v>
      </c>
      <c r="D1090" s="1457" t="s">
        <v>345</v>
      </c>
      <c r="E1090" s="1414">
        <v>7.0000000000000001E-3</v>
      </c>
      <c r="F1090" s="414">
        <f>G168</f>
        <v>14.81</v>
      </c>
      <c r="G1090" s="369">
        <f t="shared" ref="G1090" si="56">TRUNC(E1090*F1090,2)</f>
        <v>0.1</v>
      </c>
    </row>
    <row r="1091" spans="1:8" ht="15" customHeight="1">
      <c r="A1091" s="1318"/>
      <c r="B1091" s="1352"/>
      <c r="C1091" s="363" t="s">
        <v>89</v>
      </c>
      <c r="D1091" s="1458"/>
      <c r="E1091" s="1415"/>
      <c r="F1091" s="414">
        <f>G169</f>
        <v>4.5600000000000005</v>
      </c>
      <c r="G1091" s="346">
        <f>TRUNC(E1090*F1091,2)</f>
        <v>0.03</v>
      </c>
    </row>
    <row r="1092" spans="1:8" ht="15" customHeight="1">
      <c r="D1092" s="349"/>
      <c r="E1092" s="350"/>
      <c r="F1092" s="351" t="s">
        <v>92</v>
      </c>
      <c r="G1092" s="369">
        <f>G1088+G1090</f>
        <v>0.11</v>
      </c>
    </row>
    <row r="1093" spans="1:8" ht="15" customHeight="1">
      <c r="D1093" s="349"/>
      <c r="E1093" s="350"/>
      <c r="F1093" s="351" t="s">
        <v>94</v>
      </c>
      <c r="G1093" s="369">
        <f>G1087+G1089+G1091</f>
        <v>4.53</v>
      </c>
    </row>
    <row r="1094" spans="1:8" ht="15" customHeight="1">
      <c r="A1094" s="352"/>
      <c r="D1094" s="349"/>
      <c r="E1094" s="350"/>
      <c r="F1094" s="351" t="s">
        <v>95</v>
      </c>
      <c r="G1094" s="353">
        <f>SUM(G1092:G1093)</f>
        <v>4.6400000000000006</v>
      </c>
      <c r="H1094" s="354"/>
    </row>
    <row r="1095" spans="1:8">
      <c r="A1095" s="355"/>
      <c r="B1095" s="356"/>
      <c r="C1095" s="357"/>
      <c r="D1095" s="358"/>
      <c r="E1095" s="355"/>
      <c r="F1095" s="356"/>
      <c r="G1095" s="356"/>
      <c r="H1095" s="356"/>
    </row>
    <row r="1097" spans="1:8">
      <c r="A1097" s="130" t="s">
        <v>542</v>
      </c>
    </row>
    <row r="1098" spans="1:8">
      <c r="A1098" s="130" t="s">
        <v>543</v>
      </c>
      <c r="B1098" s="359" t="s">
        <v>964</v>
      </c>
      <c r="C1098" s="360"/>
    </row>
    <row r="1099" spans="1:8" ht="33.75">
      <c r="A1099" s="130" t="s">
        <v>78</v>
      </c>
      <c r="B1099" s="561" t="s">
        <v>968</v>
      </c>
      <c r="C1099" s="150" t="s">
        <v>685</v>
      </c>
      <c r="E1099" s="338" t="s">
        <v>2</v>
      </c>
      <c r="F1099" s="338"/>
      <c r="G1099" s="338"/>
    </row>
    <row r="1100" spans="1:8" ht="22.5">
      <c r="A1100" s="341" t="s">
        <v>30</v>
      </c>
      <c r="B1100" s="413" t="s">
        <v>19</v>
      </c>
      <c r="C1100" s="343" t="s">
        <v>82</v>
      </c>
      <c r="D1100" s="343" t="s">
        <v>79</v>
      </c>
      <c r="E1100" s="563" t="s">
        <v>83</v>
      </c>
      <c r="F1100" s="345" t="s">
        <v>84</v>
      </c>
      <c r="G1100" s="346" t="s">
        <v>85</v>
      </c>
    </row>
    <row r="1101" spans="1:8" ht="14.1" customHeight="1">
      <c r="A1101" s="415">
        <v>39</v>
      </c>
      <c r="B1101" s="362" t="s">
        <v>969</v>
      </c>
      <c r="C1101" s="345" t="s">
        <v>89</v>
      </c>
      <c r="D1101" s="343" t="s">
        <v>685</v>
      </c>
      <c r="E1101" s="563">
        <v>1.07</v>
      </c>
      <c r="F1101" s="345">
        <v>4.2300000000000004</v>
      </c>
      <c r="G1101" s="369">
        <f t="shared" ref="G1101:G1102" si="57">TRUNC(E1101*F1101,2)</f>
        <v>4.5199999999999996</v>
      </c>
    </row>
    <row r="1102" spans="1:8" ht="14.1" customHeight="1">
      <c r="A1102" s="1347" t="s">
        <v>752</v>
      </c>
      <c r="B1102" s="1351" t="s">
        <v>753</v>
      </c>
      <c r="C1102" s="345" t="s">
        <v>102</v>
      </c>
      <c r="D1102" s="1457" t="s">
        <v>345</v>
      </c>
      <c r="E1102" s="1364">
        <v>1.0800000000000001E-2</v>
      </c>
      <c r="F1102" s="414">
        <f>G185</f>
        <v>10.31</v>
      </c>
      <c r="G1102" s="369">
        <f t="shared" si="57"/>
        <v>0.11</v>
      </c>
    </row>
    <row r="1103" spans="1:8" ht="14.1" customHeight="1">
      <c r="A1103" s="1348"/>
      <c r="B1103" s="1352"/>
      <c r="C1103" s="345" t="s">
        <v>89</v>
      </c>
      <c r="D1103" s="1458"/>
      <c r="E1103" s="1365"/>
      <c r="F1103" s="414">
        <f>G186</f>
        <v>4.5600000000000005</v>
      </c>
      <c r="G1103" s="369">
        <f>TRUNC(E1102*F1103,2)</f>
        <v>0.04</v>
      </c>
    </row>
    <row r="1104" spans="1:8" ht="14.1" customHeight="1">
      <c r="A1104" s="1317">
        <v>88245</v>
      </c>
      <c r="B1104" s="1351" t="s">
        <v>754</v>
      </c>
      <c r="C1104" s="345" t="s">
        <v>102</v>
      </c>
      <c r="D1104" s="1457" t="s">
        <v>345</v>
      </c>
      <c r="E1104" s="1414">
        <v>7.6899999999999996E-2</v>
      </c>
      <c r="F1104" s="414">
        <f>G168</f>
        <v>14.81</v>
      </c>
      <c r="G1104" s="369">
        <f t="shared" ref="G1104" si="58">TRUNC(E1104*F1104,2)</f>
        <v>1.1299999999999999</v>
      </c>
    </row>
    <row r="1105" spans="1:8" ht="14.1" customHeight="1">
      <c r="A1105" s="1318"/>
      <c r="B1105" s="1352"/>
      <c r="C1105" s="363" t="s">
        <v>89</v>
      </c>
      <c r="D1105" s="1458"/>
      <c r="E1105" s="1415"/>
      <c r="F1105" s="414">
        <f>G169</f>
        <v>4.5600000000000005</v>
      </c>
      <c r="G1105" s="346">
        <f>TRUNC(E1104*F1105,2)</f>
        <v>0.35</v>
      </c>
    </row>
    <row r="1106" spans="1:8" ht="14.1" customHeight="1">
      <c r="D1106" s="349"/>
      <c r="E1106" s="350"/>
      <c r="F1106" s="351" t="s">
        <v>92</v>
      </c>
      <c r="G1106" s="369">
        <f>G1102+G1104</f>
        <v>1.24</v>
      </c>
    </row>
    <row r="1107" spans="1:8" ht="14.1" customHeight="1">
      <c r="D1107" s="349"/>
      <c r="E1107" s="350"/>
      <c r="F1107" s="351" t="s">
        <v>94</v>
      </c>
      <c r="G1107" s="369">
        <f>G1101+G1103+G1105</f>
        <v>4.9099999999999993</v>
      </c>
    </row>
    <row r="1108" spans="1:8" ht="14.1" customHeight="1">
      <c r="A1108" s="352"/>
      <c r="D1108" s="349"/>
      <c r="E1108" s="350"/>
      <c r="F1108" s="351" t="s">
        <v>95</v>
      </c>
      <c r="G1108" s="353">
        <f>SUM(G1106:G1107)</f>
        <v>6.1499999999999995</v>
      </c>
      <c r="H1108" s="354"/>
    </row>
    <row r="1109" spans="1:8">
      <c r="A1109" s="355"/>
      <c r="B1109" s="356"/>
      <c r="C1109" s="357"/>
      <c r="D1109" s="358"/>
      <c r="E1109" s="355"/>
      <c r="F1109" s="356"/>
      <c r="G1109" s="356"/>
      <c r="H1109" s="356"/>
    </row>
    <row r="1111" spans="1:8">
      <c r="A1111" s="130" t="s">
        <v>542</v>
      </c>
    </row>
    <row r="1112" spans="1:8">
      <c r="A1112" s="130" t="s">
        <v>543</v>
      </c>
      <c r="B1112" s="148" t="s">
        <v>757</v>
      </c>
      <c r="C1112" s="339"/>
    </row>
    <row r="1113" spans="1:8" ht="39" customHeight="1">
      <c r="A1113" s="130" t="s">
        <v>78</v>
      </c>
      <c r="B1113" s="1356" t="s">
        <v>758</v>
      </c>
      <c r="C1113" s="1356"/>
      <c r="D1113" s="1356"/>
      <c r="E1113" s="150" t="s">
        <v>643</v>
      </c>
      <c r="F1113" s="338"/>
      <c r="G1113" s="338"/>
    </row>
    <row r="1114" spans="1:8" ht="22.5">
      <c r="A1114" s="341" t="s">
        <v>30</v>
      </c>
      <c r="B1114" s="342" t="s">
        <v>19</v>
      </c>
      <c r="C1114" s="343" t="s">
        <v>82</v>
      </c>
      <c r="D1114" s="343" t="s">
        <v>79</v>
      </c>
      <c r="E1114" s="344" t="s">
        <v>83</v>
      </c>
      <c r="F1114" s="345" t="s">
        <v>84</v>
      </c>
      <c r="G1114" s="346" t="s">
        <v>85</v>
      </c>
    </row>
    <row r="1115" spans="1:8" ht="45">
      <c r="A1115" s="416">
        <v>88826</v>
      </c>
      <c r="B1115" s="401" t="s">
        <v>759</v>
      </c>
      <c r="C1115" s="402" t="s">
        <v>626</v>
      </c>
      <c r="D1115" s="403" t="s">
        <v>345</v>
      </c>
      <c r="E1115" s="404">
        <v>1</v>
      </c>
      <c r="F1115" s="405">
        <f>G1131</f>
        <v>0.22</v>
      </c>
      <c r="G1115" s="406">
        <f t="shared" ref="G1115:G1118" si="59">TRUNC(E1115*F1115,2)</f>
        <v>0.22</v>
      </c>
    </row>
    <row r="1116" spans="1:8" ht="45">
      <c r="A1116" s="416">
        <v>88827</v>
      </c>
      <c r="B1116" s="347" t="s">
        <v>760</v>
      </c>
      <c r="C1116" s="346" t="s">
        <v>626</v>
      </c>
      <c r="D1116" s="343" t="s">
        <v>345</v>
      </c>
      <c r="E1116" s="408">
        <v>1</v>
      </c>
      <c r="F1116" s="348">
        <f>G1141</f>
        <v>0.04</v>
      </c>
      <c r="G1116" s="406">
        <f t="shared" si="59"/>
        <v>0.04</v>
      </c>
    </row>
    <row r="1117" spans="1:8" ht="45">
      <c r="A1117" s="416">
        <v>88828</v>
      </c>
      <c r="B1117" s="347" t="s">
        <v>761</v>
      </c>
      <c r="C1117" s="344" t="s">
        <v>626</v>
      </c>
      <c r="D1117" s="343" t="s">
        <v>345</v>
      </c>
      <c r="E1117" s="368">
        <v>1</v>
      </c>
      <c r="F1117" s="348">
        <f>G1151</f>
        <v>0.2</v>
      </c>
      <c r="G1117" s="406">
        <f t="shared" si="59"/>
        <v>0.2</v>
      </c>
    </row>
    <row r="1118" spans="1:8" ht="45">
      <c r="A1118" s="407">
        <v>88829</v>
      </c>
      <c r="B1118" s="347" t="s">
        <v>762</v>
      </c>
      <c r="C1118" s="344" t="s">
        <v>626</v>
      </c>
      <c r="D1118" s="343" t="s">
        <v>345</v>
      </c>
      <c r="E1118" s="368">
        <v>1</v>
      </c>
      <c r="F1118" s="348">
        <f>G1161</f>
        <v>0.57999999999999996</v>
      </c>
      <c r="G1118" s="369">
        <f t="shared" si="59"/>
        <v>0.57999999999999996</v>
      </c>
    </row>
    <row r="1119" spans="1:8" ht="14.1" customHeight="1">
      <c r="D1119" s="376"/>
      <c r="E1119" s="377"/>
      <c r="F1119" s="378" t="s">
        <v>92</v>
      </c>
      <c r="G1119" s="379"/>
    </row>
    <row r="1120" spans="1:8" ht="14.1" customHeight="1">
      <c r="A1120" s="352"/>
      <c r="D1120" s="349"/>
      <c r="E1120" s="350"/>
      <c r="F1120" s="351" t="s">
        <v>94</v>
      </c>
      <c r="G1120" s="369">
        <f>SUM(G1115:G1118)</f>
        <v>1.04</v>
      </c>
      <c r="H1120" s="334"/>
    </row>
    <row r="1121" spans="1:9" ht="14.1" customHeight="1">
      <c r="A1121" s="352"/>
      <c r="D1121" s="147"/>
      <c r="E1121" s="131"/>
      <c r="F1121" s="351" t="s">
        <v>95</v>
      </c>
      <c r="G1121" s="370">
        <f>SUM(G1119:G1120)</f>
        <v>1.04</v>
      </c>
      <c r="H1121" s="354"/>
    </row>
    <row r="1122" spans="1:9">
      <c r="A1122" s="355"/>
      <c r="B1122" s="356"/>
      <c r="C1122" s="357"/>
      <c r="D1122" s="358"/>
      <c r="E1122" s="355"/>
      <c r="F1122" s="356"/>
      <c r="G1122" s="356"/>
      <c r="H1122" s="356"/>
      <c r="I1122" s="355"/>
    </row>
    <row r="1124" spans="1:9">
      <c r="A1124" s="130" t="s">
        <v>542</v>
      </c>
    </row>
    <row r="1125" spans="1:9">
      <c r="A1125" s="130" t="s">
        <v>543</v>
      </c>
      <c r="B1125" s="148" t="s">
        <v>763</v>
      </c>
      <c r="C1125" s="339"/>
    </row>
    <row r="1126" spans="1:9" ht="36.75" customHeight="1">
      <c r="A1126" s="130" t="s">
        <v>78</v>
      </c>
      <c r="B1126" s="1356" t="s">
        <v>759</v>
      </c>
      <c r="C1126" s="1356"/>
      <c r="D1126" s="1356"/>
      <c r="E1126" s="150" t="s">
        <v>345</v>
      </c>
      <c r="F1126" s="338"/>
      <c r="G1126" s="338"/>
    </row>
    <row r="1127" spans="1:9" ht="22.5">
      <c r="A1127" s="341" t="s">
        <v>30</v>
      </c>
      <c r="B1127" s="342" t="s">
        <v>19</v>
      </c>
      <c r="C1127" s="343" t="s">
        <v>82</v>
      </c>
      <c r="D1127" s="343" t="s">
        <v>79</v>
      </c>
      <c r="E1127" s="344" t="s">
        <v>83</v>
      </c>
      <c r="F1127" s="345" t="s">
        <v>84</v>
      </c>
      <c r="G1127" s="346" t="s">
        <v>85</v>
      </c>
    </row>
    <row r="1128" spans="1:9" ht="45">
      <c r="A1128" s="407">
        <v>10535</v>
      </c>
      <c r="B1128" s="409" t="s">
        <v>764</v>
      </c>
      <c r="C1128" s="346" t="s">
        <v>626</v>
      </c>
      <c r="D1128" s="343" t="s">
        <v>345</v>
      </c>
      <c r="E1128" s="410">
        <v>6.3999999999999997E-5</v>
      </c>
      <c r="F1128" s="372">
        <v>3451.74</v>
      </c>
      <c r="G1128" s="369">
        <f t="shared" ref="G1128" si="60">TRUNC(E1128*F1128,2)</f>
        <v>0.22</v>
      </c>
    </row>
    <row r="1129" spans="1:9" ht="14.1" customHeight="1">
      <c r="D1129" s="376"/>
      <c r="E1129" s="377"/>
      <c r="F1129" s="378" t="s">
        <v>92</v>
      </c>
      <c r="G1129" s="379">
        <v>0</v>
      </c>
    </row>
    <row r="1130" spans="1:9" ht="14.1" customHeight="1">
      <c r="A1130" s="352"/>
      <c r="D1130" s="349"/>
      <c r="E1130" s="350"/>
      <c r="F1130" s="351" t="s">
        <v>94</v>
      </c>
      <c r="G1130" s="369">
        <f>G1128</f>
        <v>0.22</v>
      </c>
      <c r="H1130" s="334"/>
    </row>
    <row r="1131" spans="1:9" ht="14.1" customHeight="1">
      <c r="A1131" s="352"/>
      <c r="D1131" s="147"/>
      <c r="E1131" s="131"/>
      <c r="F1131" s="351" t="s">
        <v>95</v>
      </c>
      <c r="G1131" s="370">
        <f>SUM(G1129:G1130)</f>
        <v>0.22</v>
      </c>
      <c r="H1131" s="354"/>
    </row>
    <row r="1132" spans="1:9">
      <c r="A1132" s="355"/>
      <c r="B1132" s="356"/>
      <c r="C1132" s="357"/>
      <c r="D1132" s="358"/>
      <c r="E1132" s="355"/>
      <c r="F1132" s="356"/>
      <c r="G1132" s="356"/>
      <c r="H1132" s="356"/>
      <c r="I1132" s="355"/>
    </row>
    <row r="1134" spans="1:9">
      <c r="A1134" s="130" t="s">
        <v>542</v>
      </c>
    </row>
    <row r="1135" spans="1:9">
      <c r="A1135" s="130" t="s">
        <v>543</v>
      </c>
      <c r="B1135" s="148" t="s">
        <v>765</v>
      </c>
      <c r="C1135" s="339"/>
    </row>
    <row r="1136" spans="1:9" ht="25.5" customHeight="1">
      <c r="A1136" s="130" t="s">
        <v>78</v>
      </c>
      <c r="B1136" s="1356" t="s">
        <v>766</v>
      </c>
      <c r="C1136" s="1356"/>
      <c r="D1136" s="1356"/>
      <c r="E1136" s="150" t="s">
        <v>345</v>
      </c>
      <c r="F1136" s="338"/>
      <c r="G1136" s="338"/>
    </row>
    <row r="1137" spans="1:9" ht="22.5">
      <c r="A1137" s="341" t="s">
        <v>30</v>
      </c>
      <c r="B1137" s="342" t="s">
        <v>19</v>
      </c>
      <c r="C1137" s="343" t="s">
        <v>82</v>
      </c>
      <c r="D1137" s="343" t="s">
        <v>79</v>
      </c>
      <c r="E1137" s="344" t="s">
        <v>83</v>
      </c>
      <c r="F1137" s="345" t="s">
        <v>84</v>
      </c>
      <c r="G1137" s="346" t="s">
        <v>85</v>
      </c>
    </row>
    <row r="1138" spans="1:9" ht="45">
      <c r="A1138" s="407">
        <v>10535</v>
      </c>
      <c r="B1138" s="409" t="s">
        <v>767</v>
      </c>
      <c r="C1138" s="346" t="s">
        <v>626</v>
      </c>
      <c r="D1138" s="343" t="s">
        <v>345</v>
      </c>
      <c r="E1138" s="417">
        <v>1.4399999999999999E-5</v>
      </c>
      <c r="F1138" s="372">
        <v>3451.74</v>
      </c>
      <c r="G1138" s="369">
        <f t="shared" ref="G1138" si="61">TRUNC(E1138*F1138,2)</f>
        <v>0.04</v>
      </c>
    </row>
    <row r="1139" spans="1:9" ht="14.1" customHeight="1">
      <c r="D1139" s="376"/>
      <c r="E1139" s="377"/>
      <c r="F1139" s="378" t="s">
        <v>92</v>
      </c>
      <c r="G1139" s="379">
        <v>0</v>
      </c>
    </row>
    <row r="1140" spans="1:9" ht="14.1" customHeight="1">
      <c r="A1140" s="352"/>
      <c r="D1140" s="349"/>
      <c r="E1140" s="350"/>
      <c r="F1140" s="351" t="s">
        <v>94</v>
      </c>
      <c r="G1140" s="369">
        <f>G1138</f>
        <v>0.04</v>
      </c>
      <c r="H1140" s="334"/>
    </row>
    <row r="1141" spans="1:9" ht="14.1" customHeight="1">
      <c r="A1141" s="352"/>
      <c r="D1141" s="147"/>
      <c r="E1141" s="131"/>
      <c r="F1141" s="351" t="s">
        <v>95</v>
      </c>
      <c r="G1141" s="370">
        <f>SUM(G1139:G1140)</f>
        <v>0.04</v>
      </c>
      <c r="H1141" s="354"/>
    </row>
    <row r="1142" spans="1:9">
      <c r="A1142" s="355"/>
      <c r="B1142" s="356"/>
      <c r="C1142" s="357"/>
      <c r="D1142" s="358"/>
      <c r="E1142" s="355"/>
      <c r="F1142" s="356"/>
      <c r="G1142" s="356"/>
      <c r="H1142" s="356"/>
      <c r="I1142" s="355"/>
    </row>
    <row r="1144" spans="1:9">
      <c r="A1144" s="130" t="s">
        <v>542</v>
      </c>
    </row>
    <row r="1145" spans="1:9">
      <c r="A1145" s="130" t="s">
        <v>543</v>
      </c>
      <c r="B1145" s="148" t="s">
        <v>768</v>
      </c>
      <c r="C1145" s="339"/>
    </row>
    <row r="1146" spans="1:9" ht="33" customHeight="1">
      <c r="A1146" s="130" t="s">
        <v>78</v>
      </c>
      <c r="B1146" s="1356" t="s">
        <v>769</v>
      </c>
      <c r="C1146" s="1356"/>
      <c r="D1146" s="1356"/>
      <c r="E1146" s="150" t="s">
        <v>345</v>
      </c>
      <c r="F1146" s="338"/>
      <c r="G1146" s="338"/>
    </row>
    <row r="1147" spans="1:9" ht="22.5">
      <c r="A1147" s="341" t="s">
        <v>30</v>
      </c>
      <c r="B1147" s="342" t="s">
        <v>19</v>
      </c>
      <c r="C1147" s="343" t="s">
        <v>82</v>
      </c>
      <c r="D1147" s="343" t="s">
        <v>79</v>
      </c>
      <c r="E1147" s="344" t="s">
        <v>83</v>
      </c>
      <c r="F1147" s="345" t="s">
        <v>84</v>
      </c>
      <c r="G1147" s="346" t="s">
        <v>85</v>
      </c>
    </row>
    <row r="1148" spans="1:9" ht="45">
      <c r="A1148" s="407">
        <v>10535</v>
      </c>
      <c r="B1148" s="409" t="s">
        <v>764</v>
      </c>
      <c r="C1148" s="346" t="s">
        <v>626</v>
      </c>
      <c r="D1148" s="343" t="s">
        <v>345</v>
      </c>
      <c r="E1148" s="410">
        <v>6.0000000000000002E-5</v>
      </c>
      <c r="F1148" s="372">
        <v>3451.74</v>
      </c>
      <c r="G1148" s="369">
        <f t="shared" ref="G1148" si="62">TRUNC(E1148*F1148,2)</f>
        <v>0.2</v>
      </c>
    </row>
    <row r="1149" spans="1:9" ht="14.1" customHeight="1">
      <c r="D1149" s="376"/>
      <c r="E1149" s="377"/>
      <c r="F1149" s="378" t="s">
        <v>92</v>
      </c>
      <c r="G1149" s="379">
        <v>0</v>
      </c>
    </row>
    <row r="1150" spans="1:9" ht="14.1" customHeight="1">
      <c r="A1150" s="352"/>
      <c r="D1150" s="349"/>
      <c r="E1150" s="350"/>
      <c r="F1150" s="351" t="s">
        <v>94</v>
      </c>
      <c r="G1150" s="369">
        <f>G1148</f>
        <v>0.2</v>
      </c>
      <c r="H1150" s="334"/>
    </row>
    <row r="1151" spans="1:9" ht="14.1" customHeight="1">
      <c r="A1151" s="352"/>
      <c r="D1151" s="147"/>
      <c r="E1151" s="131"/>
      <c r="F1151" s="351" t="s">
        <v>95</v>
      </c>
      <c r="G1151" s="370">
        <f>SUM(G1149:G1150)</f>
        <v>0.2</v>
      </c>
      <c r="H1151" s="354"/>
    </row>
    <row r="1152" spans="1:9">
      <c r="A1152" s="355"/>
      <c r="B1152" s="356"/>
      <c r="C1152" s="357"/>
      <c r="D1152" s="358"/>
      <c r="E1152" s="355"/>
      <c r="F1152" s="356"/>
      <c r="G1152" s="356"/>
      <c r="H1152" s="356"/>
      <c r="I1152" s="355"/>
    </row>
    <row r="1154" spans="1:9">
      <c r="A1154" s="130" t="s">
        <v>542</v>
      </c>
    </row>
    <row r="1155" spans="1:9">
      <c r="A1155" s="130" t="s">
        <v>543</v>
      </c>
      <c r="B1155" s="148" t="s">
        <v>770</v>
      </c>
      <c r="C1155" s="339"/>
    </row>
    <row r="1156" spans="1:9" ht="22.5" customHeight="1">
      <c r="A1156" s="130" t="s">
        <v>78</v>
      </c>
      <c r="B1156" s="1356" t="s">
        <v>771</v>
      </c>
      <c r="C1156" s="1356"/>
      <c r="D1156" s="1356"/>
      <c r="E1156" s="150" t="s">
        <v>345</v>
      </c>
      <c r="F1156" s="338"/>
      <c r="G1156" s="338"/>
    </row>
    <row r="1157" spans="1:9" ht="22.5">
      <c r="A1157" s="341" t="s">
        <v>30</v>
      </c>
      <c r="B1157" s="342" t="s">
        <v>19</v>
      </c>
      <c r="C1157" s="343" t="s">
        <v>82</v>
      </c>
      <c r="D1157" s="343" t="s">
        <v>79</v>
      </c>
      <c r="E1157" s="344" t="s">
        <v>83</v>
      </c>
      <c r="F1157" s="345" t="s">
        <v>84</v>
      </c>
      <c r="G1157" s="346" t="s">
        <v>85</v>
      </c>
    </row>
    <row r="1158" spans="1:9" ht="22.5">
      <c r="A1158" s="407" t="s">
        <v>717</v>
      </c>
      <c r="B1158" s="409" t="s">
        <v>718</v>
      </c>
      <c r="C1158" s="346" t="s">
        <v>89</v>
      </c>
      <c r="D1158" s="343" t="s">
        <v>719</v>
      </c>
      <c r="E1158" s="408">
        <v>1.25</v>
      </c>
      <c r="F1158" s="372">
        <v>0.47</v>
      </c>
      <c r="G1158" s="369">
        <f t="shared" ref="G1158" si="63">TRUNC(E1158*F1158,2)</f>
        <v>0.57999999999999996</v>
      </c>
    </row>
    <row r="1159" spans="1:9" ht="14.1" customHeight="1">
      <c r="D1159" s="376"/>
      <c r="E1159" s="377"/>
      <c r="F1159" s="378" t="s">
        <v>92</v>
      </c>
      <c r="G1159" s="379">
        <v>0</v>
      </c>
    </row>
    <row r="1160" spans="1:9" ht="14.1" customHeight="1">
      <c r="A1160" s="352"/>
      <c r="D1160" s="349"/>
      <c r="E1160" s="350"/>
      <c r="F1160" s="351" t="s">
        <v>94</v>
      </c>
      <c r="G1160" s="369">
        <f>G1158</f>
        <v>0.57999999999999996</v>
      </c>
      <c r="H1160" s="334"/>
    </row>
    <row r="1161" spans="1:9" ht="14.1" customHeight="1">
      <c r="A1161" s="352"/>
      <c r="D1161" s="147"/>
      <c r="E1161" s="131"/>
      <c r="F1161" s="351" t="s">
        <v>95</v>
      </c>
      <c r="G1161" s="370">
        <f>SUM(G1159:G1160)</f>
        <v>0.57999999999999996</v>
      </c>
      <c r="H1161" s="354"/>
    </row>
    <row r="1162" spans="1:9">
      <c r="A1162" s="355"/>
      <c r="B1162" s="356"/>
      <c r="C1162" s="357"/>
      <c r="D1162" s="358"/>
      <c r="E1162" s="355"/>
      <c r="F1162" s="356"/>
      <c r="G1162" s="356"/>
      <c r="H1162" s="356"/>
      <c r="I1162" s="355"/>
    </row>
    <row r="1164" spans="1:9">
      <c r="A1164" s="130" t="s">
        <v>542</v>
      </c>
    </row>
    <row r="1165" spans="1:9">
      <c r="A1165" s="130" t="s">
        <v>543</v>
      </c>
      <c r="B1165" s="148" t="s">
        <v>772</v>
      </c>
      <c r="C1165" s="339"/>
    </row>
    <row r="1166" spans="1:9" ht="33.75" customHeight="1">
      <c r="A1166" s="130" t="s">
        <v>78</v>
      </c>
      <c r="B1166" s="1356" t="s">
        <v>773</v>
      </c>
      <c r="C1166" s="1356"/>
      <c r="D1166" s="1356"/>
      <c r="E1166" s="150" t="s">
        <v>622</v>
      </c>
      <c r="F1166" s="338"/>
      <c r="G1166" s="338"/>
    </row>
    <row r="1167" spans="1:9" ht="22.5">
      <c r="A1167" s="341" t="s">
        <v>30</v>
      </c>
      <c r="B1167" s="342" t="s">
        <v>19</v>
      </c>
      <c r="C1167" s="343" t="s">
        <v>82</v>
      </c>
      <c r="D1167" s="343" t="s">
        <v>79</v>
      </c>
      <c r="E1167" s="344" t="s">
        <v>83</v>
      </c>
      <c r="F1167" s="345" t="s">
        <v>84</v>
      </c>
      <c r="G1167" s="346" t="s">
        <v>85</v>
      </c>
    </row>
    <row r="1168" spans="1:9" ht="45">
      <c r="A1168" s="416">
        <v>88826</v>
      </c>
      <c r="B1168" s="401" t="s">
        <v>759</v>
      </c>
      <c r="C1168" s="402" t="s">
        <v>626</v>
      </c>
      <c r="D1168" s="403" t="s">
        <v>345</v>
      </c>
      <c r="E1168" s="404">
        <v>1</v>
      </c>
      <c r="F1168" s="405">
        <f>G1131</f>
        <v>0.22</v>
      </c>
      <c r="G1168" s="406">
        <f t="shared" ref="G1168:G1169" si="64">TRUNC(E1168*F1168,2)</f>
        <v>0.22</v>
      </c>
    </row>
    <row r="1169" spans="1:9" ht="45">
      <c r="A1169" s="407">
        <v>88827</v>
      </c>
      <c r="B1169" s="347" t="s">
        <v>760</v>
      </c>
      <c r="C1169" s="346" t="s">
        <v>626</v>
      </c>
      <c r="D1169" s="343" t="s">
        <v>345</v>
      </c>
      <c r="E1169" s="408">
        <v>1</v>
      </c>
      <c r="F1169" s="348">
        <f>G1141</f>
        <v>0.04</v>
      </c>
      <c r="G1169" s="369">
        <f t="shared" si="64"/>
        <v>0.04</v>
      </c>
    </row>
    <row r="1170" spans="1:9" ht="14.1" customHeight="1">
      <c r="D1170" s="376"/>
      <c r="E1170" s="377"/>
      <c r="F1170" s="378" t="s">
        <v>92</v>
      </c>
      <c r="G1170" s="379">
        <v>0</v>
      </c>
    </row>
    <row r="1171" spans="1:9" ht="14.1" customHeight="1">
      <c r="A1171" s="352"/>
      <c r="D1171" s="349"/>
      <c r="E1171" s="350"/>
      <c r="F1171" s="351" t="s">
        <v>94</v>
      </c>
      <c r="G1171" s="369">
        <f>G1169</f>
        <v>0.04</v>
      </c>
      <c r="H1171" s="334"/>
    </row>
    <row r="1172" spans="1:9" ht="14.1" customHeight="1">
      <c r="A1172" s="352"/>
      <c r="D1172" s="147"/>
      <c r="E1172" s="131"/>
      <c r="F1172" s="351" t="s">
        <v>95</v>
      </c>
      <c r="G1172" s="370">
        <f>SUM(G1170:G1171)</f>
        <v>0.04</v>
      </c>
      <c r="H1172" s="354"/>
    </row>
    <row r="1173" spans="1:9">
      <c r="A1173" s="355"/>
      <c r="B1173" s="356"/>
      <c r="C1173" s="357"/>
      <c r="D1173" s="358"/>
      <c r="E1173" s="355"/>
      <c r="F1173" s="356"/>
      <c r="G1173" s="356"/>
      <c r="H1173" s="356"/>
      <c r="I1173" s="355"/>
    </row>
    <row r="1175" spans="1:9">
      <c r="A1175" s="130" t="s">
        <v>542</v>
      </c>
    </row>
    <row r="1176" spans="1:9">
      <c r="A1176" s="130" t="s">
        <v>543</v>
      </c>
      <c r="B1176" s="148" t="s">
        <v>984</v>
      </c>
      <c r="C1176" s="339"/>
    </row>
    <row r="1177" spans="1:9" ht="28.5" customHeight="1">
      <c r="A1177" s="130" t="s">
        <v>78</v>
      </c>
      <c r="B1177" s="1356" t="s">
        <v>985</v>
      </c>
      <c r="C1177" s="1356"/>
      <c r="D1177" s="1356"/>
      <c r="E1177" s="636" t="s">
        <v>643</v>
      </c>
      <c r="F1177" s="338"/>
      <c r="G1177" s="338"/>
    </row>
    <row r="1178" spans="1:9" ht="22.5">
      <c r="A1178" s="341" t="s">
        <v>30</v>
      </c>
      <c r="B1178" s="342" t="s">
        <v>19</v>
      </c>
      <c r="C1178" s="343" t="s">
        <v>82</v>
      </c>
      <c r="D1178" s="343" t="s">
        <v>79</v>
      </c>
      <c r="E1178" s="603" t="s">
        <v>83</v>
      </c>
      <c r="F1178" s="345" t="s">
        <v>84</v>
      </c>
      <c r="G1178" s="346" t="s">
        <v>85</v>
      </c>
    </row>
    <row r="1179" spans="1:9" ht="33.75">
      <c r="A1179" s="400" t="s">
        <v>986</v>
      </c>
      <c r="B1179" s="401" t="s">
        <v>987</v>
      </c>
      <c r="C1179" s="402" t="s">
        <v>626</v>
      </c>
      <c r="D1179" s="614" t="s">
        <v>345</v>
      </c>
      <c r="E1179" s="615">
        <v>1</v>
      </c>
      <c r="F1179" s="602">
        <f>G1195</f>
        <v>0.25</v>
      </c>
      <c r="G1179" s="406">
        <f t="shared" ref="G1179:G1182" si="65">TRUNC(E1179*F1179,2)</f>
        <v>0.25</v>
      </c>
    </row>
    <row r="1180" spans="1:9" ht="33.75">
      <c r="A1180" s="400" t="s">
        <v>988</v>
      </c>
      <c r="B1180" s="401" t="s">
        <v>989</v>
      </c>
      <c r="C1180" s="402" t="s">
        <v>626</v>
      </c>
      <c r="D1180" s="614" t="s">
        <v>345</v>
      </c>
      <c r="E1180" s="615">
        <v>1</v>
      </c>
      <c r="F1180" s="602">
        <f>G1205</f>
        <v>0.05</v>
      </c>
      <c r="G1180" s="406">
        <f t="shared" si="65"/>
        <v>0.05</v>
      </c>
    </row>
    <row r="1181" spans="1:9" ht="33.75">
      <c r="A1181" s="400" t="s">
        <v>990</v>
      </c>
      <c r="B1181" s="401" t="s">
        <v>991</v>
      </c>
      <c r="C1181" s="402" t="s">
        <v>626</v>
      </c>
      <c r="D1181" s="614" t="s">
        <v>345</v>
      </c>
      <c r="E1181" s="615">
        <v>1</v>
      </c>
      <c r="F1181" s="602">
        <f>G1215</f>
        <v>0.19</v>
      </c>
      <c r="G1181" s="406">
        <f t="shared" si="65"/>
        <v>0.19</v>
      </c>
    </row>
    <row r="1182" spans="1:9" ht="33.75">
      <c r="A1182" s="407" t="s">
        <v>992</v>
      </c>
      <c r="B1182" s="625" t="s">
        <v>993</v>
      </c>
      <c r="C1182" s="346" t="s">
        <v>626</v>
      </c>
      <c r="D1182" s="343" t="s">
        <v>345</v>
      </c>
      <c r="E1182" s="408">
        <v>1</v>
      </c>
      <c r="F1182" s="348">
        <f>G1225</f>
        <v>0.57999999999999996</v>
      </c>
      <c r="G1182" s="406">
        <f t="shared" si="65"/>
        <v>0.57999999999999996</v>
      </c>
    </row>
    <row r="1183" spans="1:9" ht="14.1" customHeight="1">
      <c r="D1183" s="376"/>
      <c r="E1183" s="377"/>
      <c r="F1183" s="378" t="s">
        <v>92</v>
      </c>
      <c r="G1183" s="369"/>
    </row>
    <row r="1184" spans="1:9" ht="14.1" customHeight="1">
      <c r="A1184" s="352"/>
      <c r="D1184" s="349"/>
      <c r="E1184" s="350"/>
      <c r="F1184" s="351" t="s">
        <v>94</v>
      </c>
      <c r="G1184" s="369">
        <f>SUM(G1179:G1182)</f>
        <v>1.0699999999999998</v>
      </c>
      <c r="H1184" s="334"/>
    </row>
    <row r="1185" spans="1:9" ht="14.1" customHeight="1">
      <c r="A1185" s="352"/>
      <c r="D1185" s="147"/>
      <c r="E1185" s="131"/>
      <c r="F1185" s="351" t="s">
        <v>95</v>
      </c>
      <c r="G1185" s="370">
        <f>SUM(G1183:G1184)</f>
        <v>1.0699999999999998</v>
      </c>
      <c r="H1185" s="354"/>
    </row>
    <row r="1186" spans="1:9">
      <c r="A1186" s="355"/>
      <c r="B1186" s="356"/>
      <c r="C1186" s="357"/>
      <c r="D1186" s="358"/>
      <c r="E1186" s="355"/>
      <c r="F1186" s="356"/>
      <c r="G1186" s="356"/>
      <c r="H1186" s="356"/>
      <c r="I1186" s="355"/>
    </row>
    <row r="1188" spans="1:9">
      <c r="A1188" s="130" t="s">
        <v>542</v>
      </c>
      <c r="H1188" s="334"/>
      <c r="I1188" s="337"/>
    </row>
    <row r="1189" spans="1:9">
      <c r="A1189" s="130" t="s">
        <v>543</v>
      </c>
      <c r="B1189" s="148" t="s">
        <v>994</v>
      </c>
      <c r="C1189" s="339"/>
      <c r="H1189" s="334"/>
      <c r="I1189" s="337"/>
    </row>
    <row r="1190" spans="1:9" ht="24" customHeight="1">
      <c r="A1190" s="130" t="s">
        <v>78</v>
      </c>
      <c r="B1190" s="1356" t="s">
        <v>987</v>
      </c>
      <c r="C1190" s="1356"/>
      <c r="D1190" s="1356"/>
      <c r="E1190" s="636" t="s">
        <v>345</v>
      </c>
      <c r="F1190" s="338"/>
      <c r="G1190" s="338"/>
      <c r="H1190" s="334"/>
      <c r="I1190" s="337"/>
    </row>
    <row r="1191" spans="1:9" ht="22.5">
      <c r="A1191" s="341" t="s">
        <v>30</v>
      </c>
      <c r="B1191" s="342" t="s">
        <v>19</v>
      </c>
      <c r="C1191" s="343" t="s">
        <v>82</v>
      </c>
      <c r="D1191" s="343" t="s">
        <v>79</v>
      </c>
      <c r="E1191" s="603" t="s">
        <v>83</v>
      </c>
      <c r="F1191" s="345" t="s">
        <v>84</v>
      </c>
      <c r="G1191" s="346" t="s">
        <v>85</v>
      </c>
      <c r="H1191" s="334"/>
      <c r="I1191" s="337"/>
    </row>
    <row r="1192" spans="1:9" ht="33.75">
      <c r="A1192" s="628" t="s">
        <v>995</v>
      </c>
      <c r="B1192" s="362" t="s">
        <v>996</v>
      </c>
      <c r="C1192" s="363" t="s">
        <v>626</v>
      </c>
      <c r="D1192" s="343" t="s">
        <v>79</v>
      </c>
      <c r="E1192" s="364">
        <v>1.2799999999999999E-4</v>
      </c>
      <c r="F1192" s="391">
        <v>1973.59</v>
      </c>
      <c r="G1192" s="346">
        <f>TRUNC(E1192*F1192,2)</f>
        <v>0.25</v>
      </c>
    </row>
    <row r="1193" spans="1:9" ht="14.1" customHeight="1">
      <c r="D1193" s="349"/>
      <c r="E1193" s="350"/>
      <c r="F1193" s="351" t="s">
        <v>92</v>
      </c>
      <c r="G1193" s="346"/>
    </row>
    <row r="1194" spans="1:9" ht="14.1" customHeight="1">
      <c r="D1194" s="349"/>
      <c r="E1194" s="350"/>
      <c r="F1194" s="351" t="s">
        <v>94</v>
      </c>
      <c r="G1194" s="346">
        <f>G1192</f>
        <v>0.25</v>
      </c>
    </row>
    <row r="1195" spans="1:9" ht="14.1" customHeight="1">
      <c r="A1195" s="352"/>
      <c r="D1195" s="349"/>
      <c r="E1195" s="350"/>
      <c r="F1195" s="351" t="s">
        <v>95</v>
      </c>
      <c r="G1195" s="353">
        <f>SUM(G1193:G1194)</f>
        <v>0.25</v>
      </c>
      <c r="H1195" s="354"/>
    </row>
    <row r="1196" spans="1:9">
      <c r="A1196" s="355"/>
      <c r="B1196" s="356"/>
      <c r="C1196" s="357"/>
      <c r="D1196" s="358"/>
      <c r="E1196" s="355"/>
      <c r="F1196" s="356"/>
      <c r="G1196" s="356"/>
      <c r="H1196" s="356"/>
      <c r="I1196" s="355"/>
    </row>
    <row r="1197" spans="1:9">
      <c r="A1197" s="337"/>
      <c r="B1197" s="334"/>
      <c r="C1197" s="335"/>
      <c r="D1197" s="336"/>
      <c r="E1197" s="337"/>
      <c r="F1197" s="334"/>
      <c r="G1197" s="334"/>
      <c r="H1197" s="334"/>
      <c r="I1197" s="337"/>
    </row>
    <row r="1198" spans="1:9">
      <c r="A1198" s="130" t="s">
        <v>542</v>
      </c>
      <c r="H1198" s="334"/>
      <c r="I1198" s="337"/>
    </row>
    <row r="1199" spans="1:9" ht="13.5" customHeight="1">
      <c r="A1199" s="130" t="s">
        <v>543</v>
      </c>
      <c r="B1199" s="148" t="s">
        <v>997</v>
      </c>
      <c r="C1199" s="339"/>
      <c r="H1199" s="334"/>
      <c r="I1199" s="337"/>
    </row>
    <row r="1200" spans="1:9" ht="24.75" customHeight="1">
      <c r="A1200" s="130" t="s">
        <v>78</v>
      </c>
      <c r="B1200" s="1356" t="s">
        <v>998</v>
      </c>
      <c r="C1200" s="1356"/>
      <c r="D1200" s="1356"/>
      <c r="E1200" s="150" t="s">
        <v>345</v>
      </c>
      <c r="F1200" s="338"/>
      <c r="G1200" s="338"/>
      <c r="H1200" s="334"/>
      <c r="I1200" s="337"/>
    </row>
    <row r="1201" spans="1:9" ht="22.5">
      <c r="A1201" s="341" t="s">
        <v>30</v>
      </c>
      <c r="B1201" s="342" t="s">
        <v>19</v>
      </c>
      <c r="C1201" s="343" t="s">
        <v>82</v>
      </c>
      <c r="D1201" s="343" t="s">
        <v>79</v>
      </c>
      <c r="E1201" s="603" t="s">
        <v>83</v>
      </c>
      <c r="F1201" s="345" t="s">
        <v>84</v>
      </c>
      <c r="G1201" s="346" t="s">
        <v>85</v>
      </c>
      <c r="H1201" s="334"/>
      <c r="I1201" s="337"/>
    </row>
    <row r="1202" spans="1:9" ht="33.75">
      <c r="A1202" s="628" t="s">
        <v>995</v>
      </c>
      <c r="B1202" s="362" t="s">
        <v>996</v>
      </c>
      <c r="C1202" s="363" t="s">
        <v>626</v>
      </c>
      <c r="D1202" s="343" t="s">
        <v>79</v>
      </c>
      <c r="E1202" s="364">
        <v>2.8799999999999999E-5</v>
      </c>
      <c r="F1202" s="391">
        <v>1973.59</v>
      </c>
      <c r="G1202" s="346">
        <f>TRUNC(E1202*F1202,2)</f>
        <v>0.05</v>
      </c>
    </row>
    <row r="1203" spans="1:9" ht="14.1" customHeight="1">
      <c r="D1203" s="349"/>
      <c r="E1203" s="350"/>
      <c r="F1203" s="351" t="s">
        <v>92</v>
      </c>
      <c r="G1203" s="346"/>
    </row>
    <row r="1204" spans="1:9" ht="14.1" customHeight="1">
      <c r="D1204" s="349"/>
      <c r="E1204" s="350"/>
      <c r="F1204" s="351" t="s">
        <v>94</v>
      </c>
      <c r="G1204" s="346">
        <f>G1202</f>
        <v>0.05</v>
      </c>
    </row>
    <row r="1205" spans="1:9" ht="14.1" customHeight="1">
      <c r="A1205" s="352"/>
      <c r="D1205" s="349"/>
      <c r="E1205" s="350"/>
      <c r="F1205" s="351" t="s">
        <v>95</v>
      </c>
      <c r="G1205" s="353">
        <f>SUM(G1203:G1204)</f>
        <v>0.05</v>
      </c>
      <c r="H1205" s="354"/>
    </row>
    <row r="1206" spans="1:9">
      <c r="A1206" s="355"/>
      <c r="B1206" s="356"/>
      <c r="C1206" s="357"/>
      <c r="D1206" s="358"/>
      <c r="E1206" s="355"/>
      <c r="F1206" s="356"/>
      <c r="G1206" s="356"/>
      <c r="H1206" s="356"/>
      <c r="I1206" s="355"/>
    </row>
    <row r="1208" spans="1:9">
      <c r="A1208" s="130" t="s">
        <v>542</v>
      </c>
      <c r="H1208" s="334"/>
      <c r="I1208" s="337"/>
    </row>
    <row r="1209" spans="1:9" ht="12" customHeight="1">
      <c r="A1209" s="130" t="s">
        <v>543</v>
      </c>
      <c r="B1209" s="148" t="s">
        <v>999</v>
      </c>
      <c r="C1209" s="339"/>
      <c r="H1209" s="334"/>
      <c r="I1209" s="337"/>
    </row>
    <row r="1210" spans="1:9" ht="25.5" customHeight="1">
      <c r="A1210" s="130" t="s">
        <v>78</v>
      </c>
      <c r="B1210" s="1356" t="s">
        <v>991</v>
      </c>
      <c r="C1210" s="1356"/>
      <c r="D1210" s="1356"/>
      <c r="E1210" s="150" t="s">
        <v>345</v>
      </c>
      <c r="F1210" s="338"/>
      <c r="G1210" s="338"/>
      <c r="H1210" s="334"/>
      <c r="I1210" s="337"/>
    </row>
    <row r="1211" spans="1:9" ht="22.5">
      <c r="A1211" s="341" t="s">
        <v>30</v>
      </c>
      <c r="B1211" s="342" t="s">
        <v>19</v>
      </c>
      <c r="C1211" s="343" t="s">
        <v>82</v>
      </c>
      <c r="D1211" s="343" t="s">
        <v>79</v>
      </c>
      <c r="E1211" s="603" t="s">
        <v>83</v>
      </c>
      <c r="F1211" s="345" t="s">
        <v>84</v>
      </c>
      <c r="G1211" s="346" t="s">
        <v>85</v>
      </c>
      <c r="H1211" s="334"/>
      <c r="I1211" s="337"/>
    </row>
    <row r="1212" spans="1:9" ht="33.75">
      <c r="A1212" s="628" t="s">
        <v>995</v>
      </c>
      <c r="B1212" s="362" t="s">
        <v>996</v>
      </c>
      <c r="C1212" s="363" t="s">
        <v>626</v>
      </c>
      <c r="D1212" s="343" t="s">
        <v>79</v>
      </c>
      <c r="E1212" s="364">
        <v>1E-4</v>
      </c>
      <c r="F1212" s="391">
        <v>1973.59</v>
      </c>
      <c r="G1212" s="346">
        <f>TRUNC(E1212*F1212,2)</f>
        <v>0.19</v>
      </c>
    </row>
    <row r="1213" spans="1:9" ht="14.1" customHeight="1">
      <c r="D1213" s="349"/>
      <c r="E1213" s="350"/>
      <c r="F1213" s="351" t="s">
        <v>92</v>
      </c>
      <c r="G1213" s="346"/>
    </row>
    <row r="1214" spans="1:9" ht="14.1" customHeight="1">
      <c r="D1214" s="349"/>
      <c r="E1214" s="350"/>
      <c r="F1214" s="351" t="s">
        <v>94</v>
      </c>
      <c r="G1214" s="346">
        <f>G1212</f>
        <v>0.19</v>
      </c>
    </row>
    <row r="1215" spans="1:9" ht="14.1" customHeight="1">
      <c r="A1215" s="352"/>
      <c r="D1215" s="349"/>
      <c r="E1215" s="350"/>
      <c r="F1215" s="351" t="s">
        <v>95</v>
      </c>
      <c r="G1215" s="353">
        <f>SUM(G1213:G1214)</f>
        <v>0.19</v>
      </c>
      <c r="H1215" s="354"/>
    </row>
    <row r="1216" spans="1:9">
      <c r="A1216" s="355"/>
      <c r="B1216" s="356"/>
      <c r="C1216" s="357"/>
      <c r="D1216" s="358"/>
      <c r="E1216" s="355"/>
      <c r="F1216" s="356"/>
      <c r="G1216" s="356"/>
      <c r="H1216" s="356"/>
      <c r="I1216" s="355"/>
    </row>
    <row r="1217" spans="1:9">
      <c r="A1217" s="337"/>
      <c r="B1217" s="334"/>
      <c r="C1217" s="335"/>
      <c r="D1217" s="336"/>
      <c r="E1217" s="337"/>
      <c r="F1217" s="334"/>
      <c r="G1217" s="334"/>
      <c r="H1217" s="334"/>
      <c r="I1217" s="337"/>
    </row>
    <row r="1218" spans="1:9">
      <c r="A1218" s="130" t="s">
        <v>542</v>
      </c>
      <c r="H1218" s="334"/>
      <c r="I1218" s="337"/>
    </row>
    <row r="1219" spans="1:9" ht="14.25" customHeight="1">
      <c r="A1219" s="130" t="s">
        <v>543</v>
      </c>
      <c r="B1219" s="148" t="s">
        <v>1000</v>
      </c>
      <c r="C1219" s="339"/>
      <c r="H1219" s="334"/>
      <c r="I1219" s="337"/>
    </row>
    <row r="1220" spans="1:9" ht="24.75" customHeight="1">
      <c r="A1220" s="130" t="s">
        <v>78</v>
      </c>
      <c r="B1220" s="1356" t="s">
        <v>993</v>
      </c>
      <c r="C1220" s="1356"/>
      <c r="D1220" s="1356"/>
      <c r="E1220" s="150" t="s">
        <v>345</v>
      </c>
      <c r="F1220" s="338"/>
      <c r="G1220" s="338"/>
      <c r="H1220" s="334"/>
      <c r="I1220" s="337"/>
    </row>
    <row r="1221" spans="1:9" ht="22.5">
      <c r="A1221" s="341" t="s">
        <v>30</v>
      </c>
      <c r="B1221" s="342" t="s">
        <v>19</v>
      </c>
      <c r="C1221" s="343" t="s">
        <v>82</v>
      </c>
      <c r="D1221" s="343" t="s">
        <v>79</v>
      </c>
      <c r="E1221" s="603" t="s">
        <v>83</v>
      </c>
      <c r="F1221" s="345" t="s">
        <v>84</v>
      </c>
      <c r="G1221" s="346" t="s">
        <v>85</v>
      </c>
      <c r="H1221" s="334"/>
      <c r="I1221" s="337"/>
    </row>
    <row r="1222" spans="1:9" ht="22.5">
      <c r="A1222" s="628" t="s">
        <v>717</v>
      </c>
      <c r="B1222" s="362" t="s">
        <v>718</v>
      </c>
      <c r="C1222" s="363" t="s">
        <v>89</v>
      </c>
      <c r="D1222" s="343" t="s">
        <v>719</v>
      </c>
      <c r="E1222" s="364">
        <v>1.25</v>
      </c>
      <c r="F1222" s="391">
        <v>0.47</v>
      </c>
      <c r="G1222" s="346">
        <f>TRUNC(E1222*F1222,2)</f>
        <v>0.57999999999999996</v>
      </c>
    </row>
    <row r="1223" spans="1:9" ht="14.1" customHeight="1">
      <c r="D1223" s="349"/>
      <c r="E1223" s="350"/>
      <c r="F1223" s="351" t="s">
        <v>92</v>
      </c>
      <c r="G1223" s="346"/>
    </row>
    <row r="1224" spans="1:9" ht="14.1" customHeight="1">
      <c r="D1224" s="349"/>
      <c r="E1224" s="350"/>
      <c r="F1224" s="351" t="s">
        <v>94</v>
      </c>
      <c r="G1224" s="346">
        <f>G1222</f>
        <v>0.57999999999999996</v>
      </c>
    </row>
    <row r="1225" spans="1:9" ht="14.1" customHeight="1">
      <c r="A1225" s="352"/>
      <c r="D1225" s="349"/>
      <c r="E1225" s="350"/>
      <c r="F1225" s="351" t="s">
        <v>95</v>
      </c>
      <c r="G1225" s="353">
        <f>SUM(G1223:G1224)</f>
        <v>0.57999999999999996</v>
      </c>
      <c r="H1225" s="354"/>
    </row>
    <row r="1226" spans="1:9">
      <c r="A1226" s="355"/>
      <c r="B1226" s="356"/>
      <c r="C1226" s="357"/>
      <c r="D1226" s="358"/>
      <c r="E1226" s="355"/>
      <c r="F1226" s="356"/>
      <c r="G1226" s="356"/>
      <c r="H1226" s="356"/>
      <c r="I1226" s="355"/>
    </row>
    <row r="1228" spans="1:9">
      <c r="A1228" s="130" t="s">
        <v>542</v>
      </c>
    </row>
    <row r="1229" spans="1:9">
      <c r="A1229" s="130" t="s">
        <v>543</v>
      </c>
      <c r="B1229" s="148" t="s">
        <v>1120</v>
      </c>
      <c r="C1229" s="339"/>
    </row>
    <row r="1230" spans="1:9" ht="29.25" customHeight="1">
      <c r="A1230" s="130" t="s">
        <v>78</v>
      </c>
      <c r="B1230" s="1356" t="s">
        <v>1113</v>
      </c>
      <c r="C1230" s="1356"/>
      <c r="D1230" s="375" t="s">
        <v>643</v>
      </c>
      <c r="F1230" s="338"/>
      <c r="G1230" s="338"/>
    </row>
    <row r="1231" spans="1:9" ht="22.5">
      <c r="A1231" s="341" t="s">
        <v>30</v>
      </c>
      <c r="B1231" s="342" t="s">
        <v>19</v>
      </c>
      <c r="C1231" s="343" t="s">
        <v>82</v>
      </c>
      <c r="D1231" s="343" t="s">
        <v>79</v>
      </c>
      <c r="E1231" s="652" t="s">
        <v>83</v>
      </c>
      <c r="F1231" s="345" t="s">
        <v>84</v>
      </c>
      <c r="G1231" s="346" t="s">
        <v>85</v>
      </c>
    </row>
    <row r="1232" spans="1:9" ht="22.5">
      <c r="A1232" s="400" t="s">
        <v>1121</v>
      </c>
      <c r="B1232" s="401" t="s">
        <v>1122</v>
      </c>
      <c r="C1232" s="402" t="s">
        <v>89</v>
      </c>
      <c r="D1232" s="668" t="s">
        <v>685</v>
      </c>
      <c r="E1232" s="670">
        <v>0.8</v>
      </c>
      <c r="F1232" s="663">
        <v>11.07</v>
      </c>
      <c r="G1232" s="406">
        <f t="shared" ref="G1232" si="66">TRUNC(E1232*F1232,2)</f>
        <v>8.85</v>
      </c>
    </row>
    <row r="1233" spans="1:8" ht="18" customHeight="1">
      <c r="A1233" s="1308" t="s">
        <v>1123</v>
      </c>
      <c r="B1233" s="1310" t="s">
        <v>1127</v>
      </c>
      <c r="C1233" s="402" t="s">
        <v>102</v>
      </c>
      <c r="D1233" s="1457" t="s">
        <v>643</v>
      </c>
      <c r="E1233" s="1461">
        <v>0.5</v>
      </c>
      <c r="F1233" s="679">
        <f>G1254</f>
        <v>14.81</v>
      </c>
      <c r="G1233" s="406">
        <f>TRUNC(E1233*F1233,2)</f>
        <v>7.4</v>
      </c>
    </row>
    <row r="1234" spans="1:8" ht="18" customHeight="1">
      <c r="A1234" s="1309"/>
      <c r="B1234" s="1311"/>
      <c r="C1234" s="402" t="s">
        <v>89</v>
      </c>
      <c r="D1234" s="1458"/>
      <c r="E1234" s="1462"/>
      <c r="F1234" s="679">
        <f>G1255</f>
        <v>51.930000000000007</v>
      </c>
      <c r="G1234" s="406">
        <f>TRUNC(E1233*F1234,2)</f>
        <v>25.96</v>
      </c>
    </row>
    <row r="1235" spans="1:8" ht="18" customHeight="1">
      <c r="A1235" s="1308" t="s">
        <v>1124</v>
      </c>
      <c r="B1235" s="1310" t="s">
        <v>1128</v>
      </c>
      <c r="C1235" s="402" t="s">
        <v>102</v>
      </c>
      <c r="D1235" s="1457" t="s">
        <v>622</v>
      </c>
      <c r="E1235" s="1461">
        <v>1</v>
      </c>
      <c r="F1235" s="679">
        <f>G1267</f>
        <v>14.81</v>
      </c>
      <c r="G1235" s="406">
        <f>TRUNC(E1235*F1235,2)</f>
        <v>14.81</v>
      </c>
    </row>
    <row r="1236" spans="1:8" ht="18" customHeight="1">
      <c r="A1236" s="1309"/>
      <c r="B1236" s="1342"/>
      <c r="C1236" s="402" t="s">
        <v>89</v>
      </c>
      <c r="D1236" s="1458"/>
      <c r="E1236" s="1462"/>
      <c r="F1236" s="679">
        <f>G1268</f>
        <v>12.700000000000001</v>
      </c>
      <c r="G1236" s="406">
        <f>TRUNC(E1235*F1236,2)</f>
        <v>12.7</v>
      </c>
    </row>
    <row r="1237" spans="1:8" ht="18" customHeight="1">
      <c r="A1237" s="1308" t="s">
        <v>1125</v>
      </c>
      <c r="B1237" s="1310" t="s">
        <v>1126</v>
      </c>
      <c r="C1237" s="402" t="s">
        <v>102</v>
      </c>
      <c r="D1237" s="1463" t="s">
        <v>345</v>
      </c>
      <c r="E1237" s="1461">
        <v>3</v>
      </c>
      <c r="F1237" s="679">
        <f>G878</f>
        <v>14.81</v>
      </c>
      <c r="G1237" s="406">
        <f>TRUNC(E1237*F1237,2)</f>
        <v>44.43</v>
      </c>
    </row>
    <row r="1238" spans="1:8" ht="18" customHeight="1">
      <c r="A1238" s="1309"/>
      <c r="B1238" s="1311"/>
      <c r="C1238" s="346" t="s">
        <v>89</v>
      </c>
      <c r="D1238" s="1435"/>
      <c r="E1238" s="1435"/>
      <c r="F1238" s="365">
        <f>G879</f>
        <v>4.5600000000000005</v>
      </c>
      <c r="G1238" s="406">
        <f>TRUNC(E1237*F1238,2)</f>
        <v>13.68</v>
      </c>
    </row>
    <row r="1239" spans="1:8" ht="14.1" customHeight="1">
      <c r="D1239" s="376"/>
      <c r="E1239" s="377"/>
      <c r="F1239" s="378" t="s">
        <v>92</v>
      </c>
      <c r="G1239" s="369">
        <f>G1233+G1235+G1237</f>
        <v>66.64</v>
      </c>
    </row>
    <row r="1240" spans="1:8" ht="14.1" customHeight="1">
      <c r="A1240" s="352"/>
      <c r="D1240" s="349"/>
      <c r="E1240" s="350"/>
      <c r="F1240" s="351" t="s">
        <v>94</v>
      </c>
      <c r="G1240" s="369">
        <f>G1232+G1234+G1236+G1238</f>
        <v>61.190000000000005</v>
      </c>
      <c r="H1240" s="334"/>
    </row>
    <row r="1241" spans="1:8" ht="14.1" customHeight="1">
      <c r="A1241" s="352"/>
      <c r="D1241" s="147"/>
      <c r="E1241" s="131"/>
      <c r="F1241" s="351" t="s">
        <v>95</v>
      </c>
      <c r="G1241" s="370">
        <f>SUM(G1239:G1240)</f>
        <v>127.83000000000001</v>
      </c>
      <c r="H1241" s="354"/>
    </row>
    <row r="1242" spans="1:8">
      <c r="A1242" s="355"/>
      <c r="B1242" s="356"/>
      <c r="C1242" s="357"/>
      <c r="D1242" s="358"/>
      <c r="E1242" s="355"/>
      <c r="F1242" s="356"/>
      <c r="G1242" s="356"/>
      <c r="H1242" s="356"/>
    </row>
    <row r="1244" spans="1:8">
      <c r="A1244" s="130" t="s">
        <v>542</v>
      </c>
    </row>
    <row r="1245" spans="1:8">
      <c r="A1245" s="130" t="s">
        <v>543</v>
      </c>
      <c r="B1245" s="148" t="s">
        <v>1129</v>
      </c>
      <c r="C1245" s="339"/>
    </row>
    <row r="1246" spans="1:8" ht="30" customHeight="1">
      <c r="A1246" s="130" t="s">
        <v>78</v>
      </c>
      <c r="B1246" s="1356" t="s">
        <v>1130</v>
      </c>
      <c r="C1246" s="1356"/>
      <c r="D1246" s="1356"/>
      <c r="E1246" s="375" t="s">
        <v>643</v>
      </c>
      <c r="F1246" s="338"/>
      <c r="G1246" s="338"/>
    </row>
    <row r="1247" spans="1:8" ht="22.5">
      <c r="A1247" s="341" t="s">
        <v>30</v>
      </c>
      <c r="B1247" s="342" t="s">
        <v>19</v>
      </c>
      <c r="C1247" s="343" t="s">
        <v>82</v>
      </c>
      <c r="D1247" s="343" t="s">
        <v>79</v>
      </c>
      <c r="E1247" s="652" t="s">
        <v>83</v>
      </c>
      <c r="F1247" s="345" t="s">
        <v>84</v>
      </c>
      <c r="G1247" s="346" t="s">
        <v>85</v>
      </c>
    </row>
    <row r="1248" spans="1:8" ht="15.95" customHeight="1">
      <c r="A1248" s="1308">
        <v>88317</v>
      </c>
      <c r="B1248" s="1310" t="s">
        <v>1126</v>
      </c>
      <c r="C1248" s="343" t="s">
        <v>102</v>
      </c>
      <c r="D1248" s="1457" t="s">
        <v>345</v>
      </c>
      <c r="E1248" s="1461">
        <v>1</v>
      </c>
      <c r="F1248" s="642">
        <f>G878</f>
        <v>14.81</v>
      </c>
      <c r="G1248" s="406">
        <f>TRUNC(E1248*F1248,2)</f>
        <v>14.81</v>
      </c>
    </row>
    <row r="1249" spans="1:8" ht="15.95" customHeight="1">
      <c r="A1249" s="1380"/>
      <c r="B1249" s="1311"/>
      <c r="C1249" s="652" t="s">
        <v>89</v>
      </c>
      <c r="D1249" s="1458"/>
      <c r="E1249" s="1462"/>
      <c r="F1249" s="642">
        <f>G879</f>
        <v>4.5600000000000005</v>
      </c>
      <c r="G1249" s="406">
        <f>TRUNC(E1248*F1249,2)</f>
        <v>4.5599999999999996</v>
      </c>
    </row>
    <row r="1250" spans="1:8" ht="33.75">
      <c r="A1250" s="407" t="s">
        <v>1131</v>
      </c>
      <c r="B1250" s="665" t="s">
        <v>1135</v>
      </c>
      <c r="C1250" s="652" t="s">
        <v>626</v>
      </c>
      <c r="D1250" s="343" t="s">
        <v>345</v>
      </c>
      <c r="E1250" s="408">
        <v>1</v>
      </c>
      <c r="F1250" s="365">
        <f>G1279</f>
        <v>6.65</v>
      </c>
      <c r="G1250" s="369">
        <f t="shared" ref="G1250:G1253" si="67">TRUNC(E1250*F1250,2)</f>
        <v>6.65</v>
      </c>
    </row>
    <row r="1251" spans="1:8" ht="33.75">
      <c r="A1251" s="407" t="s">
        <v>1132</v>
      </c>
      <c r="B1251" s="665" t="s">
        <v>1136</v>
      </c>
      <c r="C1251" s="652" t="s">
        <v>626</v>
      </c>
      <c r="D1251" s="343" t="s">
        <v>345</v>
      </c>
      <c r="E1251" s="408">
        <v>1</v>
      </c>
      <c r="F1251" s="365">
        <f>G1289</f>
        <v>8.31</v>
      </c>
      <c r="G1251" s="369">
        <f t="shared" si="67"/>
        <v>8.31</v>
      </c>
    </row>
    <row r="1252" spans="1:8" ht="33.75">
      <c r="A1252" s="407" t="s">
        <v>1133</v>
      </c>
      <c r="B1252" s="665" t="s">
        <v>1137</v>
      </c>
      <c r="C1252" s="652" t="s">
        <v>626</v>
      </c>
      <c r="D1252" s="343" t="s">
        <v>345</v>
      </c>
      <c r="E1252" s="408">
        <v>1</v>
      </c>
      <c r="F1252" s="365">
        <f>G1299</f>
        <v>30.92</v>
      </c>
      <c r="G1252" s="369">
        <f t="shared" si="67"/>
        <v>30.92</v>
      </c>
    </row>
    <row r="1253" spans="1:8" ht="33.75">
      <c r="A1253" s="407" t="s">
        <v>1134</v>
      </c>
      <c r="B1253" s="665" t="s">
        <v>1138</v>
      </c>
      <c r="C1253" s="652" t="s">
        <v>626</v>
      </c>
      <c r="D1253" s="343" t="s">
        <v>345</v>
      </c>
      <c r="E1253" s="408">
        <v>1</v>
      </c>
      <c r="F1253" s="365">
        <f>G1309</f>
        <v>1.49</v>
      </c>
      <c r="G1253" s="369">
        <f t="shared" si="67"/>
        <v>1.49</v>
      </c>
    </row>
    <row r="1254" spans="1:8" ht="15" customHeight="1">
      <c r="D1254" s="376"/>
      <c r="E1254" s="377"/>
      <c r="F1254" s="378" t="s">
        <v>92</v>
      </c>
      <c r="G1254" s="379">
        <f>G1248</f>
        <v>14.81</v>
      </c>
    </row>
    <row r="1255" spans="1:8" ht="15" customHeight="1">
      <c r="A1255" s="352"/>
      <c r="D1255" s="349"/>
      <c r="E1255" s="350"/>
      <c r="F1255" s="351" t="s">
        <v>94</v>
      </c>
      <c r="G1255" s="369">
        <f>G1249+G1250+G1251+G1252+G1253</f>
        <v>51.930000000000007</v>
      </c>
      <c r="H1255" s="334"/>
    </row>
    <row r="1256" spans="1:8" ht="15" customHeight="1">
      <c r="A1256" s="352"/>
      <c r="D1256" s="147"/>
      <c r="E1256" s="131"/>
      <c r="F1256" s="351" t="s">
        <v>95</v>
      </c>
      <c r="G1256" s="370">
        <f>SUM(G1254:G1255)</f>
        <v>66.740000000000009</v>
      </c>
      <c r="H1256" s="354"/>
    </row>
    <row r="1257" spans="1:8">
      <c r="A1257" s="355"/>
      <c r="B1257" s="356"/>
      <c r="C1257" s="357"/>
      <c r="D1257" s="358"/>
      <c r="E1257" s="355"/>
      <c r="F1257" s="356"/>
      <c r="G1257" s="356"/>
      <c r="H1257" s="356"/>
    </row>
    <row r="1259" spans="1:8">
      <c r="A1259" s="130" t="s">
        <v>542</v>
      </c>
    </row>
    <row r="1260" spans="1:8">
      <c r="A1260" s="130" t="s">
        <v>543</v>
      </c>
      <c r="B1260" s="148" t="s">
        <v>1139</v>
      </c>
      <c r="C1260" s="339"/>
    </row>
    <row r="1261" spans="1:8" ht="27.75" customHeight="1">
      <c r="A1261" s="130" t="s">
        <v>78</v>
      </c>
      <c r="B1261" s="1356" t="s">
        <v>1128</v>
      </c>
      <c r="C1261" s="1356"/>
      <c r="D1261" s="1356"/>
      <c r="E1261" s="375" t="s">
        <v>643</v>
      </c>
      <c r="F1261" s="338"/>
      <c r="G1261" s="338"/>
    </row>
    <row r="1262" spans="1:8" ht="22.5">
      <c r="A1262" s="341" t="s">
        <v>30</v>
      </c>
      <c r="B1262" s="665" t="s">
        <v>19</v>
      </c>
      <c r="C1262" s="343" t="s">
        <v>82</v>
      </c>
      <c r="D1262" s="343" t="s">
        <v>79</v>
      </c>
      <c r="E1262" s="652" t="s">
        <v>83</v>
      </c>
      <c r="F1262" s="345" t="s">
        <v>84</v>
      </c>
      <c r="G1262" s="346" t="s">
        <v>85</v>
      </c>
    </row>
    <row r="1263" spans="1:8" ht="15" customHeight="1">
      <c r="A1263" s="1308">
        <v>88317</v>
      </c>
      <c r="B1263" s="1310" t="s">
        <v>1126</v>
      </c>
      <c r="C1263" s="343" t="s">
        <v>102</v>
      </c>
      <c r="D1263" s="1457" t="s">
        <v>345</v>
      </c>
      <c r="E1263" s="1461">
        <v>1</v>
      </c>
      <c r="F1263" s="642">
        <f>G878</f>
        <v>14.81</v>
      </c>
      <c r="G1263" s="406">
        <f>TRUNC(E1263*F1263,2)</f>
        <v>14.81</v>
      </c>
    </row>
    <row r="1264" spans="1:8" ht="15" customHeight="1">
      <c r="A1264" s="1380"/>
      <c r="B1264" s="1311"/>
      <c r="C1264" s="652" t="s">
        <v>89</v>
      </c>
      <c r="D1264" s="1458"/>
      <c r="E1264" s="1462"/>
      <c r="F1264" s="642">
        <f>G879</f>
        <v>4.5600000000000005</v>
      </c>
      <c r="G1264" s="406">
        <f>TRUNC(E1263*F1264,2)</f>
        <v>4.5599999999999996</v>
      </c>
    </row>
    <row r="1265" spans="1:8" ht="33.75">
      <c r="A1265" s="407" t="s">
        <v>1131</v>
      </c>
      <c r="B1265" s="665" t="s">
        <v>1135</v>
      </c>
      <c r="C1265" s="652" t="s">
        <v>626</v>
      </c>
      <c r="D1265" s="343" t="s">
        <v>345</v>
      </c>
      <c r="E1265" s="408">
        <v>1</v>
      </c>
      <c r="F1265" s="365">
        <f>G1279</f>
        <v>6.65</v>
      </c>
      <c r="G1265" s="369">
        <f t="shared" ref="G1265:G1266" si="68">TRUNC(E1265*F1265,2)</f>
        <v>6.65</v>
      </c>
    </row>
    <row r="1266" spans="1:8" ht="33.75">
      <c r="A1266" s="407" t="s">
        <v>1134</v>
      </c>
      <c r="B1266" s="665" t="s">
        <v>1138</v>
      </c>
      <c r="C1266" s="652" t="s">
        <v>626</v>
      </c>
      <c r="D1266" s="343" t="s">
        <v>345</v>
      </c>
      <c r="E1266" s="408">
        <v>1</v>
      </c>
      <c r="F1266" s="365">
        <f>G1309</f>
        <v>1.49</v>
      </c>
      <c r="G1266" s="369">
        <f t="shared" si="68"/>
        <v>1.49</v>
      </c>
    </row>
    <row r="1267" spans="1:8" ht="15" customHeight="1">
      <c r="D1267" s="376"/>
      <c r="E1267" s="377"/>
      <c r="F1267" s="378" t="s">
        <v>92</v>
      </c>
      <c r="G1267" s="379">
        <f>G1263</f>
        <v>14.81</v>
      </c>
    </row>
    <row r="1268" spans="1:8" ht="15" customHeight="1">
      <c r="A1268" s="352"/>
      <c r="D1268" s="349"/>
      <c r="E1268" s="350"/>
      <c r="F1268" s="351" t="s">
        <v>94</v>
      </c>
      <c r="G1268" s="369">
        <f>G1264+G1265+G1266</f>
        <v>12.700000000000001</v>
      </c>
      <c r="H1268" s="334"/>
    </row>
    <row r="1269" spans="1:8" ht="15" customHeight="1">
      <c r="A1269" s="352"/>
      <c r="D1269" s="147"/>
      <c r="E1269" s="131"/>
      <c r="F1269" s="351" t="s">
        <v>95</v>
      </c>
      <c r="G1269" s="370">
        <f>SUM(G1267:G1268)</f>
        <v>27.51</v>
      </c>
      <c r="H1269" s="354"/>
    </row>
    <row r="1270" spans="1:8">
      <c r="A1270" s="355"/>
      <c r="B1270" s="356"/>
      <c r="C1270" s="357"/>
      <c r="D1270" s="358"/>
      <c r="E1270" s="355"/>
      <c r="F1270" s="356"/>
      <c r="G1270" s="356"/>
      <c r="H1270" s="356"/>
    </row>
    <row r="1272" spans="1:8" ht="13.5" customHeight="1">
      <c r="A1272" s="130" t="s">
        <v>542</v>
      </c>
      <c r="H1272" s="334"/>
    </row>
    <row r="1273" spans="1:8" ht="13.5" customHeight="1">
      <c r="A1273" s="130" t="s">
        <v>543</v>
      </c>
      <c r="B1273" s="148" t="s">
        <v>1145</v>
      </c>
      <c r="C1273" s="339"/>
      <c r="H1273" s="334"/>
    </row>
    <row r="1274" spans="1:8" ht="25.5" customHeight="1">
      <c r="A1274" s="130" t="s">
        <v>78</v>
      </c>
      <c r="B1274" s="1356" t="s">
        <v>1135</v>
      </c>
      <c r="C1274" s="1356"/>
      <c r="D1274" s="1356"/>
      <c r="E1274" s="636" t="s">
        <v>345</v>
      </c>
      <c r="F1274" s="338"/>
      <c r="G1274" s="338"/>
      <c r="H1274" s="334"/>
    </row>
    <row r="1275" spans="1:8" ht="22.5">
      <c r="A1275" s="341" t="s">
        <v>30</v>
      </c>
      <c r="B1275" s="342" t="s">
        <v>19</v>
      </c>
      <c r="C1275" s="343" t="s">
        <v>82</v>
      </c>
      <c r="D1275" s="343" t="s">
        <v>79</v>
      </c>
      <c r="E1275" s="652" t="s">
        <v>83</v>
      </c>
      <c r="F1275" s="345" t="s">
        <v>84</v>
      </c>
      <c r="G1275" s="346" t="s">
        <v>85</v>
      </c>
      <c r="H1275" s="334"/>
    </row>
    <row r="1276" spans="1:8" ht="33.75">
      <c r="A1276" s="654" t="s">
        <v>1146</v>
      </c>
      <c r="B1276" s="362" t="s">
        <v>1147</v>
      </c>
      <c r="C1276" s="363" t="s">
        <v>626</v>
      </c>
      <c r="D1276" s="343" t="s">
        <v>79</v>
      </c>
      <c r="E1276" s="364">
        <v>6.3999999999999997E-5</v>
      </c>
      <c r="F1276" s="391">
        <v>103996.26</v>
      </c>
      <c r="G1276" s="346">
        <f>TRUNC(E1276*F1276,2)</f>
        <v>6.65</v>
      </c>
    </row>
    <row r="1277" spans="1:8" ht="15" customHeight="1">
      <c r="D1277" s="349"/>
      <c r="E1277" s="350"/>
      <c r="F1277" s="351" t="s">
        <v>92</v>
      </c>
      <c r="G1277" s="346"/>
    </row>
    <row r="1278" spans="1:8" ht="15" customHeight="1">
      <c r="D1278" s="349"/>
      <c r="E1278" s="350"/>
      <c r="F1278" s="351" t="s">
        <v>94</v>
      </c>
      <c r="G1278" s="346">
        <f>G1276</f>
        <v>6.65</v>
      </c>
    </row>
    <row r="1279" spans="1:8" ht="15" customHeight="1">
      <c r="A1279" s="352"/>
      <c r="D1279" s="349"/>
      <c r="E1279" s="350"/>
      <c r="F1279" s="351" t="s">
        <v>95</v>
      </c>
      <c r="G1279" s="353">
        <f>SUM(G1277:G1278)</f>
        <v>6.65</v>
      </c>
      <c r="H1279" s="354"/>
    </row>
    <row r="1280" spans="1:8">
      <c r="A1280" s="355"/>
      <c r="B1280" s="356"/>
      <c r="C1280" s="357"/>
      <c r="D1280" s="358"/>
      <c r="E1280" s="355"/>
      <c r="F1280" s="356"/>
      <c r="G1280" s="356"/>
      <c r="H1280" s="356"/>
    </row>
    <row r="1282" spans="1:8">
      <c r="A1282" s="130" t="s">
        <v>542</v>
      </c>
      <c r="H1282" s="334"/>
    </row>
    <row r="1283" spans="1:8">
      <c r="A1283" s="130" t="s">
        <v>543</v>
      </c>
      <c r="B1283" s="148" t="s">
        <v>1148</v>
      </c>
      <c r="C1283" s="339"/>
      <c r="H1283" s="334"/>
    </row>
    <row r="1284" spans="1:8" ht="27.75" customHeight="1">
      <c r="A1284" s="130" t="s">
        <v>78</v>
      </c>
      <c r="B1284" s="1356" t="s">
        <v>1149</v>
      </c>
      <c r="C1284" s="1356"/>
      <c r="D1284" s="1356"/>
      <c r="E1284" s="636" t="s">
        <v>345</v>
      </c>
      <c r="F1284" s="338"/>
      <c r="G1284" s="338"/>
      <c r="H1284" s="334"/>
    </row>
    <row r="1285" spans="1:8" ht="22.5">
      <c r="A1285" s="341" t="s">
        <v>30</v>
      </c>
      <c r="B1285" s="342" t="s">
        <v>19</v>
      </c>
      <c r="C1285" s="343" t="s">
        <v>82</v>
      </c>
      <c r="D1285" s="343" t="s">
        <v>79</v>
      </c>
      <c r="E1285" s="652" t="s">
        <v>83</v>
      </c>
      <c r="F1285" s="345" t="s">
        <v>84</v>
      </c>
      <c r="G1285" s="346" t="s">
        <v>85</v>
      </c>
      <c r="H1285" s="334"/>
    </row>
    <row r="1286" spans="1:8" ht="33.75">
      <c r="A1286" s="654" t="s">
        <v>1146</v>
      </c>
      <c r="B1286" s="362" t="s">
        <v>1147</v>
      </c>
      <c r="C1286" s="363" t="s">
        <v>626</v>
      </c>
      <c r="D1286" s="343" t="s">
        <v>79</v>
      </c>
      <c r="E1286" s="364">
        <v>8.0000000000000007E-5</v>
      </c>
      <c r="F1286" s="391">
        <v>103996.26</v>
      </c>
      <c r="G1286" s="346">
        <f>TRUNC(E1286*F1286,2)</f>
        <v>8.31</v>
      </c>
    </row>
    <row r="1287" spans="1:8" ht="15" customHeight="1">
      <c r="D1287" s="349"/>
      <c r="E1287" s="350"/>
      <c r="F1287" s="351" t="s">
        <v>92</v>
      </c>
      <c r="G1287" s="346"/>
    </row>
    <row r="1288" spans="1:8" ht="15" customHeight="1">
      <c r="D1288" s="349"/>
      <c r="E1288" s="350"/>
      <c r="F1288" s="351" t="s">
        <v>94</v>
      </c>
      <c r="G1288" s="346">
        <f>G1286</f>
        <v>8.31</v>
      </c>
    </row>
    <row r="1289" spans="1:8" ht="15" customHeight="1">
      <c r="A1289" s="352"/>
      <c r="D1289" s="349"/>
      <c r="E1289" s="350"/>
      <c r="F1289" s="351" t="s">
        <v>95</v>
      </c>
      <c r="G1289" s="353">
        <f>SUM(G1287:G1288)</f>
        <v>8.31</v>
      </c>
      <c r="H1289" s="354"/>
    </row>
    <row r="1290" spans="1:8">
      <c r="A1290" s="355"/>
      <c r="B1290" s="356"/>
      <c r="C1290" s="357"/>
      <c r="D1290" s="358"/>
      <c r="E1290" s="355"/>
      <c r="F1290" s="356"/>
      <c r="G1290" s="356"/>
      <c r="H1290" s="356"/>
    </row>
    <row r="1292" spans="1:8">
      <c r="A1292" s="130" t="s">
        <v>542</v>
      </c>
      <c r="H1292" s="334"/>
    </row>
    <row r="1293" spans="1:8">
      <c r="A1293" s="130" t="s">
        <v>543</v>
      </c>
      <c r="B1293" s="148" t="s">
        <v>1150</v>
      </c>
      <c r="C1293" s="339"/>
      <c r="H1293" s="334"/>
    </row>
    <row r="1294" spans="1:8" ht="33.75" customHeight="1">
      <c r="A1294" s="130" t="s">
        <v>78</v>
      </c>
      <c r="B1294" s="1356" t="s">
        <v>1137</v>
      </c>
      <c r="C1294" s="1356"/>
      <c r="D1294" s="1356"/>
      <c r="E1294" s="636" t="s">
        <v>345</v>
      </c>
      <c r="F1294" s="338"/>
      <c r="G1294" s="338"/>
      <c r="H1294" s="334"/>
    </row>
    <row r="1295" spans="1:8" ht="22.5">
      <c r="A1295" s="341" t="s">
        <v>30</v>
      </c>
      <c r="B1295" s="342" t="s">
        <v>19</v>
      </c>
      <c r="C1295" s="343" t="s">
        <v>82</v>
      </c>
      <c r="D1295" s="343" t="s">
        <v>79</v>
      </c>
      <c r="E1295" s="652" t="s">
        <v>83</v>
      </c>
      <c r="F1295" s="345" t="s">
        <v>84</v>
      </c>
      <c r="G1295" s="346" t="s">
        <v>85</v>
      </c>
      <c r="H1295" s="334"/>
    </row>
    <row r="1296" spans="1:8" ht="16.5" customHeight="1">
      <c r="A1296" s="654" t="s">
        <v>1151</v>
      </c>
      <c r="B1296" s="362" t="s">
        <v>1152</v>
      </c>
      <c r="C1296" s="363" t="s">
        <v>89</v>
      </c>
      <c r="D1296" s="343" t="s">
        <v>560</v>
      </c>
      <c r="E1296" s="437">
        <v>7.95</v>
      </c>
      <c r="F1296" s="391">
        <v>3.89</v>
      </c>
      <c r="G1296" s="346">
        <f>TRUNC(E1296*F1296,2)</f>
        <v>30.92</v>
      </c>
    </row>
    <row r="1297" spans="1:8" ht="15" customHeight="1">
      <c r="D1297" s="349"/>
      <c r="E1297" s="350"/>
      <c r="F1297" s="351" t="s">
        <v>92</v>
      </c>
      <c r="G1297" s="346"/>
    </row>
    <row r="1298" spans="1:8" ht="15" customHeight="1">
      <c r="D1298" s="349"/>
      <c r="E1298" s="350"/>
      <c r="F1298" s="351" t="s">
        <v>94</v>
      </c>
      <c r="G1298" s="346">
        <f>G1296</f>
        <v>30.92</v>
      </c>
    </row>
    <row r="1299" spans="1:8" ht="15" customHeight="1">
      <c r="A1299" s="352"/>
      <c r="D1299" s="349"/>
      <c r="E1299" s="350"/>
      <c r="F1299" s="351" t="s">
        <v>95</v>
      </c>
      <c r="G1299" s="353">
        <f>SUM(G1297:G1298)</f>
        <v>30.92</v>
      </c>
      <c r="H1299" s="354"/>
    </row>
    <row r="1300" spans="1:8">
      <c r="A1300" s="355"/>
      <c r="B1300" s="356"/>
      <c r="C1300" s="357"/>
      <c r="D1300" s="358"/>
      <c r="E1300" s="355"/>
      <c r="F1300" s="356"/>
      <c r="G1300" s="356"/>
      <c r="H1300" s="356"/>
    </row>
    <row r="1302" spans="1:8">
      <c r="A1302" s="130" t="s">
        <v>542</v>
      </c>
      <c r="H1302" s="334"/>
    </row>
    <row r="1303" spans="1:8">
      <c r="A1303" s="130" t="s">
        <v>543</v>
      </c>
      <c r="B1303" s="148" t="s">
        <v>1153</v>
      </c>
      <c r="C1303" s="339"/>
      <c r="H1303" s="334"/>
    </row>
    <row r="1304" spans="1:8" ht="26.25" customHeight="1">
      <c r="A1304" s="130" t="s">
        <v>78</v>
      </c>
      <c r="B1304" s="1356" t="s">
        <v>1138</v>
      </c>
      <c r="C1304" s="1356"/>
      <c r="D1304" s="1356"/>
      <c r="E1304" s="636" t="s">
        <v>345</v>
      </c>
      <c r="F1304" s="338"/>
      <c r="G1304" s="338"/>
      <c r="H1304" s="334"/>
    </row>
    <row r="1305" spans="1:8" ht="22.5">
      <c r="A1305" s="341" t="s">
        <v>30</v>
      </c>
      <c r="B1305" s="342" t="s">
        <v>19</v>
      </c>
      <c r="C1305" s="343" t="s">
        <v>82</v>
      </c>
      <c r="D1305" s="343" t="s">
        <v>79</v>
      </c>
      <c r="E1305" s="652" t="s">
        <v>83</v>
      </c>
      <c r="F1305" s="345" t="s">
        <v>84</v>
      </c>
      <c r="G1305" s="346" t="s">
        <v>85</v>
      </c>
      <c r="H1305" s="334"/>
    </row>
    <row r="1306" spans="1:8" ht="33.75">
      <c r="A1306" s="654" t="s">
        <v>1146</v>
      </c>
      <c r="B1306" s="362" t="s">
        <v>1147</v>
      </c>
      <c r="C1306" s="363" t="s">
        <v>626</v>
      </c>
      <c r="D1306" s="343" t="s">
        <v>79</v>
      </c>
      <c r="E1306" s="364">
        <v>1.4399999999999999E-5</v>
      </c>
      <c r="F1306" s="391">
        <v>103996.26</v>
      </c>
      <c r="G1306" s="346">
        <f>TRUNC(E1306*F1306,2)</f>
        <v>1.49</v>
      </c>
    </row>
    <row r="1307" spans="1:8" ht="15" customHeight="1">
      <c r="D1307" s="349"/>
      <c r="E1307" s="350"/>
      <c r="F1307" s="351" t="s">
        <v>92</v>
      </c>
      <c r="G1307" s="346"/>
    </row>
    <row r="1308" spans="1:8" ht="15" customHeight="1">
      <c r="D1308" s="349"/>
      <c r="E1308" s="350"/>
      <c r="F1308" s="351" t="s">
        <v>94</v>
      </c>
      <c r="G1308" s="346">
        <f>G1306</f>
        <v>1.49</v>
      </c>
    </row>
    <row r="1309" spans="1:8" ht="15" customHeight="1">
      <c r="A1309" s="352"/>
      <c r="D1309" s="349"/>
      <c r="E1309" s="350"/>
      <c r="F1309" s="351" t="s">
        <v>95</v>
      </c>
      <c r="G1309" s="353">
        <f>SUM(G1307:G1308)</f>
        <v>1.49</v>
      </c>
      <c r="H1309" s="354"/>
    </row>
    <row r="1310" spans="1:8">
      <c r="A1310" s="355"/>
      <c r="B1310" s="356"/>
      <c r="C1310" s="357"/>
      <c r="D1310" s="358"/>
      <c r="E1310" s="355"/>
      <c r="F1310" s="356"/>
      <c r="G1310" s="356"/>
      <c r="H1310" s="356"/>
    </row>
    <row r="1312" spans="1:8">
      <c r="A1312" s="130" t="s">
        <v>542</v>
      </c>
    </row>
    <row r="1313" spans="1:9">
      <c r="A1313" s="130" t="s">
        <v>543</v>
      </c>
      <c r="B1313" s="148" t="s">
        <v>2139</v>
      </c>
      <c r="C1313" s="339"/>
    </row>
    <row r="1314" spans="1:9" ht="25.5" customHeight="1">
      <c r="A1314" s="130" t="s">
        <v>78</v>
      </c>
      <c r="B1314" s="1356" t="s">
        <v>774</v>
      </c>
      <c r="C1314" s="1356"/>
      <c r="D1314" s="636" t="s">
        <v>643</v>
      </c>
      <c r="F1314" s="338"/>
      <c r="G1314" s="338"/>
    </row>
    <row r="1315" spans="1:9" ht="22.5">
      <c r="A1315" s="341" t="s">
        <v>30</v>
      </c>
      <c r="B1315" s="342" t="s">
        <v>19</v>
      </c>
      <c r="C1315" s="343" t="s">
        <v>82</v>
      </c>
      <c r="D1315" s="343" t="s">
        <v>79</v>
      </c>
      <c r="E1315" s="344" t="s">
        <v>83</v>
      </c>
      <c r="F1315" s="345" t="s">
        <v>84</v>
      </c>
      <c r="G1315" s="346" t="s">
        <v>85</v>
      </c>
    </row>
    <row r="1316" spans="1:9" ht="14.1" customHeight="1">
      <c r="A1316" s="1308" t="s">
        <v>775</v>
      </c>
      <c r="B1316" s="1310" t="s">
        <v>776</v>
      </c>
      <c r="C1316" s="343" t="s">
        <v>102</v>
      </c>
      <c r="D1316" s="1457" t="s">
        <v>345</v>
      </c>
      <c r="E1316" s="1461">
        <v>1</v>
      </c>
      <c r="F1316" s="414">
        <f>G1338</f>
        <v>10.680000000000001</v>
      </c>
      <c r="G1316" s="406">
        <f>TRUNC(E1316*F1316,2)</f>
        <v>10.68</v>
      </c>
    </row>
    <row r="1317" spans="1:9" ht="14.1" customHeight="1">
      <c r="A1317" s="1380"/>
      <c r="B1317" s="1311"/>
      <c r="C1317" s="344" t="s">
        <v>89</v>
      </c>
      <c r="D1317" s="1458"/>
      <c r="E1317" s="1462"/>
      <c r="F1317" s="414">
        <f>G1339</f>
        <v>4.12</v>
      </c>
      <c r="G1317" s="406">
        <f>TRUNC(E1316*F1317,2)</f>
        <v>4.12</v>
      </c>
    </row>
    <row r="1318" spans="1:9" ht="33.75">
      <c r="A1318" s="407" t="s">
        <v>777</v>
      </c>
      <c r="B1318" s="347" t="s">
        <v>778</v>
      </c>
      <c r="C1318" s="344" t="s">
        <v>626</v>
      </c>
      <c r="D1318" s="343" t="s">
        <v>345</v>
      </c>
      <c r="E1318" s="408">
        <v>1</v>
      </c>
      <c r="F1318" s="348">
        <f>G1360</f>
        <v>0.27</v>
      </c>
      <c r="G1318" s="369">
        <f t="shared" ref="G1318:G1321" si="69">TRUNC(E1318*F1318,2)</f>
        <v>0.27</v>
      </c>
    </row>
    <row r="1319" spans="1:9" ht="33.75">
      <c r="A1319" s="407" t="s">
        <v>779</v>
      </c>
      <c r="B1319" s="347" t="s">
        <v>780</v>
      </c>
      <c r="C1319" s="344" t="s">
        <v>626</v>
      </c>
      <c r="D1319" s="343" t="s">
        <v>345</v>
      </c>
      <c r="E1319" s="408">
        <v>2</v>
      </c>
      <c r="F1319" s="348">
        <f>G1370</f>
        <v>0.06</v>
      </c>
      <c r="G1319" s="369">
        <f t="shared" si="69"/>
        <v>0.12</v>
      </c>
    </row>
    <row r="1320" spans="1:9" ht="33.75">
      <c r="A1320" s="407" t="s">
        <v>781</v>
      </c>
      <c r="B1320" s="347" t="s">
        <v>782</v>
      </c>
      <c r="C1320" s="344" t="s">
        <v>626</v>
      </c>
      <c r="D1320" s="343" t="s">
        <v>345</v>
      </c>
      <c r="E1320" s="408">
        <v>3</v>
      </c>
      <c r="F1320" s="348">
        <f>G1380</f>
        <v>0.25</v>
      </c>
      <c r="G1320" s="369">
        <f t="shared" si="69"/>
        <v>0.75</v>
      </c>
    </row>
    <row r="1321" spans="1:9" ht="33.75">
      <c r="A1321" s="407" t="s">
        <v>783</v>
      </c>
      <c r="B1321" s="347" t="s">
        <v>784</v>
      </c>
      <c r="C1321" s="344" t="s">
        <v>626</v>
      </c>
      <c r="D1321" s="343" t="s">
        <v>345</v>
      </c>
      <c r="E1321" s="408">
        <v>4</v>
      </c>
      <c r="F1321" s="348">
        <f>G1390</f>
        <v>0.36</v>
      </c>
      <c r="G1321" s="369">
        <f t="shared" si="69"/>
        <v>1.44</v>
      </c>
    </row>
    <row r="1322" spans="1:9" ht="14.1" customHeight="1">
      <c r="D1322" s="376"/>
      <c r="E1322" s="377"/>
      <c r="F1322" s="378" t="s">
        <v>92</v>
      </c>
      <c r="G1322" s="379">
        <f>G1316</f>
        <v>10.68</v>
      </c>
    </row>
    <row r="1323" spans="1:9" ht="14.1" customHeight="1">
      <c r="A1323" s="352"/>
      <c r="D1323" s="349"/>
      <c r="E1323" s="350"/>
      <c r="F1323" s="351" t="s">
        <v>94</v>
      </c>
      <c r="G1323" s="369">
        <f>G1317+G1318+G1319+G1320+G1321</f>
        <v>6.7000000000000011</v>
      </c>
      <c r="H1323" s="334"/>
    </row>
    <row r="1324" spans="1:9" ht="14.1" customHeight="1">
      <c r="A1324" s="352"/>
      <c r="D1324" s="147"/>
      <c r="E1324" s="131"/>
      <c r="F1324" s="351" t="s">
        <v>95</v>
      </c>
      <c r="G1324" s="370">
        <f>SUM(G1322:G1323)</f>
        <v>17.380000000000003</v>
      </c>
      <c r="H1324" s="354"/>
    </row>
    <row r="1325" spans="1:9">
      <c r="A1325" s="355"/>
      <c r="B1325" s="356"/>
      <c r="C1325" s="357"/>
      <c r="D1325" s="358"/>
      <c r="E1325" s="355"/>
      <c r="F1325" s="356"/>
      <c r="G1325" s="356"/>
      <c r="H1325" s="356"/>
      <c r="I1325" s="355"/>
    </row>
    <row r="1327" spans="1:9">
      <c r="A1327" s="130" t="s">
        <v>653</v>
      </c>
      <c r="C1327" s="133"/>
      <c r="D1327" s="130"/>
      <c r="E1327" s="135"/>
      <c r="H1327" s="130"/>
    </row>
    <row r="1328" spans="1:9">
      <c r="A1328" s="130" t="s">
        <v>33</v>
      </c>
      <c r="B1328" s="149" t="s">
        <v>785</v>
      </c>
      <c r="C1328" s="133"/>
      <c r="D1328" s="130"/>
      <c r="E1328" s="135"/>
      <c r="H1328" s="130"/>
    </row>
    <row r="1329" spans="1:9">
      <c r="A1329" s="130" t="s">
        <v>78</v>
      </c>
      <c r="B1329" s="1456" t="s">
        <v>776</v>
      </c>
      <c r="C1329" s="1456"/>
      <c r="D1329" s="150" t="s">
        <v>345</v>
      </c>
      <c r="H1329" s="130"/>
    </row>
    <row r="1330" spans="1:9" ht="22.5">
      <c r="A1330" s="428" t="s">
        <v>30</v>
      </c>
      <c r="B1330" s="347" t="s">
        <v>19</v>
      </c>
      <c r="C1330" s="343" t="s">
        <v>82</v>
      </c>
      <c r="D1330" s="343" t="s">
        <v>79</v>
      </c>
      <c r="E1330" s="344" t="s">
        <v>83</v>
      </c>
      <c r="F1330" s="345" t="s">
        <v>84</v>
      </c>
      <c r="G1330" s="382" t="s">
        <v>85</v>
      </c>
      <c r="H1330" s="130"/>
    </row>
    <row r="1331" spans="1:9" ht="14.1" customHeight="1">
      <c r="A1331" s="361">
        <v>4253</v>
      </c>
      <c r="B1331" s="362" t="s">
        <v>786</v>
      </c>
      <c r="C1331" s="343" t="s">
        <v>102</v>
      </c>
      <c r="D1331" s="383" t="s">
        <v>345</v>
      </c>
      <c r="E1331" s="384">
        <v>1</v>
      </c>
      <c r="F1331" s="385">
        <f>10.55</f>
        <v>10.55</v>
      </c>
      <c r="G1331" s="386">
        <f>TRUNC(E1331*F1331,2)</f>
        <v>10.55</v>
      </c>
      <c r="H1331" s="130"/>
    </row>
    <row r="1332" spans="1:9" ht="22.5">
      <c r="A1332" s="415" t="s">
        <v>656</v>
      </c>
      <c r="B1332" s="347" t="s">
        <v>657</v>
      </c>
      <c r="C1332" s="343" t="s">
        <v>658</v>
      </c>
      <c r="D1332" s="343" t="s">
        <v>345</v>
      </c>
      <c r="E1332" s="387">
        <v>1</v>
      </c>
      <c r="F1332" s="388">
        <v>2.15</v>
      </c>
      <c r="G1332" s="346">
        <f t="shared" ref="G1332:G1337" si="70">TRUNC(E1332*F1332,2)</f>
        <v>2.15</v>
      </c>
      <c r="H1332" s="130"/>
    </row>
    <row r="1333" spans="1:9" ht="22.5">
      <c r="A1333" s="415" t="s">
        <v>659</v>
      </c>
      <c r="B1333" s="347" t="s">
        <v>660</v>
      </c>
      <c r="C1333" s="343" t="s">
        <v>658</v>
      </c>
      <c r="D1333" s="343" t="s">
        <v>345</v>
      </c>
      <c r="E1333" s="387">
        <v>1</v>
      </c>
      <c r="F1333" s="388">
        <v>0.6</v>
      </c>
      <c r="G1333" s="369">
        <f t="shared" si="70"/>
        <v>0.6</v>
      </c>
      <c r="H1333" s="130"/>
    </row>
    <row r="1334" spans="1:9" ht="22.5">
      <c r="A1334" s="415" t="s">
        <v>661</v>
      </c>
      <c r="B1334" s="347" t="s">
        <v>662</v>
      </c>
      <c r="C1334" s="343" t="s">
        <v>658</v>
      </c>
      <c r="D1334" s="343" t="s">
        <v>345</v>
      </c>
      <c r="E1334" s="387">
        <v>1</v>
      </c>
      <c r="F1334" s="388">
        <v>0.37</v>
      </c>
      <c r="G1334" s="346">
        <f t="shared" si="70"/>
        <v>0.37</v>
      </c>
      <c r="H1334" s="130"/>
    </row>
    <row r="1335" spans="1:9" ht="22.5">
      <c r="A1335" s="415" t="s">
        <v>663</v>
      </c>
      <c r="B1335" s="347" t="s">
        <v>664</v>
      </c>
      <c r="C1335" s="343" t="s">
        <v>658</v>
      </c>
      <c r="D1335" s="343" t="s">
        <v>345</v>
      </c>
      <c r="E1335" s="387">
        <v>1</v>
      </c>
      <c r="F1335" s="388">
        <v>0.02</v>
      </c>
      <c r="G1335" s="346">
        <f t="shared" si="70"/>
        <v>0.02</v>
      </c>
      <c r="H1335" s="130"/>
    </row>
    <row r="1336" spans="1:9" ht="14.1" customHeight="1">
      <c r="A1336" s="415" t="s">
        <v>665</v>
      </c>
      <c r="B1336" s="347" t="s">
        <v>584</v>
      </c>
      <c r="C1336" s="343" t="s">
        <v>89</v>
      </c>
      <c r="D1336" s="343" t="s">
        <v>345</v>
      </c>
      <c r="E1336" s="387">
        <v>1</v>
      </c>
      <c r="F1336" s="388">
        <f>'COMP AUX'!G38</f>
        <v>0.98</v>
      </c>
      <c r="G1336" s="369">
        <f t="shared" si="70"/>
        <v>0.98</v>
      </c>
      <c r="H1336" s="130"/>
    </row>
    <row r="1337" spans="1:9" ht="22.5">
      <c r="A1337" s="361">
        <v>95358</v>
      </c>
      <c r="B1337" s="362" t="s">
        <v>787</v>
      </c>
      <c r="C1337" s="343" t="s">
        <v>102</v>
      </c>
      <c r="D1337" s="343" t="s">
        <v>345</v>
      </c>
      <c r="E1337" s="387">
        <v>1</v>
      </c>
      <c r="F1337" s="388">
        <f>G1350</f>
        <v>0.13</v>
      </c>
      <c r="G1337" s="369">
        <f t="shared" si="70"/>
        <v>0.13</v>
      </c>
      <c r="H1337" s="130"/>
    </row>
    <row r="1338" spans="1:9" ht="14.1" customHeight="1">
      <c r="C1338" s="133"/>
      <c r="D1338" s="389"/>
      <c r="E1338" s="350"/>
      <c r="F1338" s="351" t="s">
        <v>92</v>
      </c>
      <c r="G1338" s="369">
        <f>G1331+G1337</f>
        <v>10.680000000000001</v>
      </c>
      <c r="H1338" s="130"/>
    </row>
    <row r="1339" spans="1:9" ht="14.1" customHeight="1">
      <c r="C1339" s="133"/>
      <c r="D1339" s="147"/>
      <c r="E1339" s="350"/>
      <c r="F1339" s="351" t="s">
        <v>94</v>
      </c>
      <c r="G1339" s="369">
        <f>SUM(G1332:G1336)</f>
        <v>4.12</v>
      </c>
      <c r="H1339" s="130"/>
    </row>
    <row r="1340" spans="1:9" ht="14.1" customHeight="1">
      <c r="A1340" s="390"/>
      <c r="B1340" s="146"/>
      <c r="C1340" s="133"/>
      <c r="D1340" s="376"/>
      <c r="E1340" s="350"/>
      <c r="F1340" s="351" t="s">
        <v>95</v>
      </c>
      <c r="G1340" s="353">
        <f>SUM(G1338:G1339)</f>
        <v>14.8</v>
      </c>
      <c r="H1340" s="130"/>
    </row>
    <row r="1341" spans="1:9">
      <c r="A1341" s="355"/>
      <c r="B1341" s="356"/>
      <c r="C1341" s="358"/>
      <c r="D1341" s="355"/>
      <c r="E1341" s="356"/>
      <c r="F1341" s="356"/>
      <c r="G1341" s="356"/>
      <c r="H1341" s="355"/>
      <c r="I1341" s="355"/>
    </row>
    <row r="1343" spans="1:9">
      <c r="A1343" s="130" t="s">
        <v>542</v>
      </c>
    </row>
    <row r="1344" spans="1:9">
      <c r="A1344" s="130" t="s">
        <v>543</v>
      </c>
      <c r="B1344" s="359" t="s">
        <v>788</v>
      </c>
      <c r="C1344" s="360"/>
    </row>
    <row r="1345" spans="1:9" ht="22.5">
      <c r="A1345" s="130" t="s">
        <v>78</v>
      </c>
      <c r="B1345" s="340" t="s">
        <v>787</v>
      </c>
      <c r="C1345" s="150" t="s">
        <v>345</v>
      </c>
      <c r="E1345" s="338" t="s">
        <v>2</v>
      </c>
      <c r="F1345" s="338"/>
      <c r="G1345" s="338"/>
    </row>
    <row r="1346" spans="1:9" ht="22.5">
      <c r="A1346" s="341" t="s">
        <v>30</v>
      </c>
      <c r="B1346" s="342" t="s">
        <v>19</v>
      </c>
      <c r="C1346" s="367" t="s">
        <v>789</v>
      </c>
      <c r="D1346" s="343" t="s">
        <v>79</v>
      </c>
      <c r="E1346" s="344" t="s">
        <v>83</v>
      </c>
      <c r="F1346" s="345" t="s">
        <v>84</v>
      </c>
      <c r="G1346" s="346" t="s">
        <v>85</v>
      </c>
    </row>
    <row r="1347" spans="1:9" ht="14.1" customHeight="1">
      <c r="A1347" s="361">
        <v>4253</v>
      </c>
      <c r="B1347" s="362" t="s">
        <v>786</v>
      </c>
      <c r="C1347" s="363" t="s">
        <v>102</v>
      </c>
      <c r="D1347" s="343" t="s">
        <v>345</v>
      </c>
      <c r="E1347" s="364">
        <v>1.32E-2</v>
      </c>
      <c r="F1347" s="365">
        <f>10.55</f>
        <v>10.55</v>
      </c>
      <c r="G1347" s="346">
        <f>TRUNC(E1347*F1347,2)</f>
        <v>0.13</v>
      </c>
    </row>
    <row r="1348" spans="1:9" ht="14.1" customHeight="1">
      <c r="D1348" s="349"/>
      <c r="E1348" s="350"/>
      <c r="F1348" s="351" t="s">
        <v>92</v>
      </c>
      <c r="G1348" s="346">
        <f>G1347</f>
        <v>0.13</v>
      </c>
    </row>
    <row r="1349" spans="1:9" ht="14.1" customHeight="1">
      <c r="D1349" s="349"/>
      <c r="E1349" s="350"/>
      <c r="F1349" s="351" t="s">
        <v>94</v>
      </c>
      <c r="G1349" s="346"/>
    </row>
    <row r="1350" spans="1:9" ht="14.1" customHeight="1">
      <c r="A1350" s="352"/>
      <c r="D1350" s="349"/>
      <c r="E1350" s="350"/>
      <c r="F1350" s="351" t="s">
        <v>95</v>
      </c>
      <c r="G1350" s="353">
        <f>SUM(G1348:G1349)</f>
        <v>0.13</v>
      </c>
      <c r="H1350" s="354"/>
    </row>
    <row r="1351" spans="1:9">
      <c r="A1351" s="355"/>
      <c r="B1351" s="356"/>
      <c r="C1351" s="357"/>
      <c r="D1351" s="358"/>
      <c r="E1351" s="355"/>
      <c r="F1351" s="356"/>
      <c r="G1351" s="356"/>
      <c r="H1351" s="356"/>
      <c r="I1351" s="355"/>
    </row>
    <row r="1353" spans="1:9">
      <c r="A1353" s="130" t="s">
        <v>542</v>
      </c>
    </row>
    <row r="1354" spans="1:9" ht="13.5" customHeight="1">
      <c r="A1354" s="130" t="s">
        <v>543</v>
      </c>
      <c r="B1354" s="359" t="s">
        <v>2140</v>
      </c>
      <c r="C1354" s="360"/>
    </row>
    <row r="1355" spans="1:9" ht="21.75" customHeight="1">
      <c r="A1355" s="130" t="s">
        <v>78</v>
      </c>
      <c r="B1355" s="1356" t="s">
        <v>790</v>
      </c>
      <c r="C1355" s="1356"/>
      <c r="D1355" s="637" t="s">
        <v>345</v>
      </c>
      <c r="F1355" s="338"/>
      <c r="G1355" s="338"/>
    </row>
    <row r="1356" spans="1:9" ht="22.5">
      <c r="A1356" s="341" t="s">
        <v>30</v>
      </c>
      <c r="B1356" s="347" t="s">
        <v>19</v>
      </c>
      <c r="C1356" s="345" t="s">
        <v>789</v>
      </c>
      <c r="D1356" s="343" t="s">
        <v>79</v>
      </c>
      <c r="E1356" s="344" t="s">
        <v>83</v>
      </c>
      <c r="F1356" s="345" t="s">
        <v>84</v>
      </c>
      <c r="G1356" s="346" t="s">
        <v>85</v>
      </c>
    </row>
    <row r="1357" spans="1:9" ht="22.5">
      <c r="A1357" s="361" t="s">
        <v>791</v>
      </c>
      <c r="B1357" s="362" t="s">
        <v>792</v>
      </c>
      <c r="C1357" s="363" t="s">
        <v>626</v>
      </c>
      <c r="D1357" s="343" t="s">
        <v>79</v>
      </c>
      <c r="E1357" s="364">
        <v>6.3999999999999997E-5</v>
      </c>
      <c r="F1357" s="391">
        <v>4279.5600000000004</v>
      </c>
      <c r="G1357" s="346">
        <f>TRUNC(E1357*F1357,2)</f>
        <v>0.27</v>
      </c>
    </row>
    <row r="1358" spans="1:9" ht="14.1" customHeight="1">
      <c r="D1358" s="349"/>
      <c r="E1358" s="350"/>
      <c r="F1358" s="351" t="s">
        <v>92</v>
      </c>
      <c r="G1358" s="346"/>
    </row>
    <row r="1359" spans="1:9" ht="14.1" customHeight="1">
      <c r="D1359" s="349"/>
      <c r="E1359" s="350"/>
      <c r="F1359" s="351" t="s">
        <v>94</v>
      </c>
      <c r="G1359" s="346">
        <f>G1357</f>
        <v>0.27</v>
      </c>
    </row>
    <row r="1360" spans="1:9" ht="14.1" customHeight="1">
      <c r="A1360" s="352"/>
      <c r="D1360" s="349"/>
      <c r="E1360" s="350"/>
      <c r="F1360" s="351" t="s">
        <v>95</v>
      </c>
      <c r="G1360" s="353">
        <f>SUM(G1358:G1359)</f>
        <v>0.27</v>
      </c>
      <c r="H1360" s="354"/>
    </row>
    <row r="1361" spans="1:9">
      <c r="A1361" s="355"/>
      <c r="B1361" s="356"/>
      <c r="C1361" s="357"/>
      <c r="D1361" s="358"/>
      <c r="E1361" s="355"/>
      <c r="F1361" s="356"/>
      <c r="G1361" s="356"/>
      <c r="H1361" s="356"/>
      <c r="I1361" s="355"/>
    </row>
    <row r="1363" spans="1:9">
      <c r="A1363" s="130" t="s">
        <v>542</v>
      </c>
    </row>
    <row r="1364" spans="1:9" ht="13.5" customHeight="1">
      <c r="A1364" s="130" t="s">
        <v>543</v>
      </c>
      <c r="B1364" s="359" t="s">
        <v>2141</v>
      </c>
      <c r="C1364" s="360"/>
    </row>
    <row r="1365" spans="1:9" ht="21" customHeight="1">
      <c r="A1365" s="130" t="s">
        <v>78</v>
      </c>
      <c r="B1365" s="1356" t="s">
        <v>793</v>
      </c>
      <c r="C1365" s="1356"/>
      <c r="D1365" s="637" t="s">
        <v>345</v>
      </c>
      <c r="F1365" s="338"/>
      <c r="G1365" s="338"/>
    </row>
    <row r="1366" spans="1:9" ht="22.5">
      <c r="A1366" s="341" t="s">
        <v>30</v>
      </c>
      <c r="B1366" s="347" t="s">
        <v>19</v>
      </c>
      <c r="C1366" s="345" t="s">
        <v>789</v>
      </c>
      <c r="D1366" s="343" t="s">
        <v>79</v>
      </c>
      <c r="E1366" s="344" t="s">
        <v>83</v>
      </c>
      <c r="F1366" s="345" t="s">
        <v>84</v>
      </c>
      <c r="G1366" s="346" t="s">
        <v>85</v>
      </c>
    </row>
    <row r="1367" spans="1:9" ht="22.5">
      <c r="A1367" s="361" t="s">
        <v>791</v>
      </c>
      <c r="B1367" s="362" t="s">
        <v>792</v>
      </c>
      <c r="C1367" s="363" t="s">
        <v>626</v>
      </c>
      <c r="D1367" s="343" t="s">
        <v>79</v>
      </c>
      <c r="E1367" s="364">
        <v>1.4399999999999999E-5</v>
      </c>
      <c r="F1367" s="391">
        <v>4279.5600000000004</v>
      </c>
      <c r="G1367" s="346">
        <f>TRUNC(E1367*F1367,2)</f>
        <v>0.06</v>
      </c>
    </row>
    <row r="1368" spans="1:9" ht="14.1" customHeight="1">
      <c r="D1368" s="349"/>
      <c r="E1368" s="350"/>
      <c r="F1368" s="351" t="s">
        <v>92</v>
      </c>
      <c r="G1368" s="346"/>
    </row>
    <row r="1369" spans="1:9" ht="14.1" customHeight="1">
      <c r="D1369" s="349"/>
      <c r="E1369" s="350"/>
      <c r="F1369" s="351" t="s">
        <v>94</v>
      </c>
      <c r="G1369" s="346">
        <f>G1367</f>
        <v>0.06</v>
      </c>
    </row>
    <row r="1370" spans="1:9" ht="14.1" customHeight="1">
      <c r="A1370" s="352"/>
      <c r="D1370" s="349"/>
      <c r="E1370" s="350"/>
      <c r="F1370" s="351" t="s">
        <v>95</v>
      </c>
      <c r="G1370" s="353">
        <f>SUM(G1368:G1369)</f>
        <v>0.06</v>
      </c>
      <c r="H1370" s="354"/>
    </row>
    <row r="1371" spans="1:9">
      <c r="A1371" s="355"/>
      <c r="B1371" s="356"/>
      <c r="C1371" s="357"/>
      <c r="D1371" s="358"/>
      <c r="E1371" s="355"/>
      <c r="F1371" s="356"/>
      <c r="G1371" s="356"/>
      <c r="H1371" s="356"/>
      <c r="I1371" s="355"/>
    </row>
    <row r="1373" spans="1:9">
      <c r="A1373" s="130" t="s">
        <v>542</v>
      </c>
    </row>
    <row r="1374" spans="1:9" ht="12.75" customHeight="1">
      <c r="A1374" s="130" t="s">
        <v>543</v>
      </c>
      <c r="B1374" s="359" t="s">
        <v>2142</v>
      </c>
      <c r="C1374" s="360"/>
    </row>
    <row r="1375" spans="1:9" ht="21" customHeight="1">
      <c r="A1375" s="130" t="s">
        <v>78</v>
      </c>
      <c r="B1375" s="1356" t="s">
        <v>794</v>
      </c>
      <c r="C1375" s="1356"/>
      <c r="D1375" s="636" t="s">
        <v>345</v>
      </c>
      <c r="F1375" s="338"/>
      <c r="G1375" s="338"/>
    </row>
    <row r="1376" spans="1:9" ht="22.5">
      <c r="A1376" s="341" t="s">
        <v>30</v>
      </c>
      <c r="B1376" s="347" t="s">
        <v>19</v>
      </c>
      <c r="C1376" s="345" t="s">
        <v>789</v>
      </c>
      <c r="D1376" s="343" t="s">
        <v>79</v>
      </c>
      <c r="E1376" s="344" t="s">
        <v>83</v>
      </c>
      <c r="F1376" s="345" t="s">
        <v>84</v>
      </c>
      <c r="G1376" s="346" t="s">
        <v>85</v>
      </c>
    </row>
    <row r="1377" spans="1:9" ht="22.5">
      <c r="A1377" s="361" t="s">
        <v>791</v>
      </c>
      <c r="B1377" s="362" t="s">
        <v>792</v>
      </c>
      <c r="C1377" s="363" t="s">
        <v>626</v>
      </c>
      <c r="D1377" s="343" t="s">
        <v>79</v>
      </c>
      <c r="E1377" s="364">
        <v>6.0000000000000002E-5</v>
      </c>
      <c r="F1377" s="391">
        <v>4279.5600000000004</v>
      </c>
      <c r="G1377" s="346">
        <f>TRUNC(E1377*F1377,2)</f>
        <v>0.25</v>
      </c>
    </row>
    <row r="1378" spans="1:9" ht="14.1" customHeight="1">
      <c r="D1378" s="349"/>
      <c r="E1378" s="350"/>
      <c r="F1378" s="351" t="s">
        <v>92</v>
      </c>
      <c r="G1378" s="346"/>
    </row>
    <row r="1379" spans="1:9" ht="14.1" customHeight="1">
      <c r="D1379" s="349"/>
      <c r="E1379" s="350"/>
      <c r="F1379" s="351" t="s">
        <v>94</v>
      </c>
      <c r="G1379" s="346">
        <f>G1377</f>
        <v>0.25</v>
      </c>
    </row>
    <row r="1380" spans="1:9" ht="14.1" customHeight="1">
      <c r="A1380" s="352"/>
      <c r="D1380" s="349"/>
      <c r="E1380" s="350"/>
      <c r="F1380" s="351" t="s">
        <v>95</v>
      </c>
      <c r="G1380" s="353">
        <f>SUM(G1378:G1379)</f>
        <v>0.25</v>
      </c>
      <c r="H1380" s="354"/>
    </row>
    <row r="1381" spans="1:9">
      <c r="A1381" s="355"/>
      <c r="B1381" s="356"/>
      <c r="C1381" s="357"/>
      <c r="D1381" s="358"/>
      <c r="E1381" s="355"/>
      <c r="F1381" s="356"/>
      <c r="G1381" s="356"/>
      <c r="H1381" s="356"/>
      <c r="I1381" s="355"/>
    </row>
    <row r="1383" spans="1:9">
      <c r="A1383" s="130" t="s">
        <v>542</v>
      </c>
    </row>
    <row r="1384" spans="1:9">
      <c r="A1384" s="130" t="s">
        <v>543</v>
      </c>
      <c r="B1384" s="359" t="s">
        <v>2143</v>
      </c>
      <c r="C1384" s="360"/>
    </row>
    <row r="1385" spans="1:9" ht="21" customHeight="1">
      <c r="A1385" s="130" t="s">
        <v>78</v>
      </c>
      <c r="B1385" s="1356" t="s">
        <v>795</v>
      </c>
      <c r="C1385" s="1356"/>
      <c r="D1385" s="636" t="s">
        <v>345</v>
      </c>
      <c r="F1385" s="338"/>
      <c r="G1385" s="338"/>
    </row>
    <row r="1386" spans="1:9" ht="22.5">
      <c r="A1386" s="341" t="s">
        <v>30</v>
      </c>
      <c r="B1386" s="347" t="s">
        <v>19</v>
      </c>
      <c r="C1386" s="345" t="s">
        <v>789</v>
      </c>
      <c r="D1386" s="343" t="s">
        <v>79</v>
      </c>
      <c r="E1386" s="344" t="s">
        <v>83</v>
      </c>
      <c r="F1386" s="345" t="s">
        <v>84</v>
      </c>
      <c r="G1386" s="346" t="s">
        <v>85</v>
      </c>
    </row>
    <row r="1387" spans="1:9" ht="22.5">
      <c r="A1387" s="361" t="s">
        <v>717</v>
      </c>
      <c r="B1387" s="362" t="s">
        <v>718</v>
      </c>
      <c r="C1387" s="363" t="s">
        <v>89</v>
      </c>
      <c r="D1387" s="343" t="s">
        <v>719</v>
      </c>
      <c r="E1387" s="364">
        <v>0.78</v>
      </c>
      <c r="F1387" s="391">
        <v>0.47</v>
      </c>
      <c r="G1387" s="346">
        <f>TRUNC(E1387*F1387,2)</f>
        <v>0.36</v>
      </c>
    </row>
    <row r="1388" spans="1:9" ht="14.1" customHeight="1">
      <c r="D1388" s="349"/>
      <c r="E1388" s="350"/>
      <c r="F1388" s="351" t="s">
        <v>92</v>
      </c>
      <c r="G1388" s="346"/>
    </row>
    <row r="1389" spans="1:9" ht="14.1" customHeight="1">
      <c r="D1389" s="349"/>
      <c r="E1389" s="350"/>
      <c r="F1389" s="351" t="s">
        <v>94</v>
      </c>
      <c r="G1389" s="346">
        <f>G1387</f>
        <v>0.36</v>
      </c>
    </row>
    <row r="1390" spans="1:9" ht="14.1" customHeight="1">
      <c r="A1390" s="352"/>
      <c r="D1390" s="349"/>
      <c r="E1390" s="350"/>
      <c r="F1390" s="351" t="s">
        <v>95</v>
      </c>
      <c r="G1390" s="353">
        <f>SUM(G1388:G1389)</f>
        <v>0.36</v>
      </c>
      <c r="H1390" s="354"/>
    </row>
    <row r="1391" spans="1:9">
      <c r="A1391" s="355"/>
      <c r="B1391" s="356"/>
      <c r="C1391" s="357"/>
      <c r="D1391" s="358"/>
      <c r="E1391" s="355"/>
      <c r="F1391" s="356"/>
      <c r="G1391" s="356"/>
      <c r="H1391" s="356"/>
      <c r="I1391" s="355"/>
    </row>
    <row r="1393" spans="1:9">
      <c r="A1393" s="130" t="s">
        <v>542</v>
      </c>
    </row>
    <row r="1394" spans="1:9">
      <c r="A1394" s="130" t="s">
        <v>543</v>
      </c>
      <c r="B1394" s="148" t="s">
        <v>796</v>
      </c>
      <c r="C1394" s="339"/>
    </row>
    <row r="1395" spans="1:9" ht="23.25" customHeight="1">
      <c r="A1395" s="130" t="s">
        <v>78</v>
      </c>
      <c r="B1395" s="1356" t="s">
        <v>797</v>
      </c>
      <c r="C1395" s="1356"/>
      <c r="D1395" s="1356"/>
      <c r="E1395" s="150" t="s">
        <v>622</v>
      </c>
      <c r="F1395" s="338"/>
      <c r="G1395" s="338"/>
    </row>
    <row r="1396" spans="1:9" ht="22.5">
      <c r="A1396" s="341" t="s">
        <v>30</v>
      </c>
      <c r="B1396" s="347" t="s">
        <v>19</v>
      </c>
      <c r="C1396" s="343" t="s">
        <v>82</v>
      </c>
      <c r="D1396" s="343" t="s">
        <v>79</v>
      </c>
      <c r="E1396" s="344" t="s">
        <v>83</v>
      </c>
      <c r="F1396" s="345" t="s">
        <v>84</v>
      </c>
      <c r="G1396" s="346" t="s">
        <v>85</v>
      </c>
    </row>
    <row r="1397" spans="1:9" ht="14.1" customHeight="1">
      <c r="A1397" s="1308" t="s">
        <v>775</v>
      </c>
      <c r="B1397" s="1310" t="s">
        <v>776</v>
      </c>
      <c r="C1397" s="343" t="s">
        <v>102</v>
      </c>
      <c r="D1397" s="1457" t="s">
        <v>345</v>
      </c>
      <c r="E1397" s="1461">
        <v>1</v>
      </c>
      <c r="F1397" s="414">
        <f>G1338</f>
        <v>10.680000000000001</v>
      </c>
      <c r="G1397" s="406">
        <f>TRUNC(E1397*F1397,2)</f>
        <v>10.68</v>
      </c>
    </row>
    <row r="1398" spans="1:9" ht="14.1" customHeight="1">
      <c r="A1398" s="1380"/>
      <c r="B1398" s="1311"/>
      <c r="C1398" s="344" t="s">
        <v>89</v>
      </c>
      <c r="D1398" s="1458"/>
      <c r="E1398" s="1462"/>
      <c r="F1398" s="414">
        <f>G1339</f>
        <v>4.12</v>
      </c>
      <c r="G1398" s="406">
        <f>TRUNC(E1397*F1398,2)</f>
        <v>4.12</v>
      </c>
    </row>
    <row r="1399" spans="1:9" ht="33.75">
      <c r="A1399" s="407" t="s">
        <v>777</v>
      </c>
      <c r="B1399" s="347" t="s">
        <v>778</v>
      </c>
      <c r="C1399" s="344" t="s">
        <v>626</v>
      </c>
      <c r="D1399" s="343" t="s">
        <v>345</v>
      </c>
      <c r="E1399" s="408">
        <v>1</v>
      </c>
      <c r="F1399" s="348">
        <f>G1360</f>
        <v>0.27</v>
      </c>
      <c r="G1399" s="369">
        <f t="shared" ref="G1399:G1400" si="71">TRUNC(E1399*F1399,2)</f>
        <v>0.27</v>
      </c>
    </row>
    <row r="1400" spans="1:9" ht="33.75">
      <c r="A1400" s="407" t="s">
        <v>779</v>
      </c>
      <c r="B1400" s="347" t="s">
        <v>780</v>
      </c>
      <c r="C1400" s="344" t="s">
        <v>626</v>
      </c>
      <c r="D1400" s="343" t="s">
        <v>345</v>
      </c>
      <c r="E1400" s="408">
        <v>1</v>
      </c>
      <c r="F1400" s="348">
        <f>G1370</f>
        <v>0.06</v>
      </c>
      <c r="G1400" s="369">
        <f t="shared" si="71"/>
        <v>0.06</v>
      </c>
    </row>
    <row r="1401" spans="1:9" ht="14.1" customHeight="1">
      <c r="D1401" s="349"/>
      <c r="E1401" s="350"/>
      <c r="F1401" s="351" t="s">
        <v>92</v>
      </c>
      <c r="G1401" s="369">
        <f>G1397</f>
        <v>10.68</v>
      </c>
    </row>
    <row r="1402" spans="1:9" ht="14.1" customHeight="1">
      <c r="D1402" s="349"/>
      <c r="E1402" s="350"/>
      <c r="F1402" s="351" t="s">
        <v>94</v>
      </c>
      <c r="G1402" s="369">
        <f>G1398+G1399+G1400</f>
        <v>4.45</v>
      </c>
    </row>
    <row r="1403" spans="1:9" ht="14.1" customHeight="1">
      <c r="A1403" s="352"/>
      <c r="D1403" s="349"/>
      <c r="E1403" s="350"/>
      <c r="F1403" s="351" t="s">
        <v>95</v>
      </c>
      <c r="G1403" s="353">
        <f>SUM(G1401:G1402)</f>
        <v>15.129999999999999</v>
      </c>
      <c r="H1403" s="354"/>
    </row>
    <row r="1404" spans="1:9">
      <c r="A1404" s="355"/>
      <c r="B1404" s="356"/>
      <c r="C1404" s="357"/>
      <c r="D1404" s="358"/>
      <c r="E1404" s="355"/>
      <c r="F1404" s="356"/>
      <c r="G1404" s="356"/>
      <c r="H1404" s="356"/>
      <c r="I1404" s="355"/>
    </row>
    <row r="1406" spans="1:9">
      <c r="A1406" s="130" t="s">
        <v>542</v>
      </c>
    </row>
    <row r="1407" spans="1:9">
      <c r="A1407" s="130" t="s">
        <v>543</v>
      </c>
      <c r="B1407" s="359" t="s">
        <v>798</v>
      </c>
      <c r="C1407" s="360"/>
    </row>
    <row r="1408" spans="1:9" ht="22.5">
      <c r="A1408" s="130" t="s">
        <v>78</v>
      </c>
      <c r="B1408" s="340" t="s">
        <v>799</v>
      </c>
      <c r="C1408" s="150" t="s">
        <v>345</v>
      </c>
      <c r="E1408" s="338" t="s">
        <v>2</v>
      </c>
      <c r="F1408" s="338"/>
      <c r="G1408" s="338"/>
    </row>
    <row r="1409" spans="1:9" ht="22.5">
      <c r="A1409" s="341" t="s">
        <v>30</v>
      </c>
      <c r="B1409" s="347" t="s">
        <v>19</v>
      </c>
      <c r="C1409" s="345" t="s">
        <v>789</v>
      </c>
      <c r="D1409" s="343" t="s">
        <v>79</v>
      </c>
      <c r="E1409" s="344" t="s">
        <v>83</v>
      </c>
      <c r="F1409" s="345" t="s">
        <v>84</v>
      </c>
      <c r="G1409" s="346" t="s">
        <v>85</v>
      </c>
    </row>
    <row r="1410" spans="1:9" ht="14.1" customHeight="1">
      <c r="A1410" s="361">
        <v>12869</v>
      </c>
      <c r="B1410" s="362" t="s">
        <v>800</v>
      </c>
      <c r="C1410" s="363" t="s">
        <v>102</v>
      </c>
      <c r="D1410" s="343" t="s">
        <v>345</v>
      </c>
      <c r="E1410" s="364">
        <v>9.2999999999999992E-3</v>
      </c>
      <c r="F1410" s="365">
        <f>16.02/118.57%</f>
        <v>13.511006156700683</v>
      </c>
      <c r="G1410" s="346">
        <f>TRUNC(E1410*F1410,2)</f>
        <v>0.12</v>
      </c>
    </row>
    <row r="1411" spans="1:9" ht="14.1" customHeight="1">
      <c r="D1411" s="349"/>
      <c r="E1411" s="350"/>
      <c r="F1411" s="351" t="s">
        <v>92</v>
      </c>
      <c r="G1411" s="346">
        <f>G1410</f>
        <v>0.12</v>
      </c>
    </row>
    <row r="1412" spans="1:9" ht="14.1" customHeight="1">
      <c r="D1412" s="349"/>
      <c r="E1412" s="350"/>
      <c r="F1412" s="351" t="s">
        <v>94</v>
      </c>
      <c r="G1412" s="346"/>
    </row>
    <row r="1413" spans="1:9" ht="14.1" customHeight="1">
      <c r="A1413" s="352"/>
      <c r="D1413" s="349"/>
      <c r="E1413" s="350"/>
      <c r="F1413" s="351" t="s">
        <v>95</v>
      </c>
      <c r="G1413" s="353">
        <f>SUM(G1411:G1412)</f>
        <v>0.12</v>
      </c>
      <c r="H1413" s="354"/>
    </row>
    <row r="1414" spans="1:9">
      <c r="A1414" s="355"/>
      <c r="B1414" s="356"/>
      <c r="C1414" s="357"/>
      <c r="D1414" s="358"/>
      <c r="E1414" s="355"/>
      <c r="F1414" s="356"/>
      <c r="G1414" s="356"/>
      <c r="H1414" s="356"/>
      <c r="I1414" s="355"/>
    </row>
    <row r="1416" spans="1:9">
      <c r="A1416" s="130" t="s">
        <v>542</v>
      </c>
    </row>
    <row r="1417" spans="1:9">
      <c r="A1417" s="130" t="s">
        <v>543</v>
      </c>
      <c r="B1417" s="359" t="s">
        <v>801</v>
      </c>
      <c r="C1417" s="360"/>
    </row>
    <row r="1418" spans="1:9" ht="33.75">
      <c r="A1418" s="130" t="s">
        <v>78</v>
      </c>
      <c r="B1418" s="340" t="s">
        <v>802</v>
      </c>
      <c r="C1418" s="150" t="s">
        <v>345</v>
      </c>
      <c r="E1418" s="338" t="s">
        <v>2</v>
      </c>
      <c r="F1418" s="338"/>
      <c r="G1418" s="338"/>
    </row>
    <row r="1419" spans="1:9" ht="22.5">
      <c r="A1419" s="341" t="s">
        <v>30</v>
      </c>
      <c r="B1419" s="347" t="s">
        <v>19</v>
      </c>
      <c r="C1419" s="345" t="s">
        <v>789</v>
      </c>
      <c r="D1419" s="343" t="s">
        <v>79</v>
      </c>
      <c r="E1419" s="344" t="s">
        <v>83</v>
      </c>
      <c r="F1419" s="345" t="s">
        <v>84</v>
      </c>
      <c r="G1419" s="346" t="s">
        <v>85</v>
      </c>
    </row>
    <row r="1420" spans="1:9" ht="14.1" customHeight="1">
      <c r="A1420" s="361">
        <v>6117</v>
      </c>
      <c r="B1420" s="362" t="s">
        <v>803</v>
      </c>
      <c r="C1420" s="363" t="s">
        <v>102</v>
      </c>
      <c r="D1420" s="343" t="s">
        <v>345</v>
      </c>
      <c r="E1420" s="364">
        <v>1.1900000000000001E-2</v>
      </c>
      <c r="F1420" s="365">
        <f>13.74</f>
        <v>13.74</v>
      </c>
      <c r="G1420" s="346">
        <f>TRUNC(E1420*F1420,2)</f>
        <v>0.16</v>
      </c>
    </row>
    <row r="1421" spans="1:9" ht="14.1" customHeight="1">
      <c r="D1421" s="349"/>
      <c r="E1421" s="350"/>
      <c r="F1421" s="351" t="s">
        <v>92</v>
      </c>
      <c r="G1421" s="346">
        <f>G1420</f>
        <v>0.16</v>
      </c>
    </row>
    <row r="1422" spans="1:9" ht="14.1" customHeight="1">
      <c r="D1422" s="349"/>
      <c r="E1422" s="350"/>
      <c r="F1422" s="351" t="s">
        <v>94</v>
      </c>
      <c r="G1422" s="346"/>
    </row>
    <row r="1423" spans="1:9" ht="14.1" customHeight="1">
      <c r="A1423" s="352"/>
      <c r="D1423" s="349"/>
      <c r="E1423" s="350"/>
      <c r="F1423" s="351" t="s">
        <v>95</v>
      </c>
      <c r="G1423" s="353">
        <f>SUM(G1421:G1422)</f>
        <v>0.16</v>
      </c>
      <c r="H1423" s="354"/>
    </row>
    <row r="1424" spans="1:9">
      <c r="A1424" s="355"/>
      <c r="B1424" s="356"/>
      <c r="C1424" s="357"/>
      <c r="D1424" s="358"/>
      <c r="E1424" s="355"/>
      <c r="F1424" s="356"/>
      <c r="G1424" s="356"/>
      <c r="H1424" s="356"/>
      <c r="I1424" s="355"/>
    </row>
    <row r="1426" spans="1:9">
      <c r="A1426" s="130" t="s">
        <v>542</v>
      </c>
    </row>
    <row r="1427" spans="1:9">
      <c r="A1427" s="130" t="s">
        <v>543</v>
      </c>
      <c r="B1427" s="359" t="s">
        <v>804</v>
      </c>
      <c r="C1427" s="360"/>
    </row>
    <row r="1428" spans="1:9" ht="22.5">
      <c r="A1428" s="130" t="s">
        <v>78</v>
      </c>
      <c r="B1428" s="340" t="s">
        <v>805</v>
      </c>
      <c r="C1428" s="150" t="s">
        <v>345</v>
      </c>
      <c r="E1428" s="338" t="s">
        <v>2</v>
      </c>
      <c r="F1428" s="338"/>
      <c r="G1428" s="338"/>
    </row>
    <row r="1429" spans="1:9" ht="22.5">
      <c r="A1429" s="341" t="s">
        <v>30</v>
      </c>
      <c r="B1429" s="347" t="s">
        <v>19</v>
      </c>
      <c r="C1429" s="345" t="s">
        <v>789</v>
      </c>
      <c r="D1429" s="343" t="s">
        <v>79</v>
      </c>
      <c r="E1429" s="344" t="s">
        <v>83</v>
      </c>
      <c r="F1429" s="345" t="s">
        <v>84</v>
      </c>
      <c r="G1429" s="346" t="s">
        <v>85</v>
      </c>
    </row>
    <row r="1430" spans="1:9" ht="14.1" customHeight="1">
      <c r="A1430" s="361">
        <v>4783</v>
      </c>
      <c r="B1430" s="362" t="s">
        <v>806</v>
      </c>
      <c r="C1430" s="363" t="s">
        <v>102</v>
      </c>
      <c r="D1430" s="343" t="s">
        <v>345</v>
      </c>
      <c r="E1430" s="364">
        <v>1.1900000000000001E-2</v>
      </c>
      <c r="F1430" s="365">
        <f>14.68</f>
        <v>14.68</v>
      </c>
      <c r="G1430" s="346">
        <f>TRUNC(E1430*F1430,2)</f>
        <v>0.17</v>
      </c>
    </row>
    <row r="1431" spans="1:9" ht="14.1" customHeight="1">
      <c r="D1431" s="349"/>
      <c r="E1431" s="350"/>
      <c r="F1431" s="351" t="s">
        <v>92</v>
      </c>
      <c r="G1431" s="346">
        <f>G1430</f>
        <v>0.17</v>
      </c>
    </row>
    <row r="1432" spans="1:9" ht="14.1" customHeight="1">
      <c r="D1432" s="349"/>
      <c r="E1432" s="350"/>
      <c r="F1432" s="351" t="s">
        <v>94</v>
      </c>
      <c r="G1432" s="346"/>
    </row>
    <row r="1433" spans="1:9" ht="14.1" customHeight="1">
      <c r="A1433" s="352"/>
      <c r="D1433" s="349"/>
      <c r="E1433" s="350"/>
      <c r="F1433" s="351" t="s">
        <v>95</v>
      </c>
      <c r="G1433" s="353">
        <f>SUM(G1431:G1432)</f>
        <v>0.17</v>
      </c>
      <c r="H1433" s="354"/>
    </row>
    <row r="1434" spans="1:9">
      <c r="A1434" s="355"/>
      <c r="B1434" s="356"/>
      <c r="C1434" s="357"/>
      <c r="D1434" s="358"/>
      <c r="E1434" s="355"/>
      <c r="F1434" s="356"/>
      <c r="G1434" s="356"/>
      <c r="H1434" s="356"/>
      <c r="I1434" s="355"/>
    </row>
    <row r="1436" spans="1:9">
      <c r="A1436" s="130" t="s">
        <v>542</v>
      </c>
    </row>
    <row r="1437" spans="1:9">
      <c r="A1437" s="130" t="s">
        <v>543</v>
      </c>
      <c r="B1437" s="359" t="s">
        <v>807</v>
      </c>
      <c r="C1437" s="360"/>
    </row>
    <row r="1438" spans="1:9" ht="33.75">
      <c r="A1438" s="130" t="s">
        <v>78</v>
      </c>
      <c r="B1438" s="340" t="s">
        <v>808</v>
      </c>
      <c r="C1438" s="150" t="s">
        <v>345</v>
      </c>
      <c r="E1438" s="338" t="s">
        <v>2</v>
      </c>
      <c r="F1438" s="338"/>
      <c r="G1438" s="338"/>
    </row>
    <row r="1439" spans="1:9" ht="22.5">
      <c r="A1439" s="341" t="s">
        <v>30</v>
      </c>
      <c r="B1439" s="347" t="s">
        <v>19</v>
      </c>
      <c r="C1439" s="345" t="s">
        <v>789</v>
      </c>
      <c r="D1439" s="343" t="s">
        <v>79</v>
      </c>
      <c r="E1439" s="344" t="s">
        <v>83</v>
      </c>
      <c r="F1439" s="345" t="s">
        <v>84</v>
      </c>
      <c r="G1439" s="346" t="s">
        <v>85</v>
      </c>
    </row>
    <row r="1440" spans="1:9" ht="14.1" customHeight="1">
      <c r="A1440" s="361">
        <v>247</v>
      </c>
      <c r="B1440" s="362" t="s">
        <v>809</v>
      </c>
      <c r="C1440" s="363" t="s">
        <v>102</v>
      </c>
      <c r="D1440" s="343" t="s">
        <v>345</v>
      </c>
      <c r="E1440" s="364">
        <v>3.0099999999999998E-2</v>
      </c>
      <c r="F1440" s="365">
        <f>10.66</f>
        <v>10.66</v>
      </c>
      <c r="G1440" s="346">
        <f>TRUNC(E1440*F1440,2)</f>
        <v>0.32</v>
      </c>
    </row>
    <row r="1441" spans="1:9" ht="14.1" customHeight="1">
      <c r="D1441" s="349"/>
      <c r="E1441" s="350"/>
      <c r="F1441" s="351" t="s">
        <v>92</v>
      </c>
      <c r="G1441" s="346">
        <f>G1440</f>
        <v>0.32</v>
      </c>
    </row>
    <row r="1442" spans="1:9" ht="14.1" customHeight="1">
      <c r="D1442" s="349"/>
      <c r="E1442" s="350"/>
      <c r="F1442" s="351" t="s">
        <v>94</v>
      </c>
      <c r="G1442" s="346"/>
    </row>
    <row r="1443" spans="1:9" ht="14.1" customHeight="1">
      <c r="A1443" s="352"/>
      <c r="D1443" s="349"/>
      <c r="E1443" s="350"/>
      <c r="F1443" s="351" t="s">
        <v>95</v>
      </c>
      <c r="G1443" s="353">
        <f>SUM(G1441:G1442)</f>
        <v>0.32</v>
      </c>
      <c r="H1443" s="354"/>
    </row>
    <row r="1444" spans="1:9">
      <c r="A1444" s="355"/>
      <c r="B1444" s="356"/>
      <c r="C1444" s="357"/>
      <c r="D1444" s="358"/>
      <c r="E1444" s="355"/>
      <c r="F1444" s="356"/>
      <c r="G1444" s="356"/>
      <c r="H1444" s="356"/>
      <c r="I1444" s="355"/>
    </row>
    <row r="1446" spans="1:9">
      <c r="A1446" s="130" t="s">
        <v>542</v>
      </c>
    </row>
    <row r="1447" spans="1:9">
      <c r="A1447" s="130" t="s">
        <v>543</v>
      </c>
      <c r="B1447" s="359" t="s">
        <v>810</v>
      </c>
      <c r="C1447" s="360"/>
    </row>
    <row r="1448" spans="1:9" ht="22.5">
      <c r="A1448" s="130" t="s">
        <v>78</v>
      </c>
      <c r="B1448" s="340" t="s">
        <v>811</v>
      </c>
      <c r="C1448" s="150" t="s">
        <v>345</v>
      </c>
      <c r="E1448" s="338" t="s">
        <v>2</v>
      </c>
      <c r="F1448" s="338"/>
      <c r="G1448" s="338"/>
    </row>
    <row r="1449" spans="1:9" ht="22.5">
      <c r="A1449" s="341" t="s">
        <v>30</v>
      </c>
      <c r="B1449" s="347" t="s">
        <v>19</v>
      </c>
      <c r="C1449" s="345" t="s">
        <v>789</v>
      </c>
      <c r="D1449" s="343" t="s">
        <v>79</v>
      </c>
      <c r="E1449" s="344" t="s">
        <v>83</v>
      </c>
      <c r="F1449" s="345" t="s">
        <v>84</v>
      </c>
      <c r="G1449" s="346" t="s">
        <v>85</v>
      </c>
    </row>
    <row r="1450" spans="1:9" ht="14.1" customHeight="1">
      <c r="A1450" s="361">
        <v>2436</v>
      </c>
      <c r="B1450" s="362" t="s">
        <v>812</v>
      </c>
      <c r="C1450" s="363" t="s">
        <v>102</v>
      </c>
      <c r="D1450" s="343" t="s">
        <v>345</v>
      </c>
      <c r="E1450" s="364">
        <v>3.0099999999999998E-2</v>
      </c>
      <c r="F1450" s="365">
        <f>15.19</f>
        <v>15.19</v>
      </c>
      <c r="G1450" s="346">
        <f>TRUNC(E1450*F1450,2)</f>
        <v>0.45</v>
      </c>
    </row>
    <row r="1451" spans="1:9" ht="14.1" customHeight="1">
      <c r="D1451" s="349"/>
      <c r="E1451" s="350"/>
      <c r="F1451" s="351" t="s">
        <v>92</v>
      </c>
      <c r="G1451" s="346">
        <f>G1450</f>
        <v>0.45</v>
      </c>
    </row>
    <row r="1452" spans="1:9" ht="14.1" customHeight="1">
      <c r="D1452" s="349"/>
      <c r="E1452" s="350"/>
      <c r="F1452" s="351" t="s">
        <v>94</v>
      </c>
      <c r="G1452" s="346"/>
    </row>
    <row r="1453" spans="1:9" ht="14.1" customHeight="1">
      <c r="A1453" s="352"/>
      <c r="D1453" s="349"/>
      <c r="E1453" s="350"/>
      <c r="F1453" s="351" t="s">
        <v>95</v>
      </c>
      <c r="G1453" s="353">
        <f>SUM(G1451:G1452)</f>
        <v>0.45</v>
      </c>
      <c r="H1453" s="354"/>
    </row>
    <row r="1454" spans="1:9">
      <c r="A1454" s="355"/>
      <c r="B1454" s="356"/>
      <c r="C1454" s="357"/>
      <c r="D1454" s="358"/>
      <c r="E1454" s="355"/>
      <c r="F1454" s="356"/>
      <c r="G1454" s="356"/>
      <c r="H1454" s="356"/>
      <c r="I1454" s="355"/>
    </row>
    <row r="1456" spans="1:9">
      <c r="A1456" s="130" t="s">
        <v>542</v>
      </c>
    </row>
    <row r="1457" spans="1:9">
      <c r="A1457" s="130" t="s">
        <v>543</v>
      </c>
      <c r="B1457" s="359" t="s">
        <v>813</v>
      </c>
      <c r="C1457" s="360"/>
    </row>
    <row r="1458" spans="1:9" ht="27.75" customHeight="1">
      <c r="A1458" s="130" t="s">
        <v>78</v>
      </c>
      <c r="B1458" s="1356" t="s">
        <v>814</v>
      </c>
      <c r="C1458" s="1356"/>
      <c r="D1458" s="1356"/>
      <c r="E1458" s="375" t="s">
        <v>345</v>
      </c>
      <c r="F1458" s="338"/>
      <c r="G1458" s="338"/>
    </row>
    <row r="1459" spans="1:9" ht="22.5">
      <c r="A1459" s="341" t="s">
        <v>30</v>
      </c>
      <c r="B1459" s="347" t="s">
        <v>19</v>
      </c>
      <c r="C1459" s="345" t="s">
        <v>789</v>
      </c>
      <c r="D1459" s="343" t="s">
        <v>79</v>
      </c>
      <c r="E1459" s="344" t="s">
        <v>83</v>
      </c>
      <c r="F1459" s="345" t="s">
        <v>84</v>
      </c>
      <c r="G1459" s="346" t="s">
        <v>85</v>
      </c>
    </row>
    <row r="1460" spans="1:9" ht="14.1" customHeight="1">
      <c r="A1460" s="361">
        <v>246</v>
      </c>
      <c r="B1460" s="362" t="s">
        <v>815</v>
      </c>
      <c r="C1460" s="363" t="s">
        <v>102</v>
      </c>
      <c r="D1460" s="343" t="s">
        <v>345</v>
      </c>
      <c r="E1460" s="364">
        <v>1.4500000000000001E-2</v>
      </c>
      <c r="F1460" s="365">
        <f>10.75</f>
        <v>10.75</v>
      </c>
      <c r="G1460" s="346">
        <f>TRUNC(E1460*F1460,2)</f>
        <v>0.15</v>
      </c>
    </row>
    <row r="1461" spans="1:9" ht="14.1" customHeight="1">
      <c r="D1461" s="349"/>
      <c r="E1461" s="350"/>
      <c r="F1461" s="351" t="s">
        <v>92</v>
      </c>
      <c r="G1461" s="346">
        <f>G1460</f>
        <v>0.15</v>
      </c>
    </row>
    <row r="1462" spans="1:9" ht="14.1" customHeight="1">
      <c r="D1462" s="349"/>
      <c r="E1462" s="350"/>
      <c r="F1462" s="351" t="s">
        <v>94</v>
      </c>
      <c r="G1462" s="346"/>
    </row>
    <row r="1463" spans="1:9" ht="14.1" customHeight="1">
      <c r="A1463" s="352"/>
      <c r="D1463" s="349"/>
      <c r="E1463" s="350"/>
      <c r="F1463" s="351" t="s">
        <v>95</v>
      </c>
      <c r="G1463" s="353">
        <f>SUM(G1461:G1462)</f>
        <v>0.15</v>
      </c>
      <c r="H1463" s="354"/>
    </row>
    <row r="1464" spans="1:9">
      <c r="A1464" s="355"/>
      <c r="B1464" s="356"/>
      <c r="C1464" s="357"/>
      <c r="D1464" s="358"/>
      <c r="E1464" s="355"/>
      <c r="F1464" s="356"/>
      <c r="G1464" s="356"/>
      <c r="H1464" s="356"/>
      <c r="I1464" s="355"/>
    </row>
    <row r="1466" spans="1:9">
      <c r="A1466" s="130" t="s">
        <v>542</v>
      </c>
    </row>
    <row r="1467" spans="1:9">
      <c r="A1467" s="130" t="s">
        <v>543</v>
      </c>
      <c r="B1467" s="359" t="s">
        <v>816</v>
      </c>
      <c r="C1467" s="360"/>
    </row>
    <row r="1468" spans="1:9" ht="26.25" customHeight="1">
      <c r="A1468" s="130" t="s">
        <v>78</v>
      </c>
      <c r="B1468" s="1356" t="s">
        <v>817</v>
      </c>
      <c r="C1468" s="1356"/>
      <c r="D1468" s="150" t="s">
        <v>345</v>
      </c>
      <c r="E1468" s="338" t="s">
        <v>2</v>
      </c>
      <c r="F1468" s="338"/>
      <c r="G1468" s="338"/>
    </row>
    <row r="1469" spans="1:9" ht="22.5">
      <c r="A1469" s="341" t="s">
        <v>30</v>
      </c>
      <c r="B1469" s="347" t="s">
        <v>19</v>
      </c>
      <c r="C1469" s="345" t="s">
        <v>789</v>
      </c>
      <c r="D1469" s="343" t="s">
        <v>79</v>
      </c>
      <c r="E1469" s="344" t="s">
        <v>83</v>
      </c>
      <c r="F1469" s="345" t="s">
        <v>84</v>
      </c>
      <c r="G1469" s="346" t="s">
        <v>85</v>
      </c>
    </row>
    <row r="1470" spans="1:9" ht="14.1" customHeight="1">
      <c r="A1470" s="361">
        <v>2696</v>
      </c>
      <c r="B1470" s="362" t="s">
        <v>818</v>
      </c>
      <c r="C1470" s="363" t="s">
        <v>102</v>
      </c>
      <c r="D1470" s="343" t="s">
        <v>345</v>
      </c>
      <c r="E1470" s="364">
        <v>1.4500000000000001E-2</v>
      </c>
      <c r="F1470" s="365">
        <f>15.19</f>
        <v>15.19</v>
      </c>
      <c r="G1470" s="346">
        <f>TRUNC(E1470*F1470,2)</f>
        <v>0.22</v>
      </c>
    </row>
    <row r="1471" spans="1:9" ht="14.1" customHeight="1">
      <c r="D1471" s="349"/>
      <c r="E1471" s="350"/>
      <c r="F1471" s="351" t="s">
        <v>92</v>
      </c>
      <c r="G1471" s="346">
        <f>G1470</f>
        <v>0.22</v>
      </c>
    </row>
    <row r="1472" spans="1:9" ht="14.1" customHeight="1">
      <c r="D1472" s="349"/>
      <c r="E1472" s="350"/>
      <c r="F1472" s="351" t="s">
        <v>94</v>
      </c>
      <c r="G1472" s="346"/>
    </row>
    <row r="1473" spans="1:9" ht="14.1" customHeight="1">
      <c r="A1473" s="352"/>
      <c r="D1473" s="349"/>
      <c r="E1473" s="350"/>
      <c r="F1473" s="351" t="s">
        <v>95</v>
      </c>
      <c r="G1473" s="353">
        <f>SUM(G1471:G1472)</f>
        <v>0.22</v>
      </c>
      <c r="H1473" s="354"/>
    </row>
    <row r="1474" spans="1:9">
      <c r="A1474" s="355"/>
      <c r="B1474" s="356"/>
      <c r="C1474" s="357"/>
      <c r="D1474" s="358"/>
      <c r="E1474" s="355"/>
      <c r="F1474" s="356"/>
      <c r="G1474" s="356"/>
      <c r="H1474" s="356"/>
      <c r="I1474" s="355"/>
    </row>
    <row r="1476" spans="1:9">
      <c r="A1476" s="130" t="s">
        <v>542</v>
      </c>
      <c r="C1476" s="133"/>
      <c r="D1476" s="130"/>
      <c r="E1476" s="135"/>
      <c r="H1476" s="337"/>
    </row>
    <row r="1477" spans="1:9">
      <c r="A1477" s="130" t="s">
        <v>1088</v>
      </c>
      <c r="C1477" s="133"/>
      <c r="D1477" s="130"/>
      <c r="E1477" s="135"/>
      <c r="H1477" s="337"/>
    </row>
    <row r="1478" spans="1:9" ht="26.25" customHeight="1">
      <c r="A1478" s="418" t="s">
        <v>820</v>
      </c>
      <c r="B1478" s="1356" t="s">
        <v>1074</v>
      </c>
      <c r="C1478" s="1356"/>
      <c r="D1478" s="419" t="s">
        <v>346</v>
      </c>
      <c r="G1478" s="419"/>
      <c r="H1478" s="337"/>
    </row>
    <row r="1479" spans="1:9" ht="22.5">
      <c r="A1479" s="624" t="s">
        <v>30</v>
      </c>
      <c r="B1479" s="420" t="s">
        <v>19</v>
      </c>
      <c r="C1479" s="343" t="s">
        <v>82</v>
      </c>
      <c r="D1479" s="603" t="s">
        <v>79</v>
      </c>
      <c r="E1479" s="603" t="s">
        <v>83</v>
      </c>
      <c r="F1479" s="345" t="s">
        <v>84</v>
      </c>
      <c r="G1479" s="421" t="s">
        <v>85</v>
      </c>
      <c r="H1479" s="337"/>
    </row>
    <row r="1480" spans="1:9" ht="18" customHeight="1">
      <c r="A1480" s="1317">
        <v>88248</v>
      </c>
      <c r="B1480" s="1310" t="s">
        <v>274</v>
      </c>
      <c r="C1480" s="343" t="s">
        <v>102</v>
      </c>
      <c r="D1480" s="1314" t="s">
        <v>345</v>
      </c>
      <c r="E1480" s="1353">
        <v>7.0000000000000007E-2</v>
      </c>
      <c r="F1480" s="348">
        <f>G321</f>
        <v>10.9</v>
      </c>
      <c r="G1480" s="424">
        <f>TRUNC(E1480*F1480,2)</f>
        <v>0.76</v>
      </c>
      <c r="H1480" s="337"/>
    </row>
    <row r="1481" spans="1:9" ht="18" customHeight="1">
      <c r="A1481" s="1318"/>
      <c r="B1481" s="1311"/>
      <c r="C1481" s="343" t="s">
        <v>89</v>
      </c>
      <c r="D1481" s="1314"/>
      <c r="E1481" s="1354"/>
      <c r="F1481" s="348">
        <f>G322</f>
        <v>4.5600000000000005</v>
      </c>
      <c r="G1481" s="369">
        <f>TRUNC(E1480*F1481,2)</f>
        <v>0.31</v>
      </c>
      <c r="H1481" s="337"/>
    </row>
    <row r="1482" spans="1:9" ht="18" customHeight="1">
      <c r="A1482" s="1317">
        <v>88267</v>
      </c>
      <c r="B1482" s="1351" t="s">
        <v>245</v>
      </c>
      <c r="C1482" s="343" t="s">
        <v>102</v>
      </c>
      <c r="D1482" s="1314" t="s">
        <v>345</v>
      </c>
      <c r="E1482" s="1353">
        <v>0.44900000000000001</v>
      </c>
      <c r="F1482" s="348">
        <f>G338</f>
        <v>15.41</v>
      </c>
      <c r="G1482" s="369">
        <f>TRUNC(E1482*F1482,2)</f>
        <v>6.91</v>
      </c>
      <c r="H1482" s="337"/>
    </row>
    <row r="1483" spans="1:9" ht="18" customHeight="1">
      <c r="A1483" s="1318"/>
      <c r="B1483" s="1352"/>
      <c r="C1483" s="343" t="s">
        <v>89</v>
      </c>
      <c r="D1483" s="1314"/>
      <c r="E1483" s="1354"/>
      <c r="F1483" s="348">
        <f>G339</f>
        <v>4.5600000000000005</v>
      </c>
      <c r="G1483" s="369">
        <f>TRUNC(E1482*F1483,2)</f>
        <v>2.04</v>
      </c>
      <c r="H1483" s="337"/>
    </row>
    <row r="1484" spans="1:9" ht="15" customHeight="1">
      <c r="C1484" s="133"/>
      <c r="D1484" s="350"/>
      <c r="E1484" s="426"/>
      <c r="F1484" s="427" t="s">
        <v>92</v>
      </c>
      <c r="G1484" s="379">
        <f>G1480+G1482</f>
        <v>7.67</v>
      </c>
      <c r="H1484" s="130"/>
    </row>
    <row r="1485" spans="1:9" ht="15" customHeight="1">
      <c r="C1485" s="133"/>
      <c r="D1485" s="350"/>
      <c r="E1485" s="428"/>
      <c r="F1485" s="351" t="s">
        <v>94</v>
      </c>
      <c r="G1485" s="369">
        <f>G1481+G1483</f>
        <v>2.35</v>
      </c>
      <c r="H1485" s="130"/>
    </row>
    <row r="1486" spans="1:9" ht="15" customHeight="1">
      <c r="C1486" s="133"/>
      <c r="D1486" s="350"/>
      <c r="E1486" s="428"/>
      <c r="F1486" s="351" t="s">
        <v>95</v>
      </c>
      <c r="G1486" s="370">
        <f>SUM(G1484:G1485)</f>
        <v>10.02</v>
      </c>
      <c r="H1486" s="130"/>
    </row>
    <row r="1487" spans="1:9">
      <c r="A1487" s="429"/>
      <c r="B1487" s="430"/>
      <c r="C1487" s="431"/>
      <c r="D1487" s="429"/>
      <c r="E1487" s="430"/>
      <c r="F1487" s="430"/>
      <c r="G1487" s="430"/>
      <c r="H1487" s="429"/>
    </row>
    <row r="1489" spans="1:8">
      <c r="A1489" s="130" t="s">
        <v>542</v>
      </c>
      <c r="C1489" s="133"/>
      <c r="D1489" s="130"/>
      <c r="E1489" s="135"/>
      <c r="H1489" s="337"/>
    </row>
    <row r="1490" spans="1:8">
      <c r="A1490" s="130" t="s">
        <v>1001</v>
      </c>
      <c r="C1490" s="133"/>
      <c r="D1490" s="130"/>
      <c r="E1490" s="135"/>
      <c r="H1490" s="337"/>
    </row>
    <row r="1491" spans="1:8" ht="21" customHeight="1">
      <c r="A1491" s="418" t="s">
        <v>820</v>
      </c>
      <c r="B1491" s="1356" t="s">
        <v>1002</v>
      </c>
      <c r="C1491" s="1356"/>
      <c r="D1491" s="1356"/>
      <c r="E1491" s="419" t="s">
        <v>346</v>
      </c>
      <c r="G1491" s="419"/>
      <c r="H1491" s="337"/>
    </row>
    <row r="1492" spans="1:8" ht="22.5">
      <c r="A1492" s="624" t="s">
        <v>30</v>
      </c>
      <c r="B1492" s="420" t="s">
        <v>19</v>
      </c>
      <c r="C1492" s="343" t="s">
        <v>82</v>
      </c>
      <c r="D1492" s="603" t="s">
        <v>79</v>
      </c>
      <c r="E1492" s="603" t="s">
        <v>83</v>
      </c>
      <c r="F1492" s="345" t="s">
        <v>84</v>
      </c>
      <c r="G1492" s="421" t="s">
        <v>85</v>
      </c>
      <c r="H1492" s="337"/>
    </row>
    <row r="1493" spans="1:8" ht="14.1" customHeight="1">
      <c r="A1493" s="1317">
        <v>88247</v>
      </c>
      <c r="B1493" s="1310" t="s">
        <v>422</v>
      </c>
      <c r="C1493" s="343" t="s">
        <v>102</v>
      </c>
      <c r="D1493" s="1314" t="s">
        <v>345</v>
      </c>
      <c r="E1493" s="1353">
        <v>3.4000000000000002E-2</v>
      </c>
      <c r="F1493" s="348">
        <f>G287</f>
        <v>10.98</v>
      </c>
      <c r="G1493" s="424">
        <f>TRUNC(E1493*F1493,2)</f>
        <v>0.37</v>
      </c>
      <c r="H1493" s="337"/>
    </row>
    <row r="1494" spans="1:8" ht="14.1" customHeight="1">
      <c r="A1494" s="1318"/>
      <c r="B1494" s="1311"/>
      <c r="C1494" s="343" t="s">
        <v>89</v>
      </c>
      <c r="D1494" s="1314"/>
      <c r="E1494" s="1354"/>
      <c r="F1494" s="348">
        <f>G288</f>
        <v>4.5600000000000005</v>
      </c>
      <c r="G1494" s="369">
        <f>TRUNC(E1493*F1494,2)</f>
        <v>0.15</v>
      </c>
      <c r="H1494" s="337"/>
    </row>
    <row r="1495" spans="1:8" ht="14.1" customHeight="1">
      <c r="A1495" s="1317">
        <v>88264</v>
      </c>
      <c r="B1495" s="1351" t="s">
        <v>249</v>
      </c>
      <c r="C1495" s="343" t="s">
        <v>102</v>
      </c>
      <c r="D1495" s="1314" t="s">
        <v>345</v>
      </c>
      <c r="E1495" s="1353">
        <v>0.216</v>
      </c>
      <c r="F1495" s="348">
        <f>G253</f>
        <v>15.639999999999999</v>
      </c>
      <c r="G1495" s="369">
        <f>TRUNC(E1495*F1495,2)</f>
        <v>3.37</v>
      </c>
      <c r="H1495" s="337"/>
    </row>
    <row r="1496" spans="1:8" ht="14.1" customHeight="1">
      <c r="A1496" s="1318"/>
      <c r="B1496" s="1352"/>
      <c r="C1496" s="343" t="s">
        <v>89</v>
      </c>
      <c r="D1496" s="1314"/>
      <c r="E1496" s="1354"/>
      <c r="F1496" s="348">
        <f>G254</f>
        <v>4.5600000000000005</v>
      </c>
      <c r="G1496" s="369">
        <f>TRUNC(E1495*F1496,2)</f>
        <v>0.98</v>
      </c>
      <c r="H1496" s="337"/>
    </row>
    <row r="1497" spans="1:8" ht="14.1" customHeight="1">
      <c r="C1497" s="133"/>
      <c r="D1497" s="350"/>
      <c r="E1497" s="426"/>
      <c r="F1497" s="427" t="s">
        <v>92</v>
      </c>
      <c r="G1497" s="379">
        <f>G1493+G1495</f>
        <v>3.74</v>
      </c>
      <c r="H1497" s="130"/>
    </row>
    <row r="1498" spans="1:8" ht="14.1" customHeight="1">
      <c r="C1498" s="133"/>
      <c r="D1498" s="350"/>
      <c r="E1498" s="428"/>
      <c r="F1498" s="351" t="s">
        <v>94</v>
      </c>
      <c r="G1498" s="369">
        <f>G1494+G1496</f>
        <v>1.1299999999999999</v>
      </c>
      <c r="H1498" s="130"/>
    </row>
    <row r="1499" spans="1:8" ht="14.1" customHeight="1">
      <c r="C1499" s="133"/>
      <c r="D1499" s="350"/>
      <c r="E1499" s="428"/>
      <c r="F1499" s="351" t="s">
        <v>95</v>
      </c>
      <c r="G1499" s="370">
        <f>SUM(G1497:G1498)</f>
        <v>4.87</v>
      </c>
      <c r="H1499" s="130"/>
    </row>
    <row r="1500" spans="1:8">
      <c r="A1500" s="429"/>
      <c r="B1500" s="430"/>
      <c r="C1500" s="431"/>
      <c r="D1500" s="429"/>
      <c r="E1500" s="430"/>
      <c r="F1500" s="430"/>
      <c r="G1500" s="430"/>
      <c r="H1500" s="429"/>
    </row>
    <row r="1502" spans="1:8">
      <c r="A1502" s="130" t="s">
        <v>542</v>
      </c>
      <c r="C1502" s="133"/>
      <c r="D1502" s="130"/>
      <c r="E1502" s="135"/>
      <c r="H1502" s="337"/>
    </row>
    <row r="1503" spans="1:8">
      <c r="A1503" s="130" t="s">
        <v>1003</v>
      </c>
      <c r="C1503" s="133"/>
      <c r="D1503" s="130"/>
      <c r="E1503" s="135"/>
      <c r="H1503" s="337"/>
    </row>
    <row r="1504" spans="1:8" ht="22.5">
      <c r="A1504" s="418" t="s">
        <v>820</v>
      </c>
      <c r="B1504" s="418" t="s">
        <v>898</v>
      </c>
      <c r="C1504" s="419" t="s">
        <v>822</v>
      </c>
      <c r="D1504" s="418"/>
      <c r="G1504" s="419"/>
      <c r="H1504" s="337"/>
    </row>
    <row r="1505" spans="1:8" ht="22.5">
      <c r="A1505" s="624" t="s">
        <v>30</v>
      </c>
      <c r="B1505" s="420" t="s">
        <v>19</v>
      </c>
      <c r="C1505" s="343" t="s">
        <v>82</v>
      </c>
      <c r="D1505" s="603" t="s">
        <v>79</v>
      </c>
      <c r="E1505" s="603" t="s">
        <v>83</v>
      </c>
      <c r="F1505" s="345" t="s">
        <v>84</v>
      </c>
      <c r="G1505" s="421" t="s">
        <v>85</v>
      </c>
      <c r="H1505" s="337"/>
    </row>
    <row r="1506" spans="1:8" ht="14.1" customHeight="1">
      <c r="A1506" s="1317">
        <v>88248</v>
      </c>
      <c r="B1506" s="1310" t="s">
        <v>274</v>
      </c>
      <c r="C1506" s="343" t="s">
        <v>102</v>
      </c>
      <c r="D1506" s="1314" t="s">
        <v>345</v>
      </c>
      <c r="E1506" s="1353">
        <v>2.3E-2</v>
      </c>
      <c r="F1506" s="348">
        <f>G287</f>
        <v>10.98</v>
      </c>
      <c r="G1506" s="424">
        <f>TRUNC(E1506*F1506,2)</f>
        <v>0.25</v>
      </c>
      <c r="H1506" s="337"/>
    </row>
    <row r="1507" spans="1:8" ht="14.1" customHeight="1">
      <c r="A1507" s="1318"/>
      <c r="B1507" s="1311"/>
      <c r="C1507" s="343" t="s">
        <v>89</v>
      </c>
      <c r="D1507" s="1314"/>
      <c r="E1507" s="1354"/>
      <c r="F1507" s="348">
        <f>G288</f>
        <v>4.5600000000000005</v>
      </c>
      <c r="G1507" s="369">
        <f>TRUNC(E1506*F1507,2)</f>
        <v>0.1</v>
      </c>
      <c r="H1507" s="337"/>
    </row>
    <row r="1508" spans="1:8" ht="14.1" customHeight="1">
      <c r="A1508" s="1317">
        <v>88267</v>
      </c>
      <c r="B1508" s="1351" t="s">
        <v>245</v>
      </c>
      <c r="C1508" s="343" t="s">
        <v>102</v>
      </c>
      <c r="D1508" s="1314" t="s">
        <v>345</v>
      </c>
      <c r="E1508" s="1353">
        <v>0.14399999999999999</v>
      </c>
      <c r="F1508" s="348">
        <f>G253</f>
        <v>15.639999999999999</v>
      </c>
      <c r="G1508" s="369">
        <f>TRUNC(E1508*F1508,2)</f>
        <v>2.25</v>
      </c>
      <c r="H1508" s="337"/>
    </row>
    <row r="1509" spans="1:8" ht="14.1" customHeight="1">
      <c r="A1509" s="1318"/>
      <c r="B1509" s="1352"/>
      <c r="C1509" s="343" t="s">
        <v>89</v>
      </c>
      <c r="D1509" s="1314"/>
      <c r="E1509" s="1354"/>
      <c r="F1509" s="348">
        <f>G254</f>
        <v>4.5600000000000005</v>
      </c>
      <c r="G1509" s="369">
        <f>TRUNC(E1508*F1509,2)</f>
        <v>0.65</v>
      </c>
      <c r="H1509" s="337"/>
    </row>
    <row r="1510" spans="1:8" ht="14.1" customHeight="1">
      <c r="C1510" s="133"/>
      <c r="D1510" s="350"/>
      <c r="E1510" s="426"/>
      <c r="F1510" s="427" t="s">
        <v>92</v>
      </c>
      <c r="G1510" s="379">
        <f>G1506+G1508</f>
        <v>2.5</v>
      </c>
      <c r="H1510" s="130"/>
    </row>
    <row r="1511" spans="1:8" ht="14.1" customHeight="1">
      <c r="C1511" s="133"/>
      <c r="D1511" s="350"/>
      <c r="E1511" s="428"/>
      <c r="F1511" s="351" t="s">
        <v>94</v>
      </c>
      <c r="G1511" s="369">
        <f>G1507+G1509</f>
        <v>0.75</v>
      </c>
      <c r="H1511" s="130"/>
    </row>
    <row r="1512" spans="1:8" ht="14.1" customHeight="1">
      <c r="C1512" s="133"/>
      <c r="D1512" s="350"/>
      <c r="E1512" s="428"/>
      <c r="F1512" s="351" t="s">
        <v>95</v>
      </c>
      <c r="G1512" s="370">
        <f>SUM(G1510:G1511)</f>
        <v>3.25</v>
      </c>
      <c r="H1512" s="130"/>
    </row>
    <row r="1513" spans="1:8">
      <c r="A1513" s="429"/>
      <c r="B1513" s="430"/>
      <c r="C1513" s="431"/>
      <c r="D1513" s="429"/>
      <c r="E1513" s="430"/>
      <c r="F1513" s="430"/>
      <c r="G1513" s="430"/>
      <c r="H1513" s="429"/>
    </row>
    <row r="1515" spans="1:8">
      <c r="A1515" s="130" t="s">
        <v>542</v>
      </c>
      <c r="C1515" s="133"/>
      <c r="D1515" s="130"/>
      <c r="E1515" s="135"/>
      <c r="H1515" s="337"/>
    </row>
    <row r="1516" spans="1:8">
      <c r="A1516" s="130" t="s">
        <v>1004</v>
      </c>
      <c r="C1516" s="133"/>
      <c r="D1516" s="130"/>
      <c r="E1516" s="135"/>
      <c r="H1516" s="337"/>
    </row>
    <row r="1517" spans="1:8" ht="22.5" customHeight="1">
      <c r="A1517" s="418" t="s">
        <v>820</v>
      </c>
      <c r="B1517" s="1356" t="s">
        <v>899</v>
      </c>
      <c r="C1517" s="1356"/>
      <c r="D1517" s="1356"/>
      <c r="E1517" s="627" t="s">
        <v>346</v>
      </c>
      <c r="G1517" s="419"/>
      <c r="H1517" s="337"/>
    </row>
    <row r="1518" spans="1:8" ht="22.5">
      <c r="A1518" s="624" t="s">
        <v>30</v>
      </c>
      <c r="B1518" s="420" t="s">
        <v>19</v>
      </c>
      <c r="C1518" s="343" t="s">
        <v>82</v>
      </c>
      <c r="D1518" s="603" t="s">
        <v>79</v>
      </c>
      <c r="E1518" s="603" t="s">
        <v>83</v>
      </c>
      <c r="F1518" s="345" t="s">
        <v>84</v>
      </c>
      <c r="G1518" s="421" t="s">
        <v>85</v>
      </c>
      <c r="H1518" s="337"/>
    </row>
    <row r="1519" spans="1:8" ht="15" customHeight="1">
      <c r="A1519" s="1317">
        <v>88248</v>
      </c>
      <c r="B1519" s="1310" t="s">
        <v>274</v>
      </c>
      <c r="C1519" s="343" t="s">
        <v>102</v>
      </c>
      <c r="D1519" s="1314" t="s">
        <v>345</v>
      </c>
      <c r="E1519" s="1353">
        <v>5.5E-2</v>
      </c>
      <c r="F1519" s="348">
        <f>G321</f>
        <v>10.9</v>
      </c>
      <c r="G1519" s="424">
        <f>TRUNC(E1519*F1519,2)</f>
        <v>0.59</v>
      </c>
      <c r="H1519" s="337"/>
    </row>
    <row r="1520" spans="1:8" ht="15" customHeight="1">
      <c r="A1520" s="1318"/>
      <c r="B1520" s="1311"/>
      <c r="C1520" s="343" t="s">
        <v>89</v>
      </c>
      <c r="D1520" s="1314"/>
      <c r="E1520" s="1354"/>
      <c r="F1520" s="348">
        <f>G322</f>
        <v>4.5600000000000005</v>
      </c>
      <c r="G1520" s="369">
        <f>TRUNC(E1519*F1520,2)</f>
        <v>0.25</v>
      </c>
      <c r="H1520" s="337"/>
    </row>
    <row r="1521" spans="1:8" ht="15" customHeight="1">
      <c r="A1521" s="1317">
        <v>88267</v>
      </c>
      <c r="B1521" s="1351" t="s">
        <v>245</v>
      </c>
      <c r="C1521" s="343" t="s">
        <v>102</v>
      </c>
      <c r="D1521" s="1314" t="s">
        <v>345</v>
      </c>
      <c r="E1521" s="1353">
        <v>0.39100000000000001</v>
      </c>
      <c r="F1521" s="348">
        <f>G338</f>
        <v>15.41</v>
      </c>
      <c r="G1521" s="369">
        <f>TRUNC(E1521*F1521,2)</f>
        <v>6.02</v>
      </c>
      <c r="H1521" s="337"/>
    </row>
    <row r="1522" spans="1:8" ht="15" customHeight="1">
      <c r="A1522" s="1318"/>
      <c r="B1522" s="1352"/>
      <c r="C1522" s="343" t="s">
        <v>89</v>
      </c>
      <c r="D1522" s="1314"/>
      <c r="E1522" s="1354"/>
      <c r="F1522" s="348">
        <f>G339</f>
        <v>4.5600000000000005</v>
      </c>
      <c r="G1522" s="369">
        <f>TRUNC(E1521*F1522,2)</f>
        <v>1.78</v>
      </c>
      <c r="H1522" s="337"/>
    </row>
    <row r="1523" spans="1:8" ht="15" customHeight="1">
      <c r="A1523" s="1317">
        <v>88629</v>
      </c>
      <c r="B1523" s="1351" t="s">
        <v>1005</v>
      </c>
      <c r="C1523" s="343" t="s">
        <v>102</v>
      </c>
      <c r="D1523" s="1364" t="s">
        <v>682</v>
      </c>
      <c r="E1523" s="1353">
        <v>3.0000000000000001E-3</v>
      </c>
      <c r="F1523" s="348">
        <f>G1538</f>
        <v>94.12</v>
      </c>
      <c r="G1523" s="369">
        <f>TRUNC(E1523*F1523,2)</f>
        <v>0.28000000000000003</v>
      </c>
      <c r="H1523" s="337"/>
    </row>
    <row r="1524" spans="1:8" ht="15" customHeight="1">
      <c r="A1524" s="1318"/>
      <c r="B1524" s="1352"/>
      <c r="C1524" s="343" t="s">
        <v>89</v>
      </c>
      <c r="D1524" s="1365"/>
      <c r="E1524" s="1354"/>
      <c r="F1524" s="348">
        <f>G1539</f>
        <v>319.67</v>
      </c>
      <c r="G1524" s="369">
        <f t="shared" ref="G1524" si="72">TRUNC(E1523*F1524,2)</f>
        <v>0.95</v>
      </c>
      <c r="H1524" s="337"/>
    </row>
    <row r="1525" spans="1:8" ht="15" customHeight="1">
      <c r="C1525" s="133"/>
      <c r="D1525" s="350"/>
      <c r="E1525" s="426"/>
      <c r="F1525" s="427" t="s">
        <v>92</v>
      </c>
      <c r="G1525" s="379">
        <f>G1519+G1521+G1523</f>
        <v>6.89</v>
      </c>
      <c r="H1525" s="130"/>
    </row>
    <row r="1526" spans="1:8" ht="15" customHeight="1">
      <c r="C1526" s="133"/>
      <c r="D1526" s="350"/>
      <c r="E1526" s="428"/>
      <c r="F1526" s="351" t="s">
        <v>94</v>
      </c>
      <c r="G1526" s="369">
        <f>G1520+G1522+G1524</f>
        <v>2.9800000000000004</v>
      </c>
      <c r="H1526" s="130"/>
    </row>
    <row r="1527" spans="1:8" ht="15" customHeight="1">
      <c r="C1527" s="133"/>
      <c r="D1527" s="350"/>
      <c r="E1527" s="428"/>
      <c r="F1527" s="351" t="s">
        <v>95</v>
      </c>
      <c r="G1527" s="370">
        <f>SUM(G1525:G1526)</f>
        <v>9.870000000000001</v>
      </c>
      <c r="H1527" s="130"/>
    </row>
    <row r="1528" spans="1:8">
      <c r="A1528" s="429"/>
      <c r="B1528" s="430"/>
      <c r="C1528" s="431"/>
      <c r="D1528" s="429"/>
      <c r="E1528" s="430"/>
      <c r="F1528" s="430"/>
      <c r="G1528" s="430"/>
      <c r="H1528" s="429"/>
    </row>
    <row r="1530" spans="1:8">
      <c r="A1530" s="130" t="s">
        <v>542</v>
      </c>
      <c r="C1530" s="133"/>
      <c r="D1530" s="130"/>
      <c r="E1530" s="135"/>
      <c r="H1530" s="337"/>
    </row>
    <row r="1531" spans="1:8">
      <c r="A1531" s="148" t="s">
        <v>1006</v>
      </c>
      <c r="C1531" s="133"/>
      <c r="D1531" s="130"/>
      <c r="E1531" s="135"/>
      <c r="H1531" s="337"/>
    </row>
    <row r="1532" spans="1:8" ht="15.75" customHeight="1">
      <c r="A1532" s="418" t="s">
        <v>820</v>
      </c>
      <c r="B1532" s="1356" t="s">
        <v>1007</v>
      </c>
      <c r="C1532" s="1356"/>
      <c r="D1532" s="1356"/>
      <c r="E1532" s="419" t="s">
        <v>682</v>
      </c>
      <c r="G1532" s="419"/>
      <c r="H1532" s="337"/>
    </row>
    <row r="1533" spans="1:8" ht="22.5">
      <c r="A1533" s="624" t="s">
        <v>30</v>
      </c>
      <c r="B1533" s="420" t="s">
        <v>19</v>
      </c>
      <c r="C1533" s="343" t="s">
        <v>82</v>
      </c>
      <c r="D1533" s="603" t="s">
        <v>79</v>
      </c>
      <c r="E1533" s="603" t="s">
        <v>83</v>
      </c>
      <c r="F1533" s="345" t="s">
        <v>84</v>
      </c>
      <c r="G1533" s="421" t="s">
        <v>85</v>
      </c>
      <c r="H1533" s="337"/>
    </row>
    <row r="1534" spans="1:8" ht="15" customHeight="1">
      <c r="A1534" s="1317">
        <v>88262</v>
      </c>
      <c r="B1534" s="1310" t="s">
        <v>1008</v>
      </c>
      <c r="C1534" s="343" t="s">
        <v>102</v>
      </c>
      <c r="D1534" s="1314" t="s">
        <v>103</v>
      </c>
      <c r="E1534" s="1353">
        <v>8.48</v>
      </c>
      <c r="F1534" s="348">
        <f>G104</f>
        <v>11.1</v>
      </c>
      <c r="G1534" s="424">
        <f>TRUNC(E1534*F1534,2)</f>
        <v>94.12</v>
      </c>
      <c r="H1534" s="337"/>
    </row>
    <row r="1535" spans="1:8" ht="15" customHeight="1">
      <c r="A1535" s="1318"/>
      <c r="B1535" s="1311"/>
      <c r="C1535" s="343" t="s">
        <v>89</v>
      </c>
      <c r="D1535" s="1314"/>
      <c r="E1535" s="1354"/>
      <c r="F1535" s="348">
        <f>G105</f>
        <v>4.5600000000000005</v>
      </c>
      <c r="G1535" s="424">
        <f>TRUNC(E1534*F1535,2)</f>
        <v>38.659999999999997</v>
      </c>
      <c r="H1535" s="337"/>
    </row>
    <row r="1536" spans="1:8" ht="25.5" customHeight="1">
      <c r="A1536" s="624" t="s">
        <v>683</v>
      </c>
      <c r="B1536" s="639" t="s">
        <v>684</v>
      </c>
      <c r="C1536" s="343" t="s">
        <v>89</v>
      </c>
      <c r="D1536" s="603" t="s">
        <v>682</v>
      </c>
      <c r="E1536" s="603">
        <v>1.1499999999999999</v>
      </c>
      <c r="F1536" s="603">
        <v>56.25</v>
      </c>
      <c r="G1536" s="424">
        <f t="shared" ref="G1536" si="73">TRUNC(E1536*F1536,2)</f>
        <v>64.680000000000007</v>
      </c>
      <c r="H1536" s="337"/>
    </row>
    <row r="1537" spans="1:8" ht="15" customHeight="1">
      <c r="A1537" s="624" t="s">
        <v>423</v>
      </c>
      <c r="B1537" s="640" t="s">
        <v>424</v>
      </c>
      <c r="C1537" s="343" t="s">
        <v>89</v>
      </c>
      <c r="D1537" s="603" t="s">
        <v>685</v>
      </c>
      <c r="E1537" s="603">
        <v>441.51</v>
      </c>
      <c r="F1537" s="603">
        <v>0.49</v>
      </c>
      <c r="G1537" s="346">
        <f>TRUNC(E1537*F1537,2)</f>
        <v>216.33</v>
      </c>
      <c r="H1537" s="337"/>
    </row>
    <row r="1538" spans="1:8" ht="15" customHeight="1">
      <c r="C1538" s="133"/>
      <c r="D1538" s="130"/>
      <c r="E1538" s="426"/>
      <c r="F1538" s="427" t="s">
        <v>92</v>
      </c>
      <c r="G1538" s="379">
        <f>G1534</f>
        <v>94.12</v>
      </c>
      <c r="H1538" s="130"/>
    </row>
    <row r="1539" spans="1:8" ht="15" customHeight="1">
      <c r="C1539" s="133"/>
      <c r="D1539" s="130"/>
      <c r="E1539" s="428"/>
      <c r="F1539" s="351" t="s">
        <v>94</v>
      </c>
      <c r="G1539" s="369">
        <f>G1535+G1536+G1537</f>
        <v>319.67</v>
      </c>
      <c r="H1539" s="130"/>
    </row>
    <row r="1540" spans="1:8" ht="15" customHeight="1">
      <c r="C1540" s="133"/>
      <c r="D1540" s="130"/>
      <c r="E1540" s="428"/>
      <c r="F1540" s="351" t="s">
        <v>95</v>
      </c>
      <c r="G1540" s="370">
        <f>SUM(G1538:G1539)</f>
        <v>413.79</v>
      </c>
      <c r="H1540" s="130"/>
    </row>
    <row r="1541" spans="1:8">
      <c r="A1541" s="429"/>
      <c r="B1541" s="430"/>
      <c r="C1541" s="431"/>
      <c r="D1541" s="429"/>
      <c r="E1541" s="430"/>
      <c r="F1541" s="430"/>
      <c r="G1541" s="430"/>
      <c r="H1541" s="429"/>
    </row>
    <row r="1543" spans="1:8">
      <c r="A1543" s="130" t="s">
        <v>542</v>
      </c>
      <c r="C1543" s="133"/>
      <c r="D1543" s="130"/>
      <c r="E1543" s="135"/>
      <c r="H1543" s="337"/>
    </row>
    <row r="1544" spans="1:8">
      <c r="A1544" s="148" t="s">
        <v>1872</v>
      </c>
      <c r="C1544" s="133"/>
      <c r="D1544" s="130"/>
      <c r="E1544" s="135"/>
      <c r="H1544" s="337"/>
    </row>
    <row r="1545" spans="1:8" ht="35.25" customHeight="1">
      <c r="A1545" s="418" t="s">
        <v>820</v>
      </c>
      <c r="B1545" s="1356" t="s">
        <v>1871</v>
      </c>
      <c r="C1545" s="1356"/>
      <c r="D1545" s="1356"/>
      <c r="E1545" s="627" t="s">
        <v>682</v>
      </c>
      <c r="G1545" s="419"/>
      <c r="H1545" s="337"/>
    </row>
    <row r="1546" spans="1:8" ht="22.5">
      <c r="A1546" s="913" t="s">
        <v>30</v>
      </c>
      <c r="B1546" s="420" t="s">
        <v>19</v>
      </c>
      <c r="C1546" s="343" t="s">
        <v>82</v>
      </c>
      <c r="D1546" s="915" t="s">
        <v>79</v>
      </c>
      <c r="E1546" s="915" t="s">
        <v>83</v>
      </c>
      <c r="F1546" s="345" t="s">
        <v>84</v>
      </c>
      <c r="G1546" s="421" t="s">
        <v>85</v>
      </c>
      <c r="H1546" s="337"/>
    </row>
    <row r="1547" spans="1:8">
      <c r="A1547" s="1317">
        <v>88377</v>
      </c>
      <c r="B1547" s="1310" t="s">
        <v>1875</v>
      </c>
      <c r="C1547" s="343" t="s">
        <v>102</v>
      </c>
      <c r="D1547" s="1314" t="s">
        <v>103</v>
      </c>
      <c r="E1547" s="1353">
        <v>4.75</v>
      </c>
      <c r="F1547" s="348">
        <f>G861</f>
        <v>10.58</v>
      </c>
      <c r="G1547" s="424">
        <f>TRUNC(E1547*F1547,2)</f>
        <v>50.25</v>
      </c>
      <c r="H1547" s="337"/>
    </row>
    <row r="1548" spans="1:8">
      <c r="A1548" s="1318"/>
      <c r="B1548" s="1311"/>
      <c r="C1548" s="343" t="s">
        <v>89</v>
      </c>
      <c r="D1548" s="1314"/>
      <c r="E1548" s="1354"/>
      <c r="F1548" s="348">
        <f>G862</f>
        <v>4.12</v>
      </c>
      <c r="G1548" s="424">
        <f>TRUNC(E1547*F1548,2)</f>
        <v>19.57</v>
      </c>
      <c r="H1548" s="337"/>
    </row>
    <row r="1549" spans="1:8" ht="22.5">
      <c r="A1549" s="913" t="s">
        <v>683</v>
      </c>
      <c r="B1549" s="639" t="s">
        <v>684</v>
      </c>
      <c r="C1549" s="343" t="s">
        <v>89</v>
      </c>
      <c r="D1549" s="915" t="s">
        <v>682</v>
      </c>
      <c r="E1549" s="916">
        <v>1.29</v>
      </c>
      <c r="F1549" s="915">
        <v>56.25</v>
      </c>
      <c r="G1549" s="424">
        <f t="shared" ref="G1549:G1550" si="74">TRUNC(E1549*F1549,2)</f>
        <v>72.56</v>
      </c>
      <c r="H1549" s="337"/>
    </row>
    <row r="1550" spans="1:8">
      <c r="A1550" s="913" t="s">
        <v>1873</v>
      </c>
      <c r="B1550" s="639" t="s">
        <v>1874</v>
      </c>
      <c r="C1550" s="343" t="s">
        <v>89</v>
      </c>
      <c r="D1550" s="915" t="s">
        <v>685</v>
      </c>
      <c r="E1550" s="348">
        <v>193.7</v>
      </c>
      <c r="F1550" s="915">
        <v>0.56000000000000005</v>
      </c>
      <c r="G1550" s="424">
        <f t="shared" si="74"/>
        <v>108.47</v>
      </c>
      <c r="H1550" s="337"/>
    </row>
    <row r="1551" spans="1:8">
      <c r="A1551" s="913" t="s">
        <v>423</v>
      </c>
      <c r="B1551" s="640" t="s">
        <v>424</v>
      </c>
      <c r="C1551" s="343" t="s">
        <v>89</v>
      </c>
      <c r="D1551" s="915" t="s">
        <v>685</v>
      </c>
      <c r="E1551" s="915">
        <v>185.63</v>
      </c>
      <c r="F1551" s="915">
        <v>0.49</v>
      </c>
      <c r="G1551" s="346">
        <f>TRUNC(E1551*F1551,2)</f>
        <v>90.95</v>
      </c>
      <c r="H1551" s="337"/>
    </row>
    <row r="1552" spans="1:8" ht="45">
      <c r="A1552" s="407" t="s">
        <v>977</v>
      </c>
      <c r="B1552" s="914" t="s">
        <v>869</v>
      </c>
      <c r="C1552" s="915" t="s">
        <v>626</v>
      </c>
      <c r="D1552" s="343" t="s">
        <v>345</v>
      </c>
      <c r="E1552" s="408">
        <v>1.1100000000000001</v>
      </c>
      <c r="F1552" s="348">
        <f>G1121</f>
        <v>1.04</v>
      </c>
      <c r="G1552" s="369">
        <f t="shared" ref="G1552:G1553" si="75">TRUNC(E1552*F1552,2)</f>
        <v>1.1499999999999999</v>
      </c>
      <c r="H1552" s="337"/>
    </row>
    <row r="1553" spans="1:8" ht="45">
      <c r="A1553" s="407" t="s">
        <v>1876</v>
      </c>
      <c r="B1553" s="914" t="s">
        <v>870</v>
      </c>
      <c r="C1553" s="915" t="s">
        <v>626</v>
      </c>
      <c r="D1553" s="343" t="s">
        <v>345</v>
      </c>
      <c r="E1553" s="408">
        <v>3.64</v>
      </c>
      <c r="F1553" s="348">
        <f>G1172</f>
        <v>0.04</v>
      </c>
      <c r="G1553" s="369">
        <f t="shared" si="75"/>
        <v>0.14000000000000001</v>
      </c>
      <c r="H1553" s="337"/>
    </row>
    <row r="1554" spans="1:8">
      <c r="C1554" s="133"/>
      <c r="D1554" s="130"/>
      <c r="E1554" s="426"/>
      <c r="F1554" s="427" t="s">
        <v>92</v>
      </c>
      <c r="G1554" s="379">
        <f>G1547</f>
        <v>50.25</v>
      </c>
      <c r="H1554" s="130"/>
    </row>
    <row r="1555" spans="1:8">
      <c r="C1555" s="133"/>
      <c r="D1555" s="130"/>
      <c r="E1555" s="428"/>
      <c r="F1555" s="351" t="s">
        <v>94</v>
      </c>
      <c r="G1555" s="369">
        <f>G1548+G1549+G1550+G1551+G1552+G1553</f>
        <v>292.83999999999997</v>
      </c>
      <c r="H1555" s="130"/>
    </row>
    <row r="1556" spans="1:8">
      <c r="C1556" s="133"/>
      <c r="D1556" s="130"/>
      <c r="E1556" s="428"/>
      <c r="F1556" s="351" t="s">
        <v>95</v>
      </c>
      <c r="G1556" s="370">
        <f>SUM(G1554:G1555)</f>
        <v>343.09</v>
      </c>
      <c r="H1556" s="130"/>
    </row>
    <row r="1557" spans="1:8">
      <c r="A1557" s="429"/>
      <c r="B1557" s="430"/>
      <c r="C1557" s="431"/>
      <c r="D1557" s="429"/>
      <c r="E1557" s="430"/>
      <c r="F1557" s="430"/>
      <c r="G1557" s="430"/>
      <c r="H1557" s="429"/>
    </row>
    <row r="1559" spans="1:8">
      <c r="A1559" s="130" t="s">
        <v>542</v>
      </c>
      <c r="C1559" s="133"/>
      <c r="D1559" s="130"/>
      <c r="E1559" s="135"/>
      <c r="H1559" s="337"/>
    </row>
    <row r="1560" spans="1:8">
      <c r="A1560" s="148" t="s">
        <v>1880</v>
      </c>
      <c r="C1560" s="133"/>
      <c r="D1560" s="130"/>
      <c r="E1560" s="135"/>
      <c r="H1560" s="337"/>
    </row>
    <row r="1561" spans="1:8" ht="22.5" customHeight="1">
      <c r="A1561" s="418" t="s">
        <v>820</v>
      </c>
      <c r="B1561" s="1356" t="s">
        <v>1879</v>
      </c>
      <c r="C1561" s="1356"/>
      <c r="D1561" s="627" t="s">
        <v>682</v>
      </c>
      <c r="G1561" s="419"/>
      <c r="H1561" s="337"/>
    </row>
    <row r="1562" spans="1:8" ht="22.5">
      <c r="A1562" s="913" t="s">
        <v>30</v>
      </c>
      <c r="B1562" s="420" t="s">
        <v>19</v>
      </c>
      <c r="C1562" s="343" t="s">
        <v>82</v>
      </c>
      <c r="D1562" s="915" t="s">
        <v>79</v>
      </c>
      <c r="E1562" s="915" t="s">
        <v>83</v>
      </c>
      <c r="F1562" s="345" t="s">
        <v>84</v>
      </c>
      <c r="G1562" s="421" t="s">
        <v>85</v>
      </c>
      <c r="H1562" s="337"/>
    </row>
    <row r="1563" spans="1:8" ht="22.5">
      <c r="A1563" s="913" t="s">
        <v>683</v>
      </c>
      <c r="B1563" s="639" t="s">
        <v>684</v>
      </c>
      <c r="C1563" s="343" t="s">
        <v>89</v>
      </c>
      <c r="D1563" s="915" t="s">
        <v>682</v>
      </c>
      <c r="E1563" s="916">
        <v>1.05</v>
      </c>
      <c r="F1563" s="915">
        <v>56.25</v>
      </c>
      <c r="G1563" s="424">
        <f t="shared" ref="G1563" si="76">TRUNC(E1563*F1563,2)</f>
        <v>59.06</v>
      </c>
      <c r="H1563" s="337"/>
    </row>
    <row r="1564" spans="1:8" ht="14.1" customHeight="1">
      <c r="A1564" s="913" t="s">
        <v>423</v>
      </c>
      <c r="B1564" s="640" t="s">
        <v>424</v>
      </c>
      <c r="C1564" s="343" t="s">
        <v>89</v>
      </c>
      <c r="D1564" s="915" t="s">
        <v>685</v>
      </c>
      <c r="E1564" s="915">
        <v>401.09</v>
      </c>
      <c r="F1564" s="915">
        <v>0.49</v>
      </c>
      <c r="G1564" s="346">
        <f>TRUNC(E1564*F1564,2)</f>
        <v>196.53</v>
      </c>
      <c r="H1564" s="337"/>
    </row>
    <row r="1565" spans="1:8" ht="14.1" customHeight="1">
      <c r="A1565" s="1347">
        <v>88316</v>
      </c>
      <c r="B1565" s="1310" t="s">
        <v>106</v>
      </c>
      <c r="C1565" s="343" t="s">
        <v>102</v>
      </c>
      <c r="D1565" s="1457" t="s">
        <v>345</v>
      </c>
      <c r="E1565" s="1364">
        <v>10.89</v>
      </c>
      <c r="F1565" s="348">
        <f>G104</f>
        <v>11.1</v>
      </c>
      <c r="G1565" s="346">
        <f>TRUNC(E1565*F1565,2)</f>
        <v>120.87</v>
      </c>
      <c r="H1565" s="337"/>
    </row>
    <row r="1566" spans="1:8" ht="14.1" customHeight="1">
      <c r="A1566" s="1348"/>
      <c r="B1566" s="1311"/>
      <c r="C1566" s="915" t="s">
        <v>89</v>
      </c>
      <c r="D1566" s="1458"/>
      <c r="E1566" s="1365"/>
      <c r="F1566" s="348">
        <f>G105</f>
        <v>4.5600000000000005</v>
      </c>
      <c r="G1566" s="369">
        <f>TRUNC(E1565*F1566,2)</f>
        <v>49.65</v>
      </c>
      <c r="H1566" s="337"/>
    </row>
    <row r="1567" spans="1:8">
      <c r="C1567" s="133"/>
      <c r="D1567" s="130"/>
      <c r="E1567" s="426"/>
      <c r="F1567" s="427" t="s">
        <v>92</v>
      </c>
      <c r="G1567" s="379">
        <f>G1565</f>
        <v>120.87</v>
      </c>
      <c r="H1567" s="130"/>
    </row>
    <row r="1568" spans="1:8">
      <c r="C1568" s="133"/>
      <c r="D1568" s="130"/>
      <c r="E1568" s="428"/>
      <c r="F1568" s="351" t="s">
        <v>94</v>
      </c>
      <c r="G1568" s="369">
        <f>G1563+G1564+G1566</f>
        <v>305.24</v>
      </c>
      <c r="H1568" s="130"/>
    </row>
    <row r="1569" spans="1:8">
      <c r="C1569" s="133"/>
      <c r="D1569" s="130"/>
      <c r="E1569" s="428"/>
      <c r="F1569" s="351" t="s">
        <v>95</v>
      </c>
      <c r="G1569" s="370">
        <f>SUM(G1567:G1568)</f>
        <v>426.11</v>
      </c>
      <c r="H1569" s="130"/>
    </row>
    <row r="1570" spans="1:8">
      <c r="A1570" s="429"/>
      <c r="B1570" s="430"/>
      <c r="C1570" s="431"/>
      <c r="D1570" s="429"/>
      <c r="E1570" s="430"/>
      <c r="F1570" s="430"/>
      <c r="G1570" s="430"/>
      <c r="H1570" s="429"/>
    </row>
    <row r="1572" spans="1:8" ht="15" customHeight="1">
      <c r="A1572" s="130" t="s">
        <v>542</v>
      </c>
      <c r="C1572" s="133"/>
      <c r="D1572" s="130"/>
      <c r="E1572" s="135"/>
      <c r="H1572" s="337"/>
    </row>
    <row r="1573" spans="1:8" ht="12.75" customHeight="1">
      <c r="A1573" s="148" t="s">
        <v>1009</v>
      </c>
      <c r="C1573" s="133"/>
      <c r="D1573" s="130"/>
      <c r="E1573" s="135"/>
      <c r="H1573" s="337"/>
    </row>
    <row r="1574" spans="1:8" ht="27" customHeight="1">
      <c r="A1574" s="418" t="s">
        <v>820</v>
      </c>
      <c r="B1574" s="1356" t="s">
        <v>900</v>
      </c>
      <c r="C1574" s="1356"/>
      <c r="D1574" s="1356"/>
      <c r="E1574" s="472" t="s">
        <v>346</v>
      </c>
      <c r="G1574" s="419"/>
      <c r="H1574" s="337"/>
    </row>
    <row r="1575" spans="1:8" ht="22.5">
      <c r="A1575" s="624" t="s">
        <v>30</v>
      </c>
      <c r="B1575" s="420" t="s">
        <v>19</v>
      </c>
      <c r="C1575" s="343" t="s">
        <v>82</v>
      </c>
      <c r="D1575" s="603" t="s">
        <v>79</v>
      </c>
      <c r="E1575" s="603" t="s">
        <v>83</v>
      </c>
      <c r="F1575" s="345" t="s">
        <v>84</v>
      </c>
      <c r="G1575" s="421" t="s">
        <v>85</v>
      </c>
      <c r="H1575" s="337"/>
    </row>
    <row r="1576" spans="1:8" ht="22.5">
      <c r="A1576" s="601" t="s">
        <v>1010</v>
      </c>
      <c r="B1576" s="599" t="s">
        <v>1011</v>
      </c>
      <c r="C1576" s="343" t="s">
        <v>89</v>
      </c>
      <c r="D1576" s="603" t="s">
        <v>346</v>
      </c>
      <c r="E1576" s="604">
        <v>1.1000000000000001</v>
      </c>
      <c r="F1576" s="414">
        <v>1</v>
      </c>
      <c r="G1576" s="424">
        <f t="shared" ref="G1576:G1577" si="77">TRUNC(E1576*F1576,2)</f>
        <v>1.1000000000000001</v>
      </c>
      <c r="H1576" s="337"/>
    </row>
    <row r="1577" spans="1:8" ht="15" customHeight="1">
      <c r="A1577" s="601" t="s">
        <v>1012</v>
      </c>
      <c r="B1577" s="641" t="s">
        <v>1013</v>
      </c>
      <c r="C1577" s="343" t="s">
        <v>89</v>
      </c>
      <c r="D1577" s="603" t="s">
        <v>685</v>
      </c>
      <c r="E1577" s="600">
        <v>1.6000000000000001E-3</v>
      </c>
      <c r="F1577" s="345">
        <v>8.92</v>
      </c>
      <c r="G1577" s="424">
        <f t="shared" si="77"/>
        <v>0.01</v>
      </c>
      <c r="H1577" s="337"/>
    </row>
    <row r="1578" spans="1:8" ht="15" customHeight="1">
      <c r="A1578" s="1317">
        <v>88247</v>
      </c>
      <c r="B1578" s="1310" t="s">
        <v>422</v>
      </c>
      <c r="C1578" s="343" t="s">
        <v>102</v>
      </c>
      <c r="D1578" s="1314" t="s">
        <v>345</v>
      </c>
      <c r="E1578" s="1353">
        <v>7.1999999999999995E-2</v>
      </c>
      <c r="F1578" s="348">
        <f>G287</f>
        <v>10.98</v>
      </c>
      <c r="G1578" s="424">
        <f>TRUNC(E1578*F1578,2)</f>
        <v>0.79</v>
      </c>
      <c r="H1578" s="337"/>
    </row>
    <row r="1579" spans="1:8" ht="15" customHeight="1">
      <c r="A1579" s="1318"/>
      <c r="B1579" s="1311"/>
      <c r="C1579" s="343" t="s">
        <v>89</v>
      </c>
      <c r="D1579" s="1314"/>
      <c r="E1579" s="1354"/>
      <c r="F1579" s="348">
        <f>G288</f>
        <v>4.5600000000000005</v>
      </c>
      <c r="G1579" s="369">
        <f>TRUNC(E1578*F1579,2)</f>
        <v>0.32</v>
      </c>
      <c r="H1579" s="337"/>
    </row>
    <row r="1580" spans="1:8" ht="15" customHeight="1">
      <c r="A1580" s="1317">
        <v>88264</v>
      </c>
      <c r="B1580" s="1351" t="s">
        <v>249</v>
      </c>
      <c r="C1580" s="343" t="s">
        <v>102</v>
      </c>
      <c r="D1580" s="1314" t="s">
        <v>345</v>
      </c>
      <c r="E1580" s="1353">
        <v>7.1999999999999995E-2</v>
      </c>
      <c r="F1580" s="348">
        <f>G253</f>
        <v>15.639999999999999</v>
      </c>
      <c r="G1580" s="369">
        <f>TRUNC(E1580*F1580,2)</f>
        <v>1.1200000000000001</v>
      </c>
      <c r="H1580" s="337"/>
    </row>
    <row r="1581" spans="1:8" ht="15" customHeight="1">
      <c r="A1581" s="1318"/>
      <c r="B1581" s="1352"/>
      <c r="C1581" s="343" t="s">
        <v>89</v>
      </c>
      <c r="D1581" s="1314"/>
      <c r="E1581" s="1354"/>
      <c r="F1581" s="348">
        <f>G254</f>
        <v>4.5600000000000005</v>
      </c>
      <c r="G1581" s="369">
        <f>TRUNC(E1580*F1581,2)</f>
        <v>0.32</v>
      </c>
      <c r="H1581" s="337"/>
    </row>
    <row r="1582" spans="1:8" ht="15" customHeight="1">
      <c r="C1582" s="133"/>
      <c r="D1582" s="130"/>
      <c r="E1582" s="426"/>
      <c r="F1582" s="427" t="s">
        <v>92</v>
      </c>
      <c r="G1582" s="379">
        <f>G1578+G1580</f>
        <v>1.9100000000000001</v>
      </c>
      <c r="H1582" s="130"/>
    </row>
    <row r="1583" spans="1:8" ht="15" customHeight="1">
      <c r="C1583" s="133"/>
      <c r="D1583" s="130"/>
      <c r="E1583" s="428"/>
      <c r="F1583" s="351" t="s">
        <v>94</v>
      </c>
      <c r="G1583" s="369">
        <f>G1576+G1577+G1579+G1581</f>
        <v>1.7500000000000002</v>
      </c>
      <c r="H1583" s="130"/>
    </row>
    <row r="1584" spans="1:8" ht="15" customHeight="1">
      <c r="C1584" s="133"/>
      <c r="D1584" s="130"/>
      <c r="E1584" s="428"/>
      <c r="F1584" s="351" t="s">
        <v>95</v>
      </c>
      <c r="G1584" s="370">
        <f>SUM(G1582:G1583)</f>
        <v>3.66</v>
      </c>
      <c r="H1584" s="130"/>
    </row>
    <row r="1585" spans="1:8">
      <c r="A1585" s="429"/>
      <c r="B1585" s="430"/>
      <c r="C1585" s="431"/>
      <c r="D1585" s="429"/>
      <c r="E1585" s="430"/>
      <c r="F1585" s="430"/>
      <c r="G1585" s="430"/>
      <c r="H1585" s="429"/>
    </row>
    <row r="1587" spans="1:8">
      <c r="A1587" s="130" t="s">
        <v>542</v>
      </c>
      <c r="C1587" s="133"/>
      <c r="D1587" s="130"/>
      <c r="E1587" s="135"/>
      <c r="H1587" s="337"/>
    </row>
    <row r="1588" spans="1:8">
      <c r="A1588" s="148" t="s">
        <v>1014</v>
      </c>
      <c r="C1588" s="133"/>
      <c r="D1588" s="130"/>
      <c r="E1588" s="135"/>
      <c r="H1588" s="337"/>
    </row>
    <row r="1589" spans="1:8" ht="24.75" customHeight="1">
      <c r="A1589" s="418" t="s">
        <v>820</v>
      </c>
      <c r="B1589" s="1356" t="s">
        <v>901</v>
      </c>
      <c r="C1589" s="1356"/>
      <c r="D1589" s="1356"/>
      <c r="E1589" s="472" t="s">
        <v>346</v>
      </c>
      <c r="G1589" s="419"/>
      <c r="H1589" s="337"/>
    </row>
    <row r="1590" spans="1:8" ht="22.5">
      <c r="A1590" s="624" t="s">
        <v>30</v>
      </c>
      <c r="B1590" s="420" t="s">
        <v>19</v>
      </c>
      <c r="C1590" s="343" t="s">
        <v>82</v>
      </c>
      <c r="D1590" s="603" t="s">
        <v>79</v>
      </c>
      <c r="E1590" s="603" t="s">
        <v>83</v>
      </c>
      <c r="F1590" s="345" t="s">
        <v>84</v>
      </c>
      <c r="G1590" s="421" t="s">
        <v>85</v>
      </c>
      <c r="H1590" s="337"/>
    </row>
    <row r="1591" spans="1:8" ht="22.5">
      <c r="A1591" s="601" t="s">
        <v>1010</v>
      </c>
      <c r="B1591" s="599" t="s">
        <v>1011</v>
      </c>
      <c r="C1591" s="343" t="s">
        <v>89</v>
      </c>
      <c r="D1591" s="603" t="s">
        <v>346</v>
      </c>
      <c r="E1591" s="604">
        <v>1.0169999999999999</v>
      </c>
      <c r="F1591" s="414">
        <v>1</v>
      </c>
      <c r="G1591" s="424">
        <f t="shared" ref="G1591" si="78">TRUNC(E1591*F1591,2)</f>
        <v>1.01</v>
      </c>
      <c r="H1591" s="337"/>
    </row>
    <row r="1592" spans="1:8" ht="15" customHeight="1">
      <c r="A1592" s="1317">
        <v>88247</v>
      </c>
      <c r="B1592" s="1310" t="s">
        <v>422</v>
      </c>
      <c r="C1592" s="343" t="s">
        <v>102</v>
      </c>
      <c r="D1592" s="1314" t="s">
        <v>345</v>
      </c>
      <c r="E1592" s="1315">
        <v>0.129</v>
      </c>
      <c r="F1592" s="348">
        <f>G287</f>
        <v>10.98</v>
      </c>
      <c r="G1592" s="424">
        <f>TRUNC(E1592*F1592,2)</f>
        <v>1.41</v>
      </c>
      <c r="H1592" s="337"/>
    </row>
    <row r="1593" spans="1:8" ht="15" customHeight="1">
      <c r="A1593" s="1318"/>
      <c r="B1593" s="1311"/>
      <c r="C1593" s="343" t="s">
        <v>89</v>
      </c>
      <c r="D1593" s="1314"/>
      <c r="E1593" s="1316"/>
      <c r="F1593" s="348">
        <f>G288</f>
        <v>4.5600000000000005</v>
      </c>
      <c r="G1593" s="369">
        <f>TRUNC(E1592*F1593,2)</f>
        <v>0.57999999999999996</v>
      </c>
      <c r="H1593" s="337"/>
    </row>
    <row r="1594" spans="1:8" ht="15" customHeight="1">
      <c r="A1594" s="1317">
        <v>88264</v>
      </c>
      <c r="B1594" s="1351" t="s">
        <v>249</v>
      </c>
      <c r="C1594" s="343" t="s">
        <v>102</v>
      </c>
      <c r="D1594" s="1314" t="s">
        <v>345</v>
      </c>
      <c r="E1594" s="1315">
        <v>0.129</v>
      </c>
      <c r="F1594" s="348">
        <f>G253</f>
        <v>15.639999999999999</v>
      </c>
      <c r="G1594" s="369">
        <f>TRUNC(E1594*F1594,2)</f>
        <v>2.0099999999999998</v>
      </c>
      <c r="H1594" s="337"/>
    </row>
    <row r="1595" spans="1:8" ht="15" customHeight="1">
      <c r="A1595" s="1318"/>
      <c r="B1595" s="1352"/>
      <c r="C1595" s="343" t="s">
        <v>89</v>
      </c>
      <c r="D1595" s="1314"/>
      <c r="E1595" s="1316"/>
      <c r="F1595" s="348">
        <f>G254</f>
        <v>4.5600000000000005</v>
      </c>
      <c r="G1595" s="369">
        <f>TRUNC(E1594*F1595,2)</f>
        <v>0.57999999999999996</v>
      </c>
      <c r="H1595" s="337"/>
    </row>
    <row r="1596" spans="1:8" ht="15" customHeight="1">
      <c r="C1596" s="133"/>
      <c r="D1596" s="130"/>
      <c r="E1596" s="426"/>
      <c r="F1596" s="427" t="s">
        <v>92</v>
      </c>
      <c r="G1596" s="379">
        <f>G1592+G1594</f>
        <v>3.42</v>
      </c>
      <c r="H1596" s="130"/>
    </row>
    <row r="1597" spans="1:8" ht="15" customHeight="1">
      <c r="C1597" s="133"/>
      <c r="D1597" s="130"/>
      <c r="E1597" s="428"/>
      <c r="F1597" s="351" t="s">
        <v>94</v>
      </c>
      <c r="G1597" s="369">
        <f>G1591+G1593+G1595</f>
        <v>2.17</v>
      </c>
      <c r="H1597" s="130"/>
    </row>
    <row r="1598" spans="1:8" ht="15" customHeight="1">
      <c r="C1598" s="133"/>
      <c r="D1598" s="130"/>
      <c r="E1598" s="428"/>
      <c r="F1598" s="351" t="s">
        <v>95</v>
      </c>
      <c r="G1598" s="370">
        <f>SUM(G1596:G1597)</f>
        <v>5.59</v>
      </c>
      <c r="H1598" s="130"/>
    </row>
    <row r="1599" spans="1:8">
      <c r="A1599" s="429"/>
      <c r="B1599" s="430"/>
      <c r="C1599" s="431"/>
      <c r="D1599" s="429"/>
      <c r="E1599" s="430"/>
      <c r="F1599" s="430"/>
      <c r="G1599" s="430"/>
      <c r="H1599" s="429"/>
    </row>
    <row r="1601" spans="1:8">
      <c r="A1601" s="130" t="s">
        <v>542</v>
      </c>
      <c r="C1601" s="133"/>
      <c r="D1601" s="130"/>
      <c r="E1601" s="135"/>
      <c r="H1601" s="337"/>
    </row>
    <row r="1602" spans="1:8" ht="15" customHeight="1">
      <c r="A1602" s="148" t="s">
        <v>1015</v>
      </c>
      <c r="C1602" s="133"/>
      <c r="D1602" s="130"/>
      <c r="E1602" s="135"/>
      <c r="H1602" s="337"/>
    </row>
    <row r="1603" spans="1:8" ht="28.5" customHeight="1">
      <c r="A1603" s="418" t="s">
        <v>820</v>
      </c>
      <c r="B1603" s="1356" t="s">
        <v>902</v>
      </c>
      <c r="C1603" s="1356"/>
      <c r="D1603" s="1356"/>
      <c r="E1603" s="472" t="s">
        <v>346</v>
      </c>
      <c r="G1603" s="419"/>
      <c r="H1603" s="337"/>
    </row>
    <row r="1604" spans="1:8" ht="22.5">
      <c r="A1604" s="624" t="s">
        <v>30</v>
      </c>
      <c r="B1604" s="420" t="s">
        <v>19</v>
      </c>
      <c r="C1604" s="343" t="s">
        <v>82</v>
      </c>
      <c r="D1604" s="603" t="s">
        <v>79</v>
      </c>
      <c r="E1604" s="603" t="s">
        <v>83</v>
      </c>
      <c r="F1604" s="345" t="s">
        <v>84</v>
      </c>
      <c r="G1604" s="421" t="s">
        <v>85</v>
      </c>
      <c r="H1604" s="337"/>
    </row>
    <row r="1605" spans="1:8" ht="33.75">
      <c r="A1605" s="601" t="s">
        <v>1016</v>
      </c>
      <c r="B1605" s="599" t="s">
        <v>1017</v>
      </c>
      <c r="C1605" s="343" t="s">
        <v>89</v>
      </c>
      <c r="D1605" s="603" t="s">
        <v>346</v>
      </c>
      <c r="E1605" s="604">
        <v>1.19</v>
      </c>
      <c r="F1605" s="414">
        <v>0.68</v>
      </c>
      <c r="G1605" s="424">
        <f t="shared" ref="G1605:G1606" si="79">TRUNC(E1605*F1605,2)</f>
        <v>0.8</v>
      </c>
      <c r="H1605" s="337"/>
    </row>
    <row r="1606" spans="1:8" ht="22.5">
      <c r="A1606" s="601" t="s">
        <v>420</v>
      </c>
      <c r="B1606" s="599" t="s">
        <v>421</v>
      </c>
      <c r="C1606" s="343" t="s">
        <v>89</v>
      </c>
      <c r="D1606" s="603" t="s">
        <v>344</v>
      </c>
      <c r="E1606" s="600">
        <v>8.9999999999999993E-3</v>
      </c>
      <c r="F1606" s="414">
        <v>3.4</v>
      </c>
      <c r="G1606" s="424">
        <f t="shared" si="79"/>
        <v>0.03</v>
      </c>
      <c r="H1606" s="337"/>
    </row>
    <row r="1607" spans="1:8" ht="15" customHeight="1">
      <c r="A1607" s="1317">
        <v>88247</v>
      </c>
      <c r="B1607" s="1310" t="s">
        <v>422</v>
      </c>
      <c r="C1607" s="343" t="s">
        <v>102</v>
      </c>
      <c r="D1607" s="1314" t="s">
        <v>345</v>
      </c>
      <c r="E1607" s="1353">
        <v>2.4E-2</v>
      </c>
      <c r="F1607" s="348">
        <f>G287</f>
        <v>10.98</v>
      </c>
      <c r="G1607" s="424">
        <f>TRUNC(E1607*F1607,2)</f>
        <v>0.26</v>
      </c>
      <c r="H1607" s="337"/>
    </row>
    <row r="1608" spans="1:8" ht="15" customHeight="1">
      <c r="A1608" s="1318"/>
      <c r="B1608" s="1311"/>
      <c r="C1608" s="343" t="s">
        <v>89</v>
      </c>
      <c r="D1608" s="1314"/>
      <c r="E1608" s="1354"/>
      <c r="F1608" s="348">
        <f>G288</f>
        <v>4.5600000000000005</v>
      </c>
      <c r="G1608" s="369">
        <f>TRUNC(E1607*F1608,2)</f>
        <v>0.1</v>
      </c>
      <c r="H1608" s="337"/>
    </row>
    <row r="1609" spans="1:8" ht="15" customHeight="1">
      <c r="A1609" s="1317">
        <v>88264</v>
      </c>
      <c r="B1609" s="1351" t="s">
        <v>249</v>
      </c>
      <c r="C1609" s="343" t="s">
        <v>102</v>
      </c>
      <c r="D1609" s="1314" t="s">
        <v>345</v>
      </c>
      <c r="E1609" s="1353">
        <v>2.4E-2</v>
      </c>
      <c r="F1609" s="348">
        <f>G253</f>
        <v>15.639999999999999</v>
      </c>
      <c r="G1609" s="369">
        <f>TRUNC(E1609*F1609,2)</f>
        <v>0.37</v>
      </c>
      <c r="H1609" s="337"/>
    </row>
    <row r="1610" spans="1:8" ht="15" customHeight="1">
      <c r="A1610" s="1318"/>
      <c r="B1610" s="1352"/>
      <c r="C1610" s="343" t="s">
        <v>89</v>
      </c>
      <c r="D1610" s="1314"/>
      <c r="E1610" s="1354"/>
      <c r="F1610" s="348">
        <f>G254</f>
        <v>4.5600000000000005</v>
      </c>
      <c r="G1610" s="369">
        <f>TRUNC(E1609*F1610,2)</f>
        <v>0.1</v>
      </c>
      <c r="H1610" s="337"/>
    </row>
    <row r="1611" spans="1:8" ht="15" customHeight="1">
      <c r="C1611" s="133"/>
      <c r="D1611" s="130"/>
      <c r="E1611" s="426"/>
      <c r="F1611" s="427" t="s">
        <v>92</v>
      </c>
      <c r="G1611" s="379">
        <f>G1607+G1609</f>
        <v>0.63</v>
      </c>
      <c r="H1611" s="130"/>
    </row>
    <row r="1612" spans="1:8" ht="15" customHeight="1">
      <c r="C1612" s="133"/>
      <c r="D1612" s="130"/>
      <c r="E1612" s="428"/>
      <c r="F1612" s="351" t="s">
        <v>94</v>
      </c>
      <c r="G1612" s="369">
        <f>G1605+G1606+G1608+G1610</f>
        <v>1.03</v>
      </c>
      <c r="H1612" s="130"/>
    </row>
    <row r="1613" spans="1:8" ht="15" customHeight="1">
      <c r="C1613" s="133"/>
      <c r="D1613" s="130"/>
      <c r="E1613" s="428"/>
      <c r="F1613" s="351" t="s">
        <v>95</v>
      </c>
      <c r="G1613" s="370">
        <f>SUM(G1611:G1612)</f>
        <v>1.6600000000000001</v>
      </c>
      <c r="H1613" s="130"/>
    </row>
    <row r="1614" spans="1:8">
      <c r="A1614" s="429"/>
      <c r="B1614" s="430"/>
      <c r="C1614" s="431"/>
      <c r="D1614" s="429"/>
      <c r="E1614" s="430"/>
      <c r="F1614" s="430"/>
      <c r="G1614" s="430"/>
      <c r="H1614" s="429"/>
    </row>
    <row r="1616" spans="1:8">
      <c r="A1616" s="130" t="s">
        <v>542</v>
      </c>
      <c r="C1616" s="133"/>
      <c r="D1616" s="130"/>
      <c r="E1616" s="135"/>
      <c r="H1616" s="337"/>
    </row>
    <row r="1617" spans="1:8">
      <c r="A1617" s="148" t="s">
        <v>1018</v>
      </c>
      <c r="C1617" s="133"/>
      <c r="D1617" s="130"/>
      <c r="E1617" s="135"/>
      <c r="H1617" s="337"/>
    </row>
    <row r="1618" spans="1:8" ht="24" customHeight="1">
      <c r="A1618" s="418" t="s">
        <v>820</v>
      </c>
      <c r="B1618" s="1356" t="s">
        <v>903</v>
      </c>
      <c r="C1618" s="1356"/>
      <c r="D1618" s="1356"/>
      <c r="E1618" s="419" t="s">
        <v>346</v>
      </c>
      <c r="G1618" s="419"/>
      <c r="H1618" s="337"/>
    </row>
    <row r="1619" spans="1:8" ht="22.5">
      <c r="A1619" s="624" t="s">
        <v>30</v>
      </c>
      <c r="B1619" s="420" t="s">
        <v>19</v>
      </c>
      <c r="C1619" s="343" t="s">
        <v>82</v>
      </c>
      <c r="D1619" s="603" t="s">
        <v>79</v>
      </c>
      <c r="E1619" s="603" t="s">
        <v>83</v>
      </c>
      <c r="F1619" s="345" t="s">
        <v>84</v>
      </c>
      <c r="G1619" s="421" t="s">
        <v>85</v>
      </c>
      <c r="H1619" s="337"/>
    </row>
    <row r="1620" spans="1:8" ht="33.75">
      <c r="A1620" s="605">
        <v>1014</v>
      </c>
      <c r="B1620" s="599" t="s">
        <v>1019</v>
      </c>
      <c r="C1620" s="343" t="s">
        <v>89</v>
      </c>
      <c r="D1620" s="603" t="s">
        <v>346</v>
      </c>
      <c r="E1620" s="613">
        <v>1.19</v>
      </c>
      <c r="F1620" s="642">
        <v>1.1299999999999999</v>
      </c>
      <c r="G1620" s="424">
        <f t="shared" ref="G1620:G1621" si="80">TRUNC(E1620*F1620,2)</f>
        <v>1.34</v>
      </c>
      <c r="H1620" s="337"/>
    </row>
    <row r="1621" spans="1:8" ht="22.5">
      <c r="A1621" s="601" t="s">
        <v>420</v>
      </c>
      <c r="B1621" s="599" t="s">
        <v>421</v>
      </c>
      <c r="C1621" s="343" t="s">
        <v>89</v>
      </c>
      <c r="D1621" s="603" t="s">
        <v>344</v>
      </c>
      <c r="E1621" s="600">
        <v>8.9999999999999993E-3</v>
      </c>
      <c r="F1621" s="414">
        <v>3.4</v>
      </c>
      <c r="G1621" s="424">
        <f t="shared" si="80"/>
        <v>0.03</v>
      </c>
      <c r="H1621" s="337"/>
    </row>
    <row r="1622" spans="1:8" ht="15" customHeight="1">
      <c r="A1622" s="1317">
        <v>88247</v>
      </c>
      <c r="B1622" s="1310" t="s">
        <v>422</v>
      </c>
      <c r="C1622" s="343" t="s">
        <v>102</v>
      </c>
      <c r="D1622" s="1314" t="s">
        <v>345</v>
      </c>
      <c r="E1622" s="1353">
        <v>0.03</v>
      </c>
      <c r="F1622" s="348">
        <f>G287</f>
        <v>10.98</v>
      </c>
      <c r="G1622" s="424">
        <f>TRUNC(E1622*F1622,2)</f>
        <v>0.32</v>
      </c>
      <c r="H1622" s="337"/>
    </row>
    <row r="1623" spans="1:8" ht="15" customHeight="1">
      <c r="A1623" s="1318"/>
      <c r="B1623" s="1311"/>
      <c r="C1623" s="343" t="s">
        <v>89</v>
      </c>
      <c r="D1623" s="1314"/>
      <c r="E1623" s="1354"/>
      <c r="F1623" s="348">
        <f>G288</f>
        <v>4.5600000000000005</v>
      </c>
      <c r="G1623" s="369">
        <f>TRUNC(E1622*F1623,2)</f>
        <v>0.13</v>
      </c>
      <c r="H1623" s="337"/>
    </row>
    <row r="1624" spans="1:8" ht="15" customHeight="1">
      <c r="A1624" s="1317">
        <v>88264</v>
      </c>
      <c r="B1624" s="1351" t="s">
        <v>249</v>
      </c>
      <c r="C1624" s="343" t="s">
        <v>102</v>
      </c>
      <c r="D1624" s="1314" t="s">
        <v>345</v>
      </c>
      <c r="E1624" s="1353">
        <v>0.03</v>
      </c>
      <c r="F1624" s="348">
        <f>G253</f>
        <v>15.639999999999999</v>
      </c>
      <c r="G1624" s="369">
        <f>TRUNC(E1624*F1624,2)</f>
        <v>0.46</v>
      </c>
      <c r="H1624" s="337"/>
    </row>
    <row r="1625" spans="1:8" ht="15" customHeight="1">
      <c r="A1625" s="1318"/>
      <c r="B1625" s="1352"/>
      <c r="C1625" s="343" t="s">
        <v>89</v>
      </c>
      <c r="D1625" s="1314"/>
      <c r="E1625" s="1354"/>
      <c r="F1625" s="348">
        <f>G254</f>
        <v>4.5600000000000005</v>
      </c>
      <c r="G1625" s="369">
        <f>TRUNC(E1624*F1625,2)</f>
        <v>0.13</v>
      </c>
      <c r="H1625" s="337"/>
    </row>
    <row r="1626" spans="1:8" ht="15" customHeight="1">
      <c r="C1626" s="133"/>
      <c r="D1626" s="130"/>
      <c r="E1626" s="426"/>
      <c r="F1626" s="427" t="s">
        <v>92</v>
      </c>
      <c r="G1626" s="379">
        <f>G1622+G1624</f>
        <v>0.78</v>
      </c>
      <c r="H1626" s="130"/>
    </row>
    <row r="1627" spans="1:8" ht="15" customHeight="1">
      <c r="C1627" s="133"/>
      <c r="D1627" s="130"/>
      <c r="E1627" s="428"/>
      <c r="F1627" s="351" t="s">
        <v>94</v>
      </c>
      <c r="G1627" s="369">
        <f>G1620+G1621+G1623+G1625</f>
        <v>1.63</v>
      </c>
      <c r="H1627" s="130"/>
    </row>
    <row r="1628" spans="1:8" ht="15" customHeight="1">
      <c r="C1628" s="133"/>
      <c r="D1628" s="130"/>
      <c r="E1628" s="428"/>
      <c r="F1628" s="351" t="s">
        <v>95</v>
      </c>
      <c r="G1628" s="370">
        <f>SUM(G1626:G1627)</f>
        <v>2.41</v>
      </c>
      <c r="H1628" s="130"/>
    </row>
    <row r="1629" spans="1:8">
      <c r="A1629" s="429"/>
      <c r="B1629" s="430"/>
      <c r="C1629" s="431"/>
      <c r="D1629" s="429"/>
      <c r="E1629" s="430"/>
      <c r="F1629" s="430"/>
      <c r="G1629" s="430"/>
      <c r="H1629" s="429"/>
    </row>
    <row r="1631" spans="1:8">
      <c r="A1631" s="130" t="s">
        <v>542</v>
      </c>
      <c r="C1631" s="133"/>
      <c r="D1631" s="130"/>
      <c r="E1631" s="135"/>
      <c r="H1631" s="337"/>
    </row>
    <row r="1632" spans="1:8">
      <c r="A1632" s="148" t="s">
        <v>1020</v>
      </c>
      <c r="C1632" s="133"/>
      <c r="D1632" s="130"/>
      <c r="E1632" s="135"/>
      <c r="H1632" s="337"/>
    </row>
    <row r="1633" spans="1:8" ht="24.75" customHeight="1">
      <c r="A1633" s="418" t="s">
        <v>820</v>
      </c>
      <c r="B1633" s="1356" t="s">
        <v>904</v>
      </c>
      <c r="C1633" s="1356"/>
      <c r="D1633" s="1356"/>
      <c r="E1633" s="419" t="s">
        <v>822</v>
      </c>
      <c r="G1633" s="419"/>
      <c r="H1633" s="337"/>
    </row>
    <row r="1634" spans="1:8" ht="22.5">
      <c r="A1634" s="624" t="s">
        <v>30</v>
      </c>
      <c r="B1634" s="420" t="s">
        <v>19</v>
      </c>
      <c r="C1634" s="343" t="s">
        <v>82</v>
      </c>
      <c r="D1634" s="603" t="s">
        <v>79</v>
      </c>
      <c r="E1634" s="603" t="s">
        <v>83</v>
      </c>
      <c r="F1634" s="345" t="s">
        <v>84</v>
      </c>
      <c r="G1634" s="421" t="s">
        <v>85</v>
      </c>
      <c r="H1634" s="337"/>
    </row>
    <row r="1635" spans="1:8" ht="22.5">
      <c r="A1635" s="601" t="s">
        <v>1021</v>
      </c>
      <c r="B1635" s="599" t="s">
        <v>1022</v>
      </c>
      <c r="C1635" s="343" t="s">
        <v>89</v>
      </c>
      <c r="D1635" s="603" t="s">
        <v>79</v>
      </c>
      <c r="E1635" s="604">
        <v>1</v>
      </c>
      <c r="F1635" s="414">
        <v>2.97</v>
      </c>
      <c r="G1635" s="424">
        <f t="shared" ref="G1635" si="81">TRUNC(E1635*F1635,2)</f>
        <v>2.97</v>
      </c>
      <c r="H1635" s="337"/>
    </row>
    <row r="1636" spans="1:8" ht="15" customHeight="1">
      <c r="A1636" s="1317">
        <v>88247</v>
      </c>
      <c r="B1636" s="1310" t="s">
        <v>422</v>
      </c>
      <c r="C1636" s="343" t="s">
        <v>102</v>
      </c>
      <c r="D1636" s="1314" t="s">
        <v>345</v>
      </c>
      <c r="E1636" s="1315">
        <v>0.129</v>
      </c>
      <c r="F1636" s="348">
        <f>G287</f>
        <v>10.98</v>
      </c>
      <c r="G1636" s="424">
        <f>TRUNC(E1636*F1636,2)</f>
        <v>1.41</v>
      </c>
      <c r="H1636" s="337"/>
    </row>
    <row r="1637" spans="1:8" ht="15" customHeight="1">
      <c r="A1637" s="1318"/>
      <c r="B1637" s="1311"/>
      <c r="C1637" s="343" t="s">
        <v>89</v>
      </c>
      <c r="D1637" s="1314"/>
      <c r="E1637" s="1316"/>
      <c r="F1637" s="348">
        <f>G288</f>
        <v>4.5600000000000005</v>
      </c>
      <c r="G1637" s="369">
        <f>TRUNC(E1636*F1637,2)</f>
        <v>0.57999999999999996</v>
      </c>
      <c r="H1637" s="337"/>
    </row>
    <row r="1638" spans="1:8" ht="15" customHeight="1">
      <c r="A1638" s="1317">
        <v>88264</v>
      </c>
      <c r="B1638" s="1351" t="s">
        <v>249</v>
      </c>
      <c r="C1638" s="343" t="s">
        <v>102</v>
      </c>
      <c r="D1638" s="1314" t="s">
        <v>345</v>
      </c>
      <c r="E1638" s="1315">
        <v>0.129</v>
      </c>
      <c r="F1638" s="348">
        <f>G253</f>
        <v>15.639999999999999</v>
      </c>
      <c r="G1638" s="369">
        <f>TRUNC(E1638*F1638,2)</f>
        <v>2.0099999999999998</v>
      </c>
      <c r="H1638" s="337"/>
    </row>
    <row r="1639" spans="1:8" ht="15" customHeight="1">
      <c r="A1639" s="1318"/>
      <c r="B1639" s="1352"/>
      <c r="C1639" s="343" t="s">
        <v>89</v>
      </c>
      <c r="D1639" s="1314"/>
      <c r="E1639" s="1316"/>
      <c r="F1639" s="348">
        <f>G254</f>
        <v>4.5600000000000005</v>
      </c>
      <c r="G1639" s="369">
        <f>TRUNC(E1638*F1639,2)</f>
        <v>0.57999999999999996</v>
      </c>
      <c r="H1639" s="337"/>
    </row>
    <row r="1640" spans="1:8" ht="15" customHeight="1">
      <c r="C1640" s="133"/>
      <c r="D1640" s="130"/>
      <c r="E1640" s="426"/>
      <c r="F1640" s="427" t="s">
        <v>92</v>
      </c>
      <c r="G1640" s="379">
        <f>G1636+G1638</f>
        <v>3.42</v>
      </c>
      <c r="H1640" s="130"/>
    </row>
    <row r="1641" spans="1:8" ht="15" customHeight="1">
      <c r="C1641" s="133"/>
      <c r="D1641" s="130"/>
      <c r="E1641" s="428"/>
      <c r="F1641" s="351" t="s">
        <v>94</v>
      </c>
      <c r="G1641" s="369">
        <f>G1635+G1637+G1639</f>
        <v>4.13</v>
      </c>
      <c r="H1641" s="130"/>
    </row>
    <row r="1642" spans="1:8" ht="15" customHeight="1">
      <c r="C1642" s="133"/>
      <c r="D1642" s="130"/>
      <c r="E1642" s="428"/>
      <c r="F1642" s="351" t="s">
        <v>95</v>
      </c>
      <c r="G1642" s="370">
        <f>SUM(G1640:G1641)</f>
        <v>7.55</v>
      </c>
      <c r="H1642" s="130"/>
    </row>
    <row r="1643" spans="1:8">
      <c r="A1643" s="429"/>
      <c r="B1643" s="430"/>
      <c r="C1643" s="431"/>
      <c r="D1643" s="429"/>
      <c r="E1643" s="430"/>
      <c r="F1643" s="430"/>
      <c r="G1643" s="430"/>
      <c r="H1643" s="429"/>
    </row>
    <row r="1645" spans="1:8">
      <c r="A1645" s="130" t="s">
        <v>542</v>
      </c>
      <c r="C1645" s="133"/>
      <c r="D1645" s="130"/>
      <c r="E1645" s="135"/>
      <c r="H1645" s="337"/>
    </row>
    <row r="1646" spans="1:8">
      <c r="A1646" s="148" t="s">
        <v>1023</v>
      </c>
      <c r="C1646" s="133"/>
      <c r="D1646" s="130"/>
      <c r="E1646" s="135"/>
      <c r="H1646" s="337"/>
    </row>
    <row r="1647" spans="1:8" ht="26.25" customHeight="1">
      <c r="A1647" s="418" t="s">
        <v>820</v>
      </c>
      <c r="B1647" s="1356" t="s">
        <v>905</v>
      </c>
      <c r="C1647" s="1356"/>
      <c r="D1647" s="1356"/>
      <c r="E1647" s="419" t="s">
        <v>822</v>
      </c>
      <c r="G1647" s="419"/>
      <c r="H1647" s="337"/>
    </row>
    <row r="1648" spans="1:8" ht="22.5">
      <c r="A1648" s="624" t="s">
        <v>30</v>
      </c>
      <c r="B1648" s="420" t="s">
        <v>19</v>
      </c>
      <c r="C1648" s="343" t="s">
        <v>82</v>
      </c>
      <c r="D1648" s="603" t="s">
        <v>79</v>
      </c>
      <c r="E1648" s="603" t="s">
        <v>83</v>
      </c>
      <c r="F1648" s="345" t="s">
        <v>84</v>
      </c>
      <c r="G1648" s="421" t="s">
        <v>85</v>
      </c>
      <c r="H1648" s="337"/>
    </row>
    <row r="1649" spans="1:8" ht="22.5">
      <c r="A1649" s="601" t="s">
        <v>1024</v>
      </c>
      <c r="B1649" s="599" t="s">
        <v>1025</v>
      </c>
      <c r="C1649" s="343" t="s">
        <v>89</v>
      </c>
      <c r="D1649" s="603" t="s">
        <v>79</v>
      </c>
      <c r="E1649" s="602">
        <v>1</v>
      </c>
      <c r="F1649" s="345">
        <v>1.66</v>
      </c>
      <c r="G1649" s="421">
        <f>TRUNC(E1649*F1649,2)</f>
        <v>1.66</v>
      </c>
      <c r="H1649" s="337"/>
    </row>
    <row r="1650" spans="1:8" ht="15" customHeight="1">
      <c r="A1650" s="1317">
        <v>88247</v>
      </c>
      <c r="B1650" s="1310" t="s">
        <v>422</v>
      </c>
      <c r="C1650" s="343" t="s">
        <v>102</v>
      </c>
      <c r="D1650" s="1314" t="s">
        <v>345</v>
      </c>
      <c r="E1650" s="1353">
        <v>0.247</v>
      </c>
      <c r="F1650" s="348">
        <f>G287</f>
        <v>10.98</v>
      </c>
      <c r="G1650" s="424">
        <f>TRUNC(E1650*F1650,2)</f>
        <v>2.71</v>
      </c>
      <c r="H1650" s="337"/>
    </row>
    <row r="1651" spans="1:8" ht="15" customHeight="1">
      <c r="A1651" s="1318"/>
      <c r="B1651" s="1311"/>
      <c r="C1651" s="343" t="s">
        <v>89</v>
      </c>
      <c r="D1651" s="1314"/>
      <c r="E1651" s="1354"/>
      <c r="F1651" s="348">
        <f>G288</f>
        <v>4.5600000000000005</v>
      </c>
      <c r="G1651" s="369">
        <f>TRUNC(E1650*F1651,2)</f>
        <v>1.1200000000000001</v>
      </c>
      <c r="H1651" s="337"/>
    </row>
    <row r="1652" spans="1:8" ht="15" customHeight="1">
      <c r="A1652" s="1317">
        <v>88264</v>
      </c>
      <c r="B1652" s="1351" t="s">
        <v>249</v>
      </c>
      <c r="C1652" s="343" t="s">
        <v>102</v>
      </c>
      <c r="D1652" s="1314" t="s">
        <v>345</v>
      </c>
      <c r="E1652" s="1353">
        <v>0.247</v>
      </c>
      <c r="F1652" s="348">
        <f>G253</f>
        <v>15.639999999999999</v>
      </c>
      <c r="G1652" s="369">
        <f>TRUNC(E1652*F1652,2)</f>
        <v>3.86</v>
      </c>
      <c r="H1652" s="337"/>
    </row>
    <row r="1653" spans="1:8" ht="15" customHeight="1">
      <c r="A1653" s="1318"/>
      <c r="B1653" s="1352"/>
      <c r="C1653" s="343" t="s">
        <v>89</v>
      </c>
      <c r="D1653" s="1314"/>
      <c r="E1653" s="1354"/>
      <c r="F1653" s="348">
        <f>G254</f>
        <v>4.5600000000000005</v>
      </c>
      <c r="G1653" s="369">
        <f>TRUNC(E1652*F1653,2)</f>
        <v>1.1200000000000001</v>
      </c>
      <c r="H1653" s="337"/>
    </row>
    <row r="1654" spans="1:8" ht="15" customHeight="1">
      <c r="A1654" s="1317">
        <v>88629</v>
      </c>
      <c r="B1654" s="1351" t="s">
        <v>1005</v>
      </c>
      <c r="C1654" s="343" t="s">
        <v>102</v>
      </c>
      <c r="D1654" s="1364" t="s">
        <v>682</v>
      </c>
      <c r="E1654" s="1353">
        <v>8.9999999999999998E-4</v>
      </c>
      <c r="F1654" s="348">
        <f>G1538</f>
        <v>94.12</v>
      </c>
      <c r="G1654" s="369">
        <f>TRUNC(E1654*F1654,2)</f>
        <v>0.08</v>
      </c>
      <c r="H1654" s="337"/>
    </row>
    <row r="1655" spans="1:8" ht="15" customHeight="1">
      <c r="A1655" s="1318"/>
      <c r="B1655" s="1352"/>
      <c r="C1655" s="343" t="s">
        <v>89</v>
      </c>
      <c r="D1655" s="1365"/>
      <c r="E1655" s="1354"/>
      <c r="F1655" s="348">
        <f>G1539</f>
        <v>319.67</v>
      </c>
      <c r="G1655" s="369">
        <f t="shared" ref="G1655" si="82">TRUNC(E1654*F1655,2)</f>
        <v>0.28000000000000003</v>
      </c>
      <c r="H1655" s="337"/>
    </row>
    <row r="1656" spans="1:8" ht="15" customHeight="1">
      <c r="C1656" s="133"/>
      <c r="D1656" s="130"/>
      <c r="E1656" s="426"/>
      <c r="F1656" s="427" t="s">
        <v>92</v>
      </c>
      <c r="G1656" s="379">
        <f>G1650+G1652+G1654</f>
        <v>6.65</v>
      </c>
      <c r="H1656" s="130"/>
    </row>
    <row r="1657" spans="1:8" ht="15" customHeight="1">
      <c r="C1657" s="133"/>
      <c r="D1657" s="130"/>
      <c r="E1657" s="428"/>
      <c r="F1657" s="351" t="s">
        <v>94</v>
      </c>
      <c r="G1657" s="369">
        <f>G1649+G1651+G1653+G1655</f>
        <v>4.1800000000000006</v>
      </c>
      <c r="H1657" s="130"/>
    </row>
    <row r="1658" spans="1:8" ht="15" customHeight="1">
      <c r="C1658" s="133"/>
      <c r="D1658" s="130"/>
      <c r="E1658" s="428"/>
      <c r="F1658" s="351" t="s">
        <v>95</v>
      </c>
      <c r="G1658" s="370">
        <f>SUM(G1656:G1657)</f>
        <v>10.830000000000002</v>
      </c>
      <c r="H1658" s="130"/>
    </row>
    <row r="1659" spans="1:8">
      <c r="A1659" s="429"/>
      <c r="B1659" s="430"/>
      <c r="C1659" s="431"/>
      <c r="D1659" s="429"/>
      <c r="E1659" s="430"/>
      <c r="F1659" s="430"/>
      <c r="G1659" s="430"/>
      <c r="H1659" s="429"/>
    </row>
    <row r="1661" spans="1:8">
      <c r="A1661" s="130" t="s">
        <v>542</v>
      </c>
      <c r="C1661" s="133"/>
      <c r="D1661" s="130"/>
      <c r="E1661" s="135"/>
      <c r="H1661" s="337"/>
    </row>
    <row r="1662" spans="1:8" ht="15" customHeight="1">
      <c r="A1662" s="148" t="s">
        <v>1528</v>
      </c>
      <c r="C1662" s="133"/>
      <c r="D1662" s="130"/>
      <c r="E1662" s="135"/>
      <c r="H1662" s="337"/>
    </row>
    <row r="1663" spans="1:8" ht="21" customHeight="1">
      <c r="A1663" s="418" t="s">
        <v>820</v>
      </c>
      <c r="B1663" s="1356" t="s">
        <v>1527</v>
      </c>
      <c r="C1663" s="1356"/>
      <c r="D1663" s="1356"/>
      <c r="E1663" s="419" t="s">
        <v>822</v>
      </c>
      <c r="G1663" s="419"/>
      <c r="H1663" s="337"/>
    </row>
    <row r="1664" spans="1:8" ht="22.5">
      <c r="A1664" s="624" t="s">
        <v>30</v>
      </c>
      <c r="B1664" s="420"/>
      <c r="C1664" s="343" t="s">
        <v>82</v>
      </c>
      <c r="D1664" s="603" t="s">
        <v>79</v>
      </c>
      <c r="E1664" s="603" t="s">
        <v>83</v>
      </c>
      <c r="F1664" s="345" t="s">
        <v>84</v>
      </c>
      <c r="G1664" s="421" t="s">
        <v>85</v>
      </c>
      <c r="H1664" s="337"/>
    </row>
    <row r="1665" spans="1:8" ht="18" customHeight="1">
      <c r="A1665" s="1317">
        <v>91946</v>
      </c>
      <c r="B1665" s="1310" t="s">
        <v>1026</v>
      </c>
      <c r="C1665" s="343" t="s">
        <v>102</v>
      </c>
      <c r="D1665" s="1314" t="s">
        <v>79</v>
      </c>
      <c r="E1665" s="1353">
        <v>1</v>
      </c>
      <c r="F1665" s="348">
        <f>G1682</f>
        <v>2.91</v>
      </c>
      <c r="G1665" s="424">
        <f>TRUNC(E1665*F1665,2)</f>
        <v>2.91</v>
      </c>
      <c r="H1665" s="337"/>
    </row>
    <row r="1666" spans="1:8" ht="18" customHeight="1">
      <c r="A1666" s="1318"/>
      <c r="B1666" s="1311"/>
      <c r="C1666" s="343" t="s">
        <v>89</v>
      </c>
      <c r="D1666" s="1314"/>
      <c r="E1666" s="1354"/>
      <c r="F1666" s="348">
        <f>G1683</f>
        <v>3.3899999999999997</v>
      </c>
      <c r="G1666" s="369">
        <f>TRUNC(E1665*F1666,2)</f>
        <v>3.39</v>
      </c>
      <c r="H1666" s="337"/>
    </row>
    <row r="1667" spans="1:8" ht="18" customHeight="1">
      <c r="A1667" s="1317">
        <v>92002</v>
      </c>
      <c r="B1667" s="1351" t="s">
        <v>1529</v>
      </c>
      <c r="C1667" s="343" t="s">
        <v>102</v>
      </c>
      <c r="D1667" s="1314" t="s">
        <v>79</v>
      </c>
      <c r="E1667" s="1353">
        <v>1</v>
      </c>
      <c r="F1667" s="348">
        <f>G1737</f>
        <v>14.77</v>
      </c>
      <c r="G1667" s="369">
        <f>TRUNC(E1667*F1667,2)</f>
        <v>14.77</v>
      </c>
      <c r="H1667" s="337"/>
    </row>
    <row r="1668" spans="1:8" ht="18" customHeight="1">
      <c r="A1668" s="1318"/>
      <c r="B1668" s="1352"/>
      <c r="C1668" s="343" t="s">
        <v>89</v>
      </c>
      <c r="D1668" s="1314"/>
      <c r="E1668" s="1354"/>
      <c r="F1668" s="348">
        <f>G1738</f>
        <v>14.079999999999998</v>
      </c>
      <c r="G1668" s="369">
        <f>TRUNC(E1667*F1668,2)</f>
        <v>14.08</v>
      </c>
      <c r="H1668" s="337"/>
    </row>
    <row r="1669" spans="1:8" ht="18" customHeight="1">
      <c r="C1669" s="133"/>
      <c r="D1669" s="130"/>
      <c r="E1669" s="426"/>
      <c r="F1669" s="427" t="s">
        <v>92</v>
      </c>
      <c r="G1669" s="379">
        <f>G1665+G1667</f>
        <v>17.68</v>
      </c>
      <c r="H1669" s="130"/>
    </row>
    <row r="1670" spans="1:8" ht="18" customHeight="1">
      <c r="C1670" s="133"/>
      <c r="D1670" s="130"/>
      <c r="E1670" s="428"/>
      <c r="F1670" s="351" t="s">
        <v>94</v>
      </c>
      <c r="G1670" s="369">
        <f>G1666+G1668</f>
        <v>17.47</v>
      </c>
      <c r="H1670" s="130"/>
    </row>
    <row r="1671" spans="1:8" ht="18" customHeight="1">
      <c r="C1671" s="133"/>
      <c r="D1671" s="130"/>
      <c r="E1671" s="428"/>
      <c r="F1671" s="351" t="s">
        <v>95</v>
      </c>
      <c r="G1671" s="370">
        <f>SUM(G1669:G1670)</f>
        <v>35.15</v>
      </c>
      <c r="H1671" s="130"/>
    </row>
    <row r="1672" spans="1:8">
      <c r="A1672" s="429"/>
      <c r="B1672" s="430"/>
      <c r="C1672" s="431"/>
      <c r="D1672" s="429"/>
      <c r="E1672" s="430"/>
      <c r="F1672" s="430"/>
      <c r="G1672" s="430"/>
      <c r="H1672" s="429"/>
    </row>
    <row r="1674" spans="1:8" ht="14.1" customHeight="1">
      <c r="A1674" s="130" t="s">
        <v>542</v>
      </c>
      <c r="C1674" s="133"/>
      <c r="D1674" s="130"/>
      <c r="E1674" s="135"/>
      <c r="H1674" s="337"/>
    </row>
    <row r="1675" spans="1:8" ht="14.1" customHeight="1">
      <c r="A1675" s="148" t="s">
        <v>819</v>
      </c>
      <c r="C1675" s="133"/>
      <c r="D1675" s="130"/>
      <c r="E1675" s="135"/>
      <c r="H1675" s="337"/>
    </row>
    <row r="1676" spans="1:8" ht="24" customHeight="1">
      <c r="A1676" s="418" t="s">
        <v>820</v>
      </c>
      <c r="B1676" s="1356" t="s">
        <v>821</v>
      </c>
      <c r="C1676" s="1356"/>
      <c r="D1676" s="1356"/>
      <c r="E1676" s="419" t="s">
        <v>822</v>
      </c>
      <c r="G1676" s="419"/>
      <c r="H1676" s="337"/>
    </row>
    <row r="1677" spans="1:8" ht="22.5">
      <c r="A1677" s="415" t="s">
        <v>30</v>
      </c>
      <c r="B1677" s="420" t="s">
        <v>19</v>
      </c>
      <c r="C1677" s="343" t="s">
        <v>82</v>
      </c>
      <c r="D1677" s="344" t="s">
        <v>79</v>
      </c>
      <c r="E1677" s="344" t="s">
        <v>83</v>
      </c>
      <c r="F1677" s="345" t="s">
        <v>84</v>
      </c>
      <c r="G1677" s="421" t="s">
        <v>85</v>
      </c>
      <c r="H1677" s="337"/>
    </row>
    <row r="1678" spans="1:8" ht="22.5">
      <c r="A1678" s="433" t="s">
        <v>823</v>
      </c>
      <c r="B1678" s="422" t="s">
        <v>824</v>
      </c>
      <c r="C1678" s="343" t="s">
        <v>89</v>
      </c>
      <c r="D1678" s="344" t="s">
        <v>344</v>
      </c>
      <c r="E1678" s="423">
        <v>1</v>
      </c>
      <c r="F1678" s="414">
        <v>1.68</v>
      </c>
      <c r="G1678" s="424">
        <f t="shared" ref="G1678:G1679" si="83">TRUNC(E1678*F1678,2)</f>
        <v>1.68</v>
      </c>
      <c r="H1678" s="337"/>
    </row>
    <row r="1679" spans="1:8" ht="33.75">
      <c r="A1679" s="433" t="s">
        <v>825</v>
      </c>
      <c r="B1679" s="422" t="s">
        <v>826</v>
      </c>
      <c r="C1679" s="343" t="s">
        <v>89</v>
      </c>
      <c r="D1679" s="344" t="s">
        <v>79</v>
      </c>
      <c r="E1679" s="423">
        <v>1</v>
      </c>
      <c r="F1679" s="345">
        <v>0.87</v>
      </c>
      <c r="G1679" s="424">
        <f t="shared" si="83"/>
        <v>0.87</v>
      </c>
      <c r="H1679" s="337"/>
    </row>
    <row r="1680" spans="1:8" ht="14.1" customHeight="1">
      <c r="A1680" s="1317">
        <v>88264</v>
      </c>
      <c r="B1680" s="1351" t="s">
        <v>249</v>
      </c>
      <c r="C1680" s="343" t="s">
        <v>102</v>
      </c>
      <c r="D1680" s="1314" t="s">
        <v>345</v>
      </c>
      <c r="E1680" s="1353">
        <v>0.1862</v>
      </c>
      <c r="F1680" s="348">
        <f>G253</f>
        <v>15.639999999999999</v>
      </c>
      <c r="G1680" s="369">
        <f>TRUNC(E1680*F1680,2)</f>
        <v>2.91</v>
      </c>
      <c r="H1680" s="337"/>
    </row>
    <row r="1681" spans="1:9" ht="14.1" customHeight="1">
      <c r="A1681" s="1318"/>
      <c r="B1681" s="1352"/>
      <c r="C1681" s="343" t="s">
        <v>89</v>
      </c>
      <c r="D1681" s="1314"/>
      <c r="E1681" s="1354"/>
      <c r="F1681" s="348">
        <f>G254</f>
        <v>4.5600000000000005</v>
      </c>
      <c r="G1681" s="369">
        <f>TRUNC(E1680*F1681,2)</f>
        <v>0.84</v>
      </c>
      <c r="H1681" s="337"/>
    </row>
    <row r="1682" spans="1:9" ht="14.1" customHeight="1">
      <c r="C1682" s="133"/>
      <c r="D1682" s="350"/>
      <c r="E1682" s="426"/>
      <c r="F1682" s="427" t="s">
        <v>92</v>
      </c>
      <c r="G1682" s="379">
        <f>G1680</f>
        <v>2.91</v>
      </c>
      <c r="H1682" s="130"/>
    </row>
    <row r="1683" spans="1:9" ht="14.1" customHeight="1">
      <c r="C1683" s="133"/>
      <c r="D1683" s="350"/>
      <c r="E1683" s="428"/>
      <c r="F1683" s="351" t="s">
        <v>94</v>
      </c>
      <c r="G1683" s="369">
        <f>G1678+G1679+G1681</f>
        <v>3.3899999999999997</v>
      </c>
      <c r="H1683" s="130"/>
    </row>
    <row r="1684" spans="1:9" ht="14.1" customHeight="1">
      <c r="C1684" s="133"/>
      <c r="D1684" s="350"/>
      <c r="E1684" s="428"/>
      <c r="F1684" s="351" t="s">
        <v>95</v>
      </c>
      <c r="G1684" s="370">
        <f>SUM(G1682:G1683)</f>
        <v>6.3</v>
      </c>
      <c r="H1684" s="130"/>
    </row>
    <row r="1685" spans="1:9">
      <c r="A1685" s="429"/>
      <c r="B1685" s="430"/>
      <c r="C1685" s="431"/>
      <c r="D1685" s="429"/>
      <c r="E1685" s="430"/>
      <c r="F1685" s="430"/>
      <c r="G1685" s="430"/>
      <c r="H1685" s="429"/>
      <c r="I1685" s="429"/>
    </row>
    <row r="1687" spans="1:9" ht="14.1" customHeight="1">
      <c r="A1687" s="130" t="s">
        <v>542</v>
      </c>
      <c r="C1687" s="133"/>
      <c r="D1687" s="130"/>
      <c r="E1687" s="135"/>
      <c r="H1687" s="337"/>
    </row>
    <row r="1688" spans="1:9" ht="14.1" customHeight="1">
      <c r="A1688" s="148" t="s">
        <v>1058</v>
      </c>
      <c r="C1688" s="133"/>
      <c r="D1688" s="130"/>
      <c r="E1688" s="135"/>
      <c r="H1688" s="337"/>
    </row>
    <row r="1689" spans="1:9" ht="27" customHeight="1">
      <c r="A1689" s="418" t="s">
        <v>820</v>
      </c>
      <c r="B1689" s="1356" t="s">
        <v>1059</v>
      </c>
      <c r="C1689" s="1356"/>
      <c r="D1689" s="1356"/>
      <c r="E1689" s="472" t="s">
        <v>822</v>
      </c>
      <c r="G1689" s="419"/>
      <c r="H1689" s="337"/>
    </row>
    <row r="1690" spans="1:9" ht="22.5">
      <c r="A1690" s="624" t="s">
        <v>30</v>
      </c>
      <c r="B1690" s="420" t="s">
        <v>19</v>
      </c>
      <c r="C1690" s="343" t="s">
        <v>82</v>
      </c>
      <c r="D1690" s="603" t="s">
        <v>79</v>
      </c>
      <c r="E1690" s="603" t="s">
        <v>83</v>
      </c>
      <c r="F1690" s="345" t="s">
        <v>84</v>
      </c>
      <c r="G1690" s="421" t="s">
        <v>85</v>
      </c>
      <c r="H1690" s="337"/>
    </row>
    <row r="1691" spans="1:9" ht="15" customHeight="1">
      <c r="A1691" s="601" t="s">
        <v>829</v>
      </c>
      <c r="B1691" s="599" t="s">
        <v>830</v>
      </c>
      <c r="C1691" s="343" t="s">
        <v>89</v>
      </c>
      <c r="D1691" s="603" t="s">
        <v>79</v>
      </c>
      <c r="E1691" s="602">
        <v>2</v>
      </c>
      <c r="F1691" s="345">
        <v>3.96</v>
      </c>
      <c r="G1691" s="421">
        <f>TRUNC(E1691*F1691,2)</f>
        <v>7.92</v>
      </c>
      <c r="H1691" s="337"/>
    </row>
    <row r="1692" spans="1:9" ht="15" customHeight="1">
      <c r="A1692" s="1317">
        <v>88247</v>
      </c>
      <c r="B1692" s="1310" t="s">
        <v>422</v>
      </c>
      <c r="C1692" s="343" t="s">
        <v>102</v>
      </c>
      <c r="D1692" s="1314" t="s">
        <v>345</v>
      </c>
      <c r="E1692" s="1353">
        <v>0.247</v>
      </c>
      <c r="F1692" s="348">
        <f>G287</f>
        <v>10.98</v>
      </c>
      <c r="G1692" s="424">
        <f>TRUNC(E1692*F1692,2)</f>
        <v>2.71</v>
      </c>
      <c r="H1692" s="337"/>
    </row>
    <row r="1693" spans="1:9" ht="15" customHeight="1">
      <c r="A1693" s="1318"/>
      <c r="B1693" s="1311"/>
      <c r="C1693" s="343" t="s">
        <v>89</v>
      </c>
      <c r="D1693" s="1314"/>
      <c r="E1693" s="1354"/>
      <c r="F1693" s="348">
        <f>G288</f>
        <v>4.5600000000000005</v>
      </c>
      <c r="G1693" s="369">
        <f>TRUNC(E1692*F1693,2)</f>
        <v>1.1200000000000001</v>
      </c>
      <c r="H1693" s="337"/>
    </row>
    <row r="1694" spans="1:9" ht="15" customHeight="1">
      <c r="A1694" s="1317">
        <v>88264</v>
      </c>
      <c r="B1694" s="1351" t="s">
        <v>249</v>
      </c>
      <c r="C1694" s="343" t="s">
        <v>102</v>
      </c>
      <c r="D1694" s="1314" t="s">
        <v>345</v>
      </c>
      <c r="E1694" s="1353">
        <v>0.247</v>
      </c>
      <c r="F1694" s="348">
        <f>G253</f>
        <v>15.639999999999999</v>
      </c>
      <c r="G1694" s="369">
        <f>TRUNC(E1694*F1694,2)</f>
        <v>3.86</v>
      </c>
      <c r="H1694" s="337"/>
    </row>
    <row r="1695" spans="1:9" ht="15" customHeight="1">
      <c r="A1695" s="1318"/>
      <c r="B1695" s="1352"/>
      <c r="C1695" s="343" t="s">
        <v>89</v>
      </c>
      <c r="D1695" s="1314"/>
      <c r="E1695" s="1354"/>
      <c r="F1695" s="348">
        <f>G254</f>
        <v>4.5600000000000005</v>
      </c>
      <c r="G1695" s="369">
        <f>TRUNC(E1694*F1695,2)</f>
        <v>1.1200000000000001</v>
      </c>
      <c r="H1695" s="337"/>
    </row>
    <row r="1696" spans="1:9" ht="15" customHeight="1">
      <c r="C1696" s="133"/>
      <c r="D1696" s="350"/>
      <c r="E1696" s="426"/>
      <c r="F1696" s="427" t="s">
        <v>92</v>
      </c>
      <c r="G1696" s="379">
        <f>G1692+G1694</f>
        <v>6.57</v>
      </c>
      <c r="H1696" s="130"/>
    </row>
    <row r="1697" spans="1:8" ht="15" customHeight="1">
      <c r="C1697" s="133"/>
      <c r="D1697" s="350"/>
      <c r="E1697" s="428"/>
      <c r="F1697" s="351" t="s">
        <v>94</v>
      </c>
      <c r="G1697" s="369">
        <f>G1691+G1693+G1695</f>
        <v>10.16</v>
      </c>
      <c r="H1697" s="130"/>
    </row>
    <row r="1698" spans="1:8" ht="15" customHeight="1">
      <c r="C1698" s="133"/>
      <c r="D1698" s="350"/>
      <c r="E1698" s="428"/>
      <c r="F1698" s="351" t="s">
        <v>95</v>
      </c>
      <c r="G1698" s="370">
        <f>SUM(G1696:G1697)</f>
        <v>16.73</v>
      </c>
      <c r="H1698" s="130"/>
    </row>
    <row r="1699" spans="1:8">
      <c r="A1699" s="429"/>
      <c r="B1699" s="430"/>
      <c r="C1699" s="431"/>
      <c r="D1699" s="429"/>
      <c r="E1699" s="430"/>
      <c r="F1699" s="430"/>
      <c r="G1699" s="430"/>
      <c r="H1699" s="429"/>
    </row>
    <row r="1701" spans="1:8" ht="14.1" customHeight="1">
      <c r="A1701" s="130" t="s">
        <v>542</v>
      </c>
      <c r="C1701" s="133"/>
      <c r="D1701" s="130"/>
      <c r="E1701" s="135"/>
      <c r="H1701" s="337"/>
    </row>
    <row r="1702" spans="1:8" ht="14.1" customHeight="1">
      <c r="A1702" s="148" t="s">
        <v>1056</v>
      </c>
      <c r="C1702" s="133"/>
      <c r="D1702" s="130"/>
      <c r="E1702" s="135"/>
      <c r="H1702" s="337"/>
    </row>
    <row r="1703" spans="1:8" ht="27.75" customHeight="1">
      <c r="A1703" s="418" t="s">
        <v>820</v>
      </c>
      <c r="B1703" s="1356" t="s">
        <v>1055</v>
      </c>
      <c r="C1703" s="1356"/>
      <c r="D1703" s="1356"/>
      <c r="E1703" s="472" t="s">
        <v>822</v>
      </c>
      <c r="G1703" s="419"/>
      <c r="H1703" s="337"/>
    </row>
    <row r="1704" spans="1:8" ht="22.5">
      <c r="A1704" s="624" t="s">
        <v>30</v>
      </c>
      <c r="B1704" s="420" t="s">
        <v>19</v>
      </c>
      <c r="C1704" s="343" t="s">
        <v>82</v>
      </c>
      <c r="D1704" s="603" t="s">
        <v>79</v>
      </c>
      <c r="E1704" s="603" t="s">
        <v>83</v>
      </c>
      <c r="F1704" s="345" t="s">
        <v>84</v>
      </c>
      <c r="G1704" s="421" t="s">
        <v>85</v>
      </c>
      <c r="H1704" s="337"/>
    </row>
    <row r="1705" spans="1:8" ht="18" customHeight="1">
      <c r="A1705" s="1317">
        <v>91946</v>
      </c>
      <c r="B1705" s="1310" t="s">
        <v>821</v>
      </c>
      <c r="C1705" s="343" t="s">
        <v>102</v>
      </c>
      <c r="D1705" s="1314" t="s">
        <v>344</v>
      </c>
      <c r="E1705" s="1315">
        <v>1</v>
      </c>
      <c r="F1705" s="348">
        <f>G1682</f>
        <v>2.91</v>
      </c>
      <c r="G1705" s="424">
        <f>TRUNC(E1705*F1705,2)</f>
        <v>2.91</v>
      </c>
      <c r="H1705" s="337"/>
    </row>
    <row r="1706" spans="1:8" ht="18" customHeight="1">
      <c r="A1706" s="1318"/>
      <c r="B1706" s="1311"/>
      <c r="C1706" s="343" t="s">
        <v>89</v>
      </c>
      <c r="D1706" s="1314"/>
      <c r="E1706" s="1316"/>
      <c r="F1706" s="348">
        <f>G1683</f>
        <v>3.3899999999999997</v>
      </c>
      <c r="G1706" s="369">
        <f>TRUNC(E1705*F1706,2)</f>
        <v>3.39</v>
      </c>
      <c r="H1706" s="337"/>
    </row>
    <row r="1707" spans="1:8" ht="15" customHeight="1">
      <c r="A1707" s="1317">
        <v>91952</v>
      </c>
      <c r="B1707" s="1351" t="s">
        <v>1057</v>
      </c>
      <c r="C1707" s="343" t="s">
        <v>102</v>
      </c>
      <c r="D1707" s="1314" t="s">
        <v>344</v>
      </c>
      <c r="E1707" s="1315">
        <v>1</v>
      </c>
      <c r="F1707" s="348">
        <f>G1696</f>
        <v>6.57</v>
      </c>
      <c r="G1707" s="369">
        <f>TRUNC(E1707*F1707,2)</f>
        <v>6.57</v>
      </c>
      <c r="H1707" s="337"/>
    </row>
    <row r="1708" spans="1:8" ht="15" customHeight="1">
      <c r="A1708" s="1318"/>
      <c r="B1708" s="1352"/>
      <c r="C1708" s="343" t="s">
        <v>89</v>
      </c>
      <c r="D1708" s="1314"/>
      <c r="E1708" s="1316"/>
      <c r="F1708" s="348">
        <f>G1697</f>
        <v>10.16</v>
      </c>
      <c r="G1708" s="369">
        <f>TRUNC(E1707*F1708,2)</f>
        <v>10.16</v>
      </c>
      <c r="H1708" s="337"/>
    </row>
    <row r="1709" spans="1:8" ht="14.1" customHeight="1">
      <c r="C1709" s="133"/>
      <c r="D1709" s="350"/>
      <c r="E1709" s="426"/>
      <c r="F1709" s="427" t="s">
        <v>92</v>
      </c>
      <c r="G1709" s="379">
        <f>G1705+G1707</f>
        <v>9.48</v>
      </c>
      <c r="H1709" s="130"/>
    </row>
    <row r="1710" spans="1:8" ht="14.1" customHeight="1">
      <c r="C1710" s="133"/>
      <c r="D1710" s="350"/>
      <c r="E1710" s="428"/>
      <c r="F1710" s="351" t="s">
        <v>94</v>
      </c>
      <c r="G1710" s="369">
        <f>G1706+G1708</f>
        <v>13.55</v>
      </c>
      <c r="H1710" s="130"/>
    </row>
    <row r="1711" spans="1:8" ht="14.1" customHeight="1">
      <c r="C1711" s="133"/>
      <c r="D1711" s="350"/>
      <c r="E1711" s="428"/>
      <c r="F1711" s="351" t="s">
        <v>95</v>
      </c>
      <c r="G1711" s="370">
        <f>SUM(G1709:G1710)</f>
        <v>23.03</v>
      </c>
      <c r="H1711" s="130"/>
    </row>
    <row r="1712" spans="1:8">
      <c r="A1712" s="429"/>
      <c r="B1712" s="430"/>
      <c r="C1712" s="431"/>
      <c r="D1712" s="429"/>
      <c r="E1712" s="430"/>
      <c r="F1712" s="430"/>
      <c r="G1712" s="430"/>
      <c r="H1712" s="429"/>
    </row>
    <row r="1714" spans="1:9" ht="14.1" customHeight="1">
      <c r="A1714" s="130" t="s">
        <v>542</v>
      </c>
      <c r="C1714" s="133"/>
      <c r="D1714" s="130"/>
      <c r="E1714" s="135"/>
      <c r="H1714" s="337"/>
    </row>
    <row r="1715" spans="1:9" ht="14.1" customHeight="1">
      <c r="A1715" s="148" t="s">
        <v>827</v>
      </c>
      <c r="C1715" s="133"/>
      <c r="D1715" s="130"/>
      <c r="E1715" s="135"/>
      <c r="H1715" s="337"/>
    </row>
    <row r="1716" spans="1:9" ht="25.5" customHeight="1">
      <c r="A1716" s="418" t="s">
        <v>820</v>
      </c>
      <c r="B1716" s="1356" t="s">
        <v>828</v>
      </c>
      <c r="C1716" s="1356"/>
      <c r="D1716" s="1356"/>
      <c r="E1716" s="419" t="s">
        <v>822</v>
      </c>
      <c r="G1716" s="419"/>
      <c r="H1716" s="337"/>
    </row>
    <row r="1717" spans="1:9" ht="22.5">
      <c r="A1717" s="415" t="s">
        <v>30</v>
      </c>
      <c r="B1717" s="420" t="s">
        <v>19</v>
      </c>
      <c r="C1717" s="343" t="s">
        <v>82</v>
      </c>
      <c r="D1717" s="344" t="s">
        <v>79</v>
      </c>
      <c r="E1717" s="344" t="s">
        <v>83</v>
      </c>
      <c r="F1717" s="345" t="s">
        <v>84</v>
      </c>
      <c r="G1717" s="421" t="s">
        <v>85</v>
      </c>
      <c r="H1717" s="337"/>
    </row>
    <row r="1718" spans="1:9" ht="14.1" customHeight="1">
      <c r="A1718" s="433" t="s">
        <v>829</v>
      </c>
      <c r="B1718" s="422" t="s">
        <v>830</v>
      </c>
      <c r="C1718" s="343" t="s">
        <v>89</v>
      </c>
      <c r="D1718" s="344" t="s">
        <v>79</v>
      </c>
      <c r="E1718" s="405">
        <v>2</v>
      </c>
      <c r="F1718" s="345">
        <v>3.96</v>
      </c>
      <c r="G1718" s="421">
        <f>TRUNC(E1718*F1718,2)</f>
        <v>7.92</v>
      </c>
      <c r="H1718" s="337"/>
    </row>
    <row r="1719" spans="1:9" ht="14.1" customHeight="1">
      <c r="A1719" s="1317">
        <v>88247</v>
      </c>
      <c r="B1719" s="1310" t="s">
        <v>422</v>
      </c>
      <c r="C1719" s="343" t="s">
        <v>102</v>
      </c>
      <c r="D1719" s="1314" t="s">
        <v>345</v>
      </c>
      <c r="E1719" s="1353">
        <v>0.247</v>
      </c>
      <c r="F1719" s="348">
        <f>G287</f>
        <v>10.98</v>
      </c>
      <c r="G1719" s="424">
        <f>TRUNC(E1719*F1719,2)</f>
        <v>2.71</v>
      </c>
      <c r="H1719" s="337"/>
    </row>
    <row r="1720" spans="1:9" ht="14.1" customHeight="1">
      <c r="A1720" s="1318"/>
      <c r="B1720" s="1311"/>
      <c r="C1720" s="343" t="s">
        <v>89</v>
      </c>
      <c r="D1720" s="1314"/>
      <c r="E1720" s="1354"/>
      <c r="F1720" s="348">
        <f>G288</f>
        <v>4.5600000000000005</v>
      </c>
      <c r="G1720" s="369">
        <f>TRUNC(E1719*F1720,2)</f>
        <v>1.1200000000000001</v>
      </c>
      <c r="H1720" s="337"/>
    </row>
    <row r="1721" spans="1:9" ht="14.1" customHeight="1">
      <c r="A1721" s="1317">
        <v>88264</v>
      </c>
      <c r="B1721" s="1351" t="s">
        <v>249</v>
      </c>
      <c r="C1721" s="343" t="s">
        <v>102</v>
      </c>
      <c r="D1721" s="1314" t="s">
        <v>345</v>
      </c>
      <c r="E1721" s="1353">
        <v>0.247</v>
      </c>
      <c r="F1721" s="348">
        <f>G253</f>
        <v>15.639999999999999</v>
      </c>
      <c r="G1721" s="369">
        <f>TRUNC(E1721*F1721,2)</f>
        <v>3.86</v>
      </c>
      <c r="H1721" s="337"/>
    </row>
    <row r="1722" spans="1:9" ht="14.1" customHeight="1">
      <c r="A1722" s="1318"/>
      <c r="B1722" s="1352"/>
      <c r="C1722" s="343" t="s">
        <v>89</v>
      </c>
      <c r="D1722" s="1314"/>
      <c r="E1722" s="1354"/>
      <c r="F1722" s="348">
        <f>G254</f>
        <v>4.5600000000000005</v>
      </c>
      <c r="G1722" s="369">
        <f>TRUNC(E1721*F1722,2)</f>
        <v>1.1200000000000001</v>
      </c>
      <c r="H1722" s="337"/>
    </row>
    <row r="1723" spans="1:9" ht="14.1" customHeight="1">
      <c r="C1723" s="133"/>
      <c r="D1723" s="350"/>
      <c r="E1723" s="426"/>
      <c r="F1723" s="427" t="s">
        <v>92</v>
      </c>
      <c r="G1723" s="379">
        <f>G1719+G1721</f>
        <v>6.57</v>
      </c>
      <c r="H1723" s="130"/>
    </row>
    <row r="1724" spans="1:9" ht="14.1" customHeight="1">
      <c r="C1724" s="133"/>
      <c r="D1724" s="350"/>
      <c r="E1724" s="428"/>
      <c r="F1724" s="351" t="s">
        <v>94</v>
      </c>
      <c r="G1724" s="369">
        <f>G1718+G1720+G1722</f>
        <v>10.16</v>
      </c>
      <c r="H1724" s="130"/>
    </row>
    <row r="1725" spans="1:9" ht="14.1" customHeight="1">
      <c r="C1725" s="133"/>
      <c r="D1725" s="350"/>
      <c r="E1725" s="428"/>
      <c r="F1725" s="351" t="s">
        <v>95</v>
      </c>
      <c r="G1725" s="370">
        <f>SUM(G1723:G1724)</f>
        <v>16.73</v>
      </c>
      <c r="H1725" s="130"/>
    </row>
    <row r="1726" spans="1:9">
      <c r="A1726" s="429"/>
      <c r="B1726" s="430"/>
      <c r="C1726" s="431"/>
      <c r="D1726" s="429"/>
      <c r="E1726" s="430"/>
      <c r="F1726" s="430"/>
      <c r="G1726" s="430"/>
      <c r="H1726" s="429"/>
      <c r="I1726" s="429"/>
    </row>
    <row r="1728" spans="1:9" ht="14.1" customHeight="1">
      <c r="A1728" s="130" t="s">
        <v>542</v>
      </c>
      <c r="C1728" s="133"/>
      <c r="D1728" s="130"/>
      <c r="E1728" s="135"/>
      <c r="H1728" s="337"/>
    </row>
    <row r="1729" spans="1:8" ht="14.1" customHeight="1">
      <c r="A1729" s="148" t="s">
        <v>1530</v>
      </c>
      <c r="C1729" s="133"/>
      <c r="D1729" s="130"/>
      <c r="E1729" s="135"/>
      <c r="H1729" s="337"/>
    </row>
    <row r="1730" spans="1:8" ht="26.25" customHeight="1">
      <c r="A1730" s="418" t="s">
        <v>820</v>
      </c>
      <c r="B1730" s="1356" t="s">
        <v>1529</v>
      </c>
      <c r="C1730" s="1356"/>
      <c r="D1730" s="1356"/>
      <c r="E1730" s="472" t="s">
        <v>822</v>
      </c>
      <c r="G1730" s="419"/>
      <c r="H1730" s="337"/>
    </row>
    <row r="1731" spans="1:8" ht="22.5">
      <c r="A1731" s="624" t="s">
        <v>30</v>
      </c>
      <c r="B1731" s="420" t="s">
        <v>19</v>
      </c>
      <c r="C1731" s="343" t="s">
        <v>82</v>
      </c>
      <c r="D1731" s="603" t="s">
        <v>79</v>
      </c>
      <c r="E1731" s="603" t="s">
        <v>83</v>
      </c>
      <c r="F1731" s="345" t="s">
        <v>84</v>
      </c>
      <c r="G1731" s="421" t="s">
        <v>85</v>
      </c>
      <c r="H1731" s="337"/>
    </row>
    <row r="1732" spans="1:8" ht="15" customHeight="1">
      <c r="A1732" s="601" t="s">
        <v>833</v>
      </c>
      <c r="B1732" s="599" t="s">
        <v>834</v>
      </c>
      <c r="C1732" s="343" t="s">
        <v>89</v>
      </c>
      <c r="D1732" s="603" t="s">
        <v>79</v>
      </c>
      <c r="E1732" s="602">
        <v>2</v>
      </c>
      <c r="F1732" s="345">
        <v>4.51</v>
      </c>
      <c r="G1732" s="421">
        <f>TRUNC(E1732*F1732,2)</f>
        <v>9.02</v>
      </c>
      <c r="H1732" s="337"/>
    </row>
    <row r="1733" spans="1:8" ht="15" customHeight="1">
      <c r="A1733" s="1317">
        <v>88247</v>
      </c>
      <c r="B1733" s="1310" t="s">
        <v>422</v>
      </c>
      <c r="C1733" s="343" t="s">
        <v>102</v>
      </c>
      <c r="D1733" s="1314" t="s">
        <v>345</v>
      </c>
      <c r="E1733" s="1353">
        <v>0.55500000000000005</v>
      </c>
      <c r="F1733" s="348">
        <f>G287</f>
        <v>10.98</v>
      </c>
      <c r="G1733" s="424">
        <f>TRUNC(E1733*F1733,2)</f>
        <v>6.09</v>
      </c>
      <c r="H1733" s="337"/>
    </row>
    <row r="1734" spans="1:8" ht="15" customHeight="1">
      <c r="A1734" s="1318"/>
      <c r="B1734" s="1311"/>
      <c r="C1734" s="343" t="s">
        <v>89</v>
      </c>
      <c r="D1734" s="1314"/>
      <c r="E1734" s="1354"/>
      <c r="F1734" s="348">
        <f>G288</f>
        <v>4.5600000000000005</v>
      </c>
      <c r="G1734" s="369">
        <f>TRUNC(E1733*F1734,2)</f>
        <v>2.5299999999999998</v>
      </c>
      <c r="H1734" s="337"/>
    </row>
    <row r="1735" spans="1:8" ht="15" customHeight="1">
      <c r="A1735" s="1317">
        <v>88264</v>
      </c>
      <c r="B1735" s="1351" t="s">
        <v>249</v>
      </c>
      <c r="C1735" s="343" t="s">
        <v>102</v>
      </c>
      <c r="D1735" s="1314" t="s">
        <v>345</v>
      </c>
      <c r="E1735" s="1353">
        <v>0.55500000000000005</v>
      </c>
      <c r="F1735" s="348">
        <f>G253</f>
        <v>15.639999999999999</v>
      </c>
      <c r="G1735" s="369">
        <f>TRUNC(E1735*F1735,2)</f>
        <v>8.68</v>
      </c>
      <c r="H1735" s="337"/>
    </row>
    <row r="1736" spans="1:8" ht="15" customHeight="1">
      <c r="A1736" s="1318"/>
      <c r="B1736" s="1352"/>
      <c r="C1736" s="343" t="s">
        <v>89</v>
      </c>
      <c r="D1736" s="1314"/>
      <c r="E1736" s="1354"/>
      <c r="F1736" s="348">
        <f>G254</f>
        <v>4.5600000000000005</v>
      </c>
      <c r="G1736" s="369">
        <f>TRUNC(E1735*F1736,2)</f>
        <v>2.5299999999999998</v>
      </c>
      <c r="H1736" s="337"/>
    </row>
    <row r="1737" spans="1:8" ht="15" customHeight="1">
      <c r="C1737" s="133"/>
      <c r="D1737" s="350"/>
      <c r="E1737" s="426"/>
      <c r="F1737" s="427" t="s">
        <v>92</v>
      </c>
      <c r="G1737" s="379">
        <f>G1733+G1735</f>
        <v>14.77</v>
      </c>
      <c r="H1737" s="130"/>
    </row>
    <row r="1738" spans="1:8" ht="15" customHeight="1">
      <c r="C1738" s="133"/>
      <c r="D1738" s="350"/>
      <c r="E1738" s="428"/>
      <c r="F1738" s="351" t="s">
        <v>94</v>
      </c>
      <c r="G1738" s="369">
        <f>G1732+G1734+G1736</f>
        <v>14.079999999999998</v>
      </c>
      <c r="H1738" s="130"/>
    </row>
    <row r="1739" spans="1:8" ht="15" customHeight="1">
      <c r="C1739" s="133"/>
      <c r="D1739" s="350"/>
      <c r="E1739" s="428"/>
      <c r="F1739" s="351" t="s">
        <v>95</v>
      </c>
      <c r="G1739" s="370">
        <f>SUM(G1737:G1738)</f>
        <v>28.849999999999998</v>
      </c>
      <c r="H1739" s="130"/>
    </row>
    <row r="1740" spans="1:8">
      <c r="A1740" s="429"/>
      <c r="B1740" s="430"/>
      <c r="C1740" s="431"/>
      <c r="D1740" s="429"/>
      <c r="E1740" s="430"/>
      <c r="F1740" s="430"/>
      <c r="G1740" s="430"/>
      <c r="H1740" s="429"/>
    </row>
    <row r="1742" spans="1:8" ht="14.1" customHeight="1">
      <c r="A1742" s="130" t="s">
        <v>542</v>
      </c>
      <c r="C1742" s="133"/>
      <c r="D1742" s="130"/>
      <c r="E1742" s="135"/>
      <c r="H1742" s="337"/>
    </row>
    <row r="1743" spans="1:8" ht="14.1" customHeight="1">
      <c r="A1743" s="148" t="s">
        <v>831</v>
      </c>
      <c r="C1743" s="133"/>
      <c r="D1743" s="130"/>
      <c r="E1743" s="135"/>
      <c r="H1743" s="337"/>
    </row>
    <row r="1744" spans="1:8" ht="24" customHeight="1">
      <c r="A1744" s="418" t="s">
        <v>820</v>
      </c>
      <c r="B1744" s="1356" t="s">
        <v>832</v>
      </c>
      <c r="C1744" s="1356"/>
      <c r="D1744" s="1356"/>
      <c r="E1744" s="472" t="s">
        <v>822</v>
      </c>
      <c r="G1744" s="419"/>
      <c r="H1744" s="337"/>
    </row>
    <row r="1745" spans="1:9" ht="22.5">
      <c r="A1745" s="415" t="s">
        <v>30</v>
      </c>
      <c r="B1745" s="420" t="s">
        <v>19</v>
      </c>
      <c r="C1745" s="343" t="s">
        <v>82</v>
      </c>
      <c r="D1745" s="344" t="s">
        <v>79</v>
      </c>
      <c r="E1745" s="344" t="s">
        <v>83</v>
      </c>
      <c r="F1745" s="345" t="s">
        <v>84</v>
      </c>
      <c r="G1745" s="421" t="s">
        <v>85</v>
      </c>
      <c r="H1745" s="337"/>
    </row>
    <row r="1746" spans="1:9" ht="14.1" customHeight="1">
      <c r="A1746" s="1317">
        <v>88247</v>
      </c>
      <c r="B1746" s="1310" t="s">
        <v>422</v>
      </c>
      <c r="C1746" s="343" t="s">
        <v>102</v>
      </c>
      <c r="D1746" s="1314" t="s">
        <v>345</v>
      </c>
      <c r="E1746" s="1353">
        <v>0.308</v>
      </c>
      <c r="F1746" s="348">
        <f>G287</f>
        <v>10.98</v>
      </c>
      <c r="G1746" s="424">
        <f>TRUNC(E1746*F1746,2)</f>
        <v>3.38</v>
      </c>
      <c r="H1746" s="337"/>
    </row>
    <row r="1747" spans="1:9" ht="14.1" customHeight="1">
      <c r="A1747" s="1318"/>
      <c r="B1747" s="1311"/>
      <c r="C1747" s="343" t="s">
        <v>89</v>
      </c>
      <c r="D1747" s="1314"/>
      <c r="E1747" s="1354"/>
      <c r="F1747" s="348">
        <f>G288</f>
        <v>4.5600000000000005</v>
      </c>
      <c r="G1747" s="369">
        <f>TRUNC(E1746*F1747,2)</f>
        <v>1.4</v>
      </c>
      <c r="H1747" s="337"/>
    </row>
    <row r="1748" spans="1:9" ht="14.1" customHeight="1">
      <c r="A1748" s="1317">
        <v>88264</v>
      </c>
      <c r="B1748" s="1351" t="s">
        <v>249</v>
      </c>
      <c r="C1748" s="343" t="s">
        <v>102</v>
      </c>
      <c r="D1748" s="1314" t="s">
        <v>345</v>
      </c>
      <c r="E1748" s="1353">
        <v>0.308</v>
      </c>
      <c r="F1748" s="348">
        <f>G253</f>
        <v>15.639999999999999</v>
      </c>
      <c r="G1748" s="369">
        <f>TRUNC(E1748*F1748,2)</f>
        <v>4.8099999999999996</v>
      </c>
      <c r="H1748" s="337"/>
    </row>
    <row r="1749" spans="1:9" ht="14.1" customHeight="1">
      <c r="A1749" s="1318"/>
      <c r="B1749" s="1352"/>
      <c r="C1749" s="343" t="s">
        <v>89</v>
      </c>
      <c r="D1749" s="1314"/>
      <c r="E1749" s="1354"/>
      <c r="F1749" s="348">
        <f>G254</f>
        <v>4.5600000000000005</v>
      </c>
      <c r="G1749" s="369">
        <f>TRUNC(E1748*F1749,2)</f>
        <v>1.4</v>
      </c>
      <c r="H1749" s="337"/>
    </row>
    <row r="1750" spans="1:9" ht="14.1" customHeight="1">
      <c r="A1750" s="361" t="s">
        <v>833</v>
      </c>
      <c r="B1750" s="362" t="s">
        <v>834</v>
      </c>
      <c r="C1750" s="343" t="s">
        <v>89</v>
      </c>
      <c r="D1750" s="344" t="s">
        <v>79</v>
      </c>
      <c r="E1750" s="432">
        <v>1</v>
      </c>
      <c r="F1750" s="348">
        <v>4.51</v>
      </c>
      <c r="G1750" s="369">
        <f>TRUNC(E1750*F1750,2)</f>
        <v>4.51</v>
      </c>
      <c r="H1750" s="337"/>
    </row>
    <row r="1751" spans="1:9" ht="14.1" customHeight="1">
      <c r="C1751" s="133"/>
      <c r="D1751" s="377"/>
      <c r="E1751" s="426"/>
      <c r="F1751" s="427" t="s">
        <v>92</v>
      </c>
      <c r="G1751" s="379">
        <f>G1746+G1748</f>
        <v>8.19</v>
      </c>
      <c r="H1751" s="130"/>
    </row>
    <row r="1752" spans="1:9" ht="14.1" customHeight="1">
      <c r="C1752" s="133"/>
      <c r="D1752" s="350"/>
      <c r="E1752" s="428"/>
      <c r="F1752" s="351" t="s">
        <v>94</v>
      </c>
      <c r="G1752" s="369">
        <f>G1747+G1749+G1750</f>
        <v>7.31</v>
      </c>
      <c r="H1752" s="130"/>
    </row>
    <row r="1753" spans="1:9" ht="14.1" customHeight="1">
      <c r="C1753" s="133"/>
      <c r="D1753" s="350"/>
      <c r="E1753" s="428"/>
      <c r="F1753" s="351" t="s">
        <v>95</v>
      </c>
      <c r="G1753" s="370">
        <f>SUM(G1751:G1752)</f>
        <v>15.5</v>
      </c>
      <c r="H1753" s="130"/>
    </row>
    <row r="1754" spans="1:9">
      <c r="A1754" s="429"/>
      <c r="B1754" s="430"/>
      <c r="C1754" s="431"/>
      <c r="D1754" s="429"/>
      <c r="E1754" s="430"/>
      <c r="F1754" s="430"/>
      <c r="G1754" s="430"/>
      <c r="H1754" s="429"/>
      <c r="I1754" s="429"/>
    </row>
    <row r="1756" spans="1:9" ht="14.1" customHeight="1">
      <c r="A1756" s="130" t="s">
        <v>542</v>
      </c>
      <c r="C1756" s="133"/>
      <c r="D1756" s="130"/>
      <c r="E1756" s="135"/>
      <c r="H1756" s="337"/>
    </row>
    <row r="1757" spans="1:9" ht="14.1" customHeight="1">
      <c r="A1757" s="148" t="s">
        <v>1047</v>
      </c>
      <c r="C1757" s="133"/>
      <c r="D1757" s="130"/>
      <c r="E1757" s="135"/>
      <c r="H1757" s="337"/>
    </row>
    <row r="1758" spans="1:9" ht="26.25" customHeight="1">
      <c r="A1758" s="418" t="s">
        <v>820</v>
      </c>
      <c r="B1758" s="1356" t="s">
        <v>1046</v>
      </c>
      <c r="C1758" s="1356"/>
      <c r="D1758" s="1356"/>
      <c r="E1758" s="472" t="s">
        <v>822</v>
      </c>
      <c r="G1758" s="419"/>
      <c r="H1758" s="337"/>
    </row>
    <row r="1759" spans="1:9" ht="22.5">
      <c r="A1759" s="624" t="s">
        <v>30</v>
      </c>
      <c r="B1759" s="420" t="s">
        <v>19</v>
      </c>
      <c r="C1759" s="343" t="s">
        <v>82</v>
      </c>
      <c r="D1759" s="603" t="s">
        <v>79</v>
      </c>
      <c r="E1759" s="603" t="s">
        <v>83</v>
      </c>
      <c r="F1759" s="345" t="s">
        <v>84</v>
      </c>
      <c r="G1759" s="421" t="s">
        <v>85</v>
      </c>
      <c r="H1759" s="337"/>
    </row>
    <row r="1760" spans="1:9" ht="14.1" customHeight="1">
      <c r="A1760" s="601" t="s">
        <v>1049</v>
      </c>
      <c r="B1760" s="641" t="s">
        <v>1050</v>
      </c>
      <c r="C1760" s="343" t="s">
        <v>89</v>
      </c>
      <c r="D1760" s="600" t="s">
        <v>344</v>
      </c>
      <c r="E1760" s="604">
        <v>1</v>
      </c>
      <c r="F1760" s="345">
        <v>5.77</v>
      </c>
      <c r="G1760" s="369">
        <f>TRUNC(E1760*F1760,2)</f>
        <v>5.77</v>
      </c>
      <c r="H1760" s="337"/>
    </row>
    <row r="1761" spans="1:8" ht="15.95" customHeight="1">
      <c r="A1761" s="605">
        <v>88247</v>
      </c>
      <c r="B1761" s="1351" t="s">
        <v>422</v>
      </c>
      <c r="C1761" s="343" t="s">
        <v>102</v>
      </c>
      <c r="D1761" s="1364" t="s">
        <v>345</v>
      </c>
      <c r="E1761" s="1353">
        <v>0.308</v>
      </c>
      <c r="F1761" s="414">
        <f>G287</f>
        <v>10.98</v>
      </c>
      <c r="G1761" s="421">
        <f>TRUNC(E1761*F1761,2)</f>
        <v>3.38</v>
      </c>
      <c r="H1761" s="337"/>
    </row>
    <row r="1762" spans="1:8" ht="15.95" customHeight="1">
      <c r="A1762" s="606"/>
      <c r="B1762" s="1352"/>
      <c r="C1762" s="343" t="s">
        <v>89</v>
      </c>
      <c r="D1762" s="1365"/>
      <c r="E1762" s="1354"/>
      <c r="F1762" s="414">
        <f>G288</f>
        <v>4.5600000000000005</v>
      </c>
      <c r="G1762" s="369">
        <f>TRUNC(E1761*F1762,2)</f>
        <v>1.4</v>
      </c>
      <c r="H1762" s="337"/>
    </row>
    <row r="1763" spans="1:8" ht="15.95" customHeight="1">
      <c r="A1763" s="605">
        <v>88264</v>
      </c>
      <c r="B1763" s="1351" t="s">
        <v>249</v>
      </c>
      <c r="C1763" s="343" t="s">
        <v>102</v>
      </c>
      <c r="D1763" s="1364" t="s">
        <v>345</v>
      </c>
      <c r="E1763" s="1353">
        <v>0.308</v>
      </c>
      <c r="F1763" s="348">
        <f>G253</f>
        <v>15.639999999999999</v>
      </c>
      <c r="G1763" s="369">
        <f>TRUNC(E1763*F1763,2)</f>
        <v>4.8099999999999996</v>
      </c>
      <c r="H1763" s="337"/>
    </row>
    <row r="1764" spans="1:8" ht="15.95" customHeight="1">
      <c r="A1764" s="606"/>
      <c r="B1764" s="1352"/>
      <c r="C1764" s="343" t="s">
        <v>89</v>
      </c>
      <c r="D1764" s="1365"/>
      <c r="E1764" s="1354"/>
      <c r="F1764" s="348">
        <f>G254</f>
        <v>4.5600000000000005</v>
      </c>
      <c r="G1764" s="369">
        <f t="shared" ref="G1764" si="84">TRUNC(E1763*F1764,2)</f>
        <v>1.4</v>
      </c>
      <c r="H1764" s="337"/>
    </row>
    <row r="1765" spans="1:8" ht="15" customHeight="1">
      <c r="C1765" s="133"/>
      <c r="D1765" s="377"/>
      <c r="E1765" s="426"/>
      <c r="F1765" s="427" t="s">
        <v>92</v>
      </c>
      <c r="G1765" s="379">
        <f>G1761+G1763</f>
        <v>8.19</v>
      </c>
      <c r="H1765" s="130"/>
    </row>
    <row r="1766" spans="1:8" ht="15" customHeight="1">
      <c r="C1766" s="133"/>
      <c r="D1766" s="350"/>
      <c r="E1766" s="428"/>
      <c r="F1766" s="351" t="s">
        <v>94</v>
      </c>
      <c r="G1766" s="369">
        <f>G1760+G1762+G1764</f>
        <v>8.57</v>
      </c>
      <c r="H1766" s="130"/>
    </row>
    <row r="1767" spans="1:8" ht="15" customHeight="1">
      <c r="C1767" s="133"/>
      <c r="D1767" s="350"/>
      <c r="E1767" s="428"/>
      <c r="F1767" s="351" t="s">
        <v>95</v>
      </c>
      <c r="G1767" s="370">
        <f>SUM(G1765:G1766)</f>
        <v>16.759999999999998</v>
      </c>
      <c r="H1767" s="130"/>
    </row>
    <row r="1768" spans="1:8">
      <c r="A1768" s="429"/>
      <c r="B1768" s="430"/>
      <c r="C1768" s="431"/>
      <c r="D1768" s="429"/>
      <c r="E1768" s="430"/>
      <c r="F1768" s="430"/>
      <c r="G1768" s="430"/>
      <c r="H1768" s="429"/>
    </row>
    <row r="1770" spans="1:8" ht="14.1" customHeight="1">
      <c r="A1770" s="130" t="s">
        <v>542</v>
      </c>
      <c r="C1770" s="133"/>
      <c r="D1770" s="130"/>
      <c r="E1770" s="135"/>
      <c r="H1770" s="337"/>
    </row>
    <row r="1771" spans="1:8" ht="14.1" customHeight="1">
      <c r="A1771" s="148" t="s">
        <v>1031</v>
      </c>
      <c r="C1771" s="133"/>
      <c r="D1771" s="130"/>
      <c r="E1771" s="135"/>
      <c r="H1771" s="337"/>
    </row>
    <row r="1772" spans="1:8" ht="26.25" customHeight="1">
      <c r="A1772" s="418" t="s">
        <v>820</v>
      </c>
      <c r="B1772" s="1356" t="s">
        <v>1032</v>
      </c>
      <c r="C1772" s="1356"/>
      <c r="D1772" s="1356"/>
      <c r="E1772" s="472" t="s">
        <v>822</v>
      </c>
      <c r="G1772" s="419"/>
      <c r="H1772" s="337"/>
    </row>
    <row r="1773" spans="1:8" ht="22.5">
      <c r="A1773" s="624" t="s">
        <v>30</v>
      </c>
      <c r="B1773" s="420" t="s">
        <v>19</v>
      </c>
      <c r="C1773" s="343" t="s">
        <v>82</v>
      </c>
      <c r="D1773" s="603" t="s">
        <v>79</v>
      </c>
      <c r="E1773" s="603" t="s">
        <v>83</v>
      </c>
      <c r="F1773" s="345" t="s">
        <v>84</v>
      </c>
      <c r="G1773" s="421" t="s">
        <v>85</v>
      </c>
      <c r="H1773" s="337"/>
    </row>
    <row r="1774" spans="1:8" ht="20.100000000000001" customHeight="1">
      <c r="A1774" s="1317" t="s">
        <v>1033</v>
      </c>
      <c r="B1774" s="1351" t="s">
        <v>821</v>
      </c>
      <c r="C1774" s="343" t="s">
        <v>102</v>
      </c>
      <c r="D1774" s="1364" t="s">
        <v>344</v>
      </c>
      <c r="E1774" s="1353">
        <v>1</v>
      </c>
      <c r="F1774" s="414">
        <f>G1682</f>
        <v>2.91</v>
      </c>
      <c r="G1774" s="421">
        <f>TRUNC(E1774*F1774,2)</f>
        <v>2.91</v>
      </c>
      <c r="H1774" s="337"/>
    </row>
    <row r="1775" spans="1:8" ht="20.100000000000001" customHeight="1">
      <c r="A1775" s="1318"/>
      <c r="B1775" s="1352"/>
      <c r="C1775" s="343" t="s">
        <v>89</v>
      </c>
      <c r="D1775" s="1365"/>
      <c r="E1775" s="1354"/>
      <c r="F1775" s="414">
        <f>G1683</f>
        <v>3.3899999999999997</v>
      </c>
      <c r="G1775" s="369">
        <f>TRUNC(E1774*F1775,2)</f>
        <v>3.39</v>
      </c>
      <c r="H1775" s="337"/>
    </row>
    <row r="1776" spans="1:8" ht="18" customHeight="1">
      <c r="A1776" s="1317" t="s">
        <v>1034</v>
      </c>
      <c r="B1776" s="1351" t="s">
        <v>1035</v>
      </c>
      <c r="C1776" s="343" t="s">
        <v>102</v>
      </c>
      <c r="D1776" s="1364" t="s">
        <v>344</v>
      </c>
      <c r="E1776" s="1353">
        <v>1</v>
      </c>
      <c r="F1776" s="348">
        <f>G1751</f>
        <v>8.19</v>
      </c>
      <c r="G1776" s="369">
        <f>TRUNC(E1776*F1776,2)</f>
        <v>8.19</v>
      </c>
      <c r="H1776" s="337"/>
    </row>
    <row r="1777" spans="1:8" ht="18" customHeight="1">
      <c r="A1777" s="1318"/>
      <c r="B1777" s="1352"/>
      <c r="C1777" s="343" t="s">
        <v>89</v>
      </c>
      <c r="D1777" s="1365"/>
      <c r="E1777" s="1354"/>
      <c r="F1777" s="348">
        <f>G1752</f>
        <v>7.31</v>
      </c>
      <c r="G1777" s="369">
        <f t="shared" ref="G1777" si="85">TRUNC(E1776*F1777,2)</f>
        <v>7.31</v>
      </c>
      <c r="H1777" s="337"/>
    </row>
    <row r="1778" spans="1:8" ht="15" customHeight="1">
      <c r="C1778" s="133"/>
      <c r="D1778" s="377"/>
      <c r="E1778" s="426"/>
      <c r="F1778" s="427" t="s">
        <v>92</v>
      </c>
      <c r="G1778" s="379">
        <f>G1774+G1776</f>
        <v>11.1</v>
      </c>
      <c r="H1778" s="130"/>
    </row>
    <row r="1779" spans="1:8" ht="15" customHeight="1">
      <c r="C1779" s="133"/>
      <c r="D1779" s="350"/>
      <c r="E1779" s="428"/>
      <c r="F1779" s="351" t="s">
        <v>94</v>
      </c>
      <c r="G1779" s="369">
        <f>G1775+G1777</f>
        <v>10.7</v>
      </c>
      <c r="H1779" s="130"/>
    </row>
    <row r="1780" spans="1:8" ht="15" customHeight="1">
      <c r="C1780" s="133"/>
      <c r="D1780" s="350"/>
      <c r="E1780" s="428"/>
      <c r="F1780" s="351" t="s">
        <v>95</v>
      </c>
      <c r="G1780" s="370">
        <f>SUM(G1778:G1779)</f>
        <v>21.799999999999997</v>
      </c>
      <c r="H1780" s="473"/>
    </row>
    <row r="1781" spans="1:8">
      <c r="A1781" s="429"/>
      <c r="B1781" s="430"/>
      <c r="C1781" s="431"/>
      <c r="D1781" s="429"/>
      <c r="E1781" s="430"/>
      <c r="F1781" s="430"/>
      <c r="G1781" s="430"/>
      <c r="H1781" s="429"/>
    </row>
    <row r="1783" spans="1:8" ht="14.1" customHeight="1">
      <c r="A1783" s="130" t="s">
        <v>542</v>
      </c>
      <c r="C1783" s="133"/>
      <c r="D1783" s="130"/>
      <c r="E1783" s="135"/>
      <c r="H1783" s="337"/>
    </row>
    <row r="1784" spans="1:8" ht="14.1" customHeight="1">
      <c r="A1784" s="148" t="s">
        <v>1044</v>
      </c>
      <c r="C1784" s="133"/>
      <c r="D1784" s="130"/>
      <c r="E1784" s="135"/>
      <c r="H1784" s="337"/>
    </row>
    <row r="1785" spans="1:8" ht="27.75" customHeight="1">
      <c r="A1785" s="418" t="s">
        <v>820</v>
      </c>
      <c r="B1785" s="1356" t="s">
        <v>1045</v>
      </c>
      <c r="C1785" s="1356"/>
      <c r="D1785" s="1356"/>
      <c r="E1785" s="472" t="s">
        <v>822</v>
      </c>
      <c r="G1785" s="419"/>
      <c r="H1785" s="337"/>
    </row>
    <row r="1786" spans="1:8" ht="22.5">
      <c r="A1786" s="624" t="s">
        <v>30</v>
      </c>
      <c r="B1786" s="420" t="s">
        <v>19</v>
      </c>
      <c r="C1786" s="343" t="s">
        <v>82</v>
      </c>
      <c r="D1786" s="603" t="s">
        <v>79</v>
      </c>
      <c r="E1786" s="603" t="s">
        <v>83</v>
      </c>
      <c r="F1786" s="345" t="s">
        <v>84</v>
      </c>
      <c r="G1786" s="421" t="s">
        <v>85</v>
      </c>
      <c r="H1786" s="337"/>
    </row>
    <row r="1787" spans="1:8" ht="18" customHeight="1">
      <c r="A1787" s="1317" t="s">
        <v>1033</v>
      </c>
      <c r="B1787" s="1351" t="s">
        <v>821</v>
      </c>
      <c r="C1787" s="343" t="s">
        <v>102</v>
      </c>
      <c r="D1787" s="1364" t="s">
        <v>344</v>
      </c>
      <c r="E1787" s="1353">
        <v>1</v>
      </c>
      <c r="F1787" s="414">
        <f>G1682</f>
        <v>2.91</v>
      </c>
      <c r="G1787" s="424">
        <f>TRUNC(E1787*F1787,2)</f>
        <v>2.91</v>
      </c>
      <c r="H1787" s="337"/>
    </row>
    <row r="1788" spans="1:8" ht="18" customHeight="1">
      <c r="A1788" s="1318"/>
      <c r="B1788" s="1352"/>
      <c r="C1788" s="343" t="s">
        <v>89</v>
      </c>
      <c r="D1788" s="1365"/>
      <c r="E1788" s="1354"/>
      <c r="F1788" s="414">
        <f>G1683</f>
        <v>3.3899999999999997</v>
      </c>
      <c r="G1788" s="369">
        <f>TRUNC(E1787*F1788,2)</f>
        <v>3.39</v>
      </c>
      <c r="H1788" s="337"/>
    </row>
    <row r="1789" spans="1:8" ht="18" customHeight="1">
      <c r="A1789" s="1317">
        <v>91995</v>
      </c>
      <c r="B1789" s="1351" t="s">
        <v>1048</v>
      </c>
      <c r="C1789" s="343" t="s">
        <v>102</v>
      </c>
      <c r="D1789" s="1364" t="s">
        <v>344</v>
      </c>
      <c r="E1789" s="1353">
        <v>1</v>
      </c>
      <c r="F1789" s="348">
        <f>G1765</f>
        <v>8.19</v>
      </c>
      <c r="G1789" s="369">
        <f>TRUNC(E1789*F1789,2)</f>
        <v>8.19</v>
      </c>
      <c r="H1789" s="337"/>
    </row>
    <row r="1790" spans="1:8" ht="18" customHeight="1">
      <c r="A1790" s="1318"/>
      <c r="B1790" s="1352"/>
      <c r="C1790" s="343" t="s">
        <v>89</v>
      </c>
      <c r="D1790" s="1365"/>
      <c r="E1790" s="1354"/>
      <c r="F1790" s="348">
        <f>G1766</f>
        <v>8.57</v>
      </c>
      <c r="G1790" s="369">
        <f t="shared" ref="G1790" si="86">TRUNC(E1789*F1790,2)</f>
        <v>8.57</v>
      </c>
      <c r="H1790" s="337"/>
    </row>
    <row r="1791" spans="1:8" ht="18" customHeight="1">
      <c r="C1791" s="133"/>
      <c r="D1791" s="377"/>
      <c r="E1791" s="426"/>
      <c r="F1791" s="427" t="s">
        <v>92</v>
      </c>
      <c r="G1791" s="379">
        <f>G1787+G1789</f>
        <v>11.1</v>
      </c>
      <c r="H1791" s="130"/>
    </row>
    <row r="1792" spans="1:8" ht="18" customHeight="1">
      <c r="C1792" s="133"/>
      <c r="D1792" s="350"/>
      <c r="E1792" s="428"/>
      <c r="F1792" s="351" t="s">
        <v>94</v>
      </c>
      <c r="G1792" s="369">
        <f>G1788+G1790</f>
        <v>11.96</v>
      </c>
      <c r="H1792" s="130"/>
    </row>
    <row r="1793" spans="1:8" ht="18" customHeight="1">
      <c r="C1793" s="133"/>
      <c r="D1793" s="350"/>
      <c r="E1793" s="428"/>
      <c r="F1793" s="351" t="s">
        <v>95</v>
      </c>
      <c r="G1793" s="370">
        <f>SUM(G1791:G1792)</f>
        <v>23.060000000000002</v>
      </c>
      <c r="H1793" s="473"/>
    </row>
    <row r="1794" spans="1:8">
      <c r="A1794" s="429"/>
      <c r="B1794" s="430"/>
      <c r="C1794" s="431"/>
      <c r="D1794" s="429"/>
      <c r="E1794" s="430"/>
      <c r="F1794" s="430"/>
      <c r="G1794" s="430"/>
      <c r="H1794" s="429"/>
    </row>
    <row r="1796" spans="1:8">
      <c r="A1796" s="130" t="s">
        <v>542</v>
      </c>
      <c r="C1796" s="133"/>
      <c r="D1796" s="130"/>
      <c r="E1796" s="135"/>
      <c r="H1796" s="337"/>
    </row>
    <row r="1797" spans="1:8">
      <c r="A1797" s="148" t="s">
        <v>1047</v>
      </c>
      <c r="C1797" s="133"/>
      <c r="D1797" s="130"/>
      <c r="E1797" s="135"/>
      <c r="H1797" s="337"/>
    </row>
    <row r="1798" spans="1:8" ht="22.5" customHeight="1">
      <c r="A1798" s="418" t="s">
        <v>820</v>
      </c>
      <c r="B1798" s="1356" t="s">
        <v>1046</v>
      </c>
      <c r="C1798" s="1356"/>
      <c r="D1798" s="1356"/>
      <c r="E1798" s="472" t="s">
        <v>822</v>
      </c>
      <c r="G1798" s="419"/>
      <c r="H1798" s="337"/>
    </row>
    <row r="1799" spans="1:8" ht="22.5">
      <c r="A1799" s="624" t="s">
        <v>30</v>
      </c>
      <c r="B1799" s="420" t="s">
        <v>19</v>
      </c>
      <c r="C1799" s="343" t="s">
        <v>82</v>
      </c>
      <c r="D1799" s="603" t="s">
        <v>79</v>
      </c>
      <c r="E1799" s="603" t="s">
        <v>83</v>
      </c>
      <c r="F1799" s="345" t="s">
        <v>84</v>
      </c>
      <c r="G1799" s="421" t="s">
        <v>85</v>
      </c>
      <c r="H1799" s="337"/>
    </row>
    <row r="1800" spans="1:8" ht="14.1" customHeight="1">
      <c r="A1800" s="601" t="s">
        <v>1049</v>
      </c>
      <c r="B1800" s="641" t="s">
        <v>1050</v>
      </c>
      <c r="C1800" s="343" t="s">
        <v>89</v>
      </c>
      <c r="D1800" s="600" t="s">
        <v>344</v>
      </c>
      <c r="E1800" s="604">
        <v>1</v>
      </c>
      <c r="F1800" s="345">
        <v>5.77</v>
      </c>
      <c r="G1800" s="369">
        <f>TRUNC(E1800*F1800,2)</f>
        <v>5.77</v>
      </c>
      <c r="H1800" s="337"/>
    </row>
    <row r="1801" spans="1:8" ht="14.1" customHeight="1">
      <c r="A1801" s="605">
        <v>88247</v>
      </c>
      <c r="B1801" s="1351" t="s">
        <v>422</v>
      </c>
      <c r="C1801" s="343" t="s">
        <v>102</v>
      </c>
      <c r="D1801" s="1364" t="s">
        <v>345</v>
      </c>
      <c r="E1801" s="1353">
        <v>0.308</v>
      </c>
      <c r="F1801" s="414">
        <f>G287</f>
        <v>10.98</v>
      </c>
      <c r="G1801" s="421">
        <f>TRUNC(E1801*F1801,2)</f>
        <v>3.38</v>
      </c>
      <c r="H1801" s="337"/>
    </row>
    <row r="1802" spans="1:8" ht="14.1" customHeight="1">
      <c r="A1802" s="606"/>
      <c r="B1802" s="1352"/>
      <c r="C1802" s="343" t="s">
        <v>89</v>
      </c>
      <c r="D1802" s="1365"/>
      <c r="E1802" s="1354"/>
      <c r="F1802" s="414">
        <f>G288</f>
        <v>4.5600000000000005</v>
      </c>
      <c r="G1802" s="369">
        <f>TRUNC(E1801*F1802,2)</f>
        <v>1.4</v>
      </c>
      <c r="H1802" s="337"/>
    </row>
    <row r="1803" spans="1:8" ht="14.1" customHeight="1">
      <c r="A1803" s="605">
        <v>88264</v>
      </c>
      <c r="B1803" s="1351" t="s">
        <v>249</v>
      </c>
      <c r="C1803" s="343" t="s">
        <v>102</v>
      </c>
      <c r="D1803" s="1364" t="s">
        <v>345</v>
      </c>
      <c r="E1803" s="1353">
        <v>0.308</v>
      </c>
      <c r="F1803" s="348">
        <f>G253</f>
        <v>15.639999999999999</v>
      </c>
      <c r="G1803" s="369">
        <f>TRUNC(E1803*F1803,2)</f>
        <v>4.8099999999999996</v>
      </c>
      <c r="H1803" s="337"/>
    </row>
    <row r="1804" spans="1:8" ht="14.1" customHeight="1">
      <c r="A1804" s="606"/>
      <c r="B1804" s="1352"/>
      <c r="C1804" s="343" t="s">
        <v>89</v>
      </c>
      <c r="D1804" s="1365"/>
      <c r="E1804" s="1354"/>
      <c r="F1804" s="348">
        <f>G254</f>
        <v>4.5600000000000005</v>
      </c>
      <c r="G1804" s="369">
        <f t="shared" ref="G1804" si="87">TRUNC(E1803*F1804,2)</f>
        <v>1.4</v>
      </c>
      <c r="H1804" s="337"/>
    </row>
    <row r="1805" spans="1:8" ht="14.1" customHeight="1">
      <c r="C1805" s="133"/>
      <c r="D1805" s="377"/>
      <c r="E1805" s="426"/>
      <c r="F1805" s="427" t="s">
        <v>92</v>
      </c>
      <c r="G1805" s="379">
        <f>G1801+G1803</f>
        <v>8.19</v>
      </c>
      <c r="H1805" s="130"/>
    </row>
    <row r="1806" spans="1:8" ht="14.1" customHeight="1">
      <c r="C1806" s="133"/>
      <c r="D1806" s="350"/>
      <c r="E1806" s="428"/>
      <c r="F1806" s="351" t="s">
        <v>94</v>
      </c>
      <c r="G1806" s="369">
        <f>G1800+G1802+G1804</f>
        <v>8.57</v>
      </c>
      <c r="H1806" s="130"/>
    </row>
    <row r="1807" spans="1:8" ht="14.1" customHeight="1">
      <c r="C1807" s="133"/>
      <c r="D1807" s="350"/>
      <c r="E1807" s="428"/>
      <c r="F1807" s="351" t="s">
        <v>95</v>
      </c>
      <c r="G1807" s="370">
        <f>SUM(G1805:G1806)</f>
        <v>16.759999999999998</v>
      </c>
      <c r="H1807" s="473"/>
    </row>
    <row r="1808" spans="1:8">
      <c r="A1808" s="429"/>
      <c r="B1808" s="430"/>
      <c r="C1808" s="431"/>
      <c r="D1808" s="429"/>
      <c r="E1808" s="430"/>
      <c r="F1808" s="430"/>
      <c r="G1808" s="430"/>
      <c r="H1808" s="429"/>
    </row>
    <row r="1810" spans="1:8">
      <c r="A1810" s="130" t="s">
        <v>542</v>
      </c>
      <c r="C1810" s="133"/>
      <c r="D1810" s="130"/>
      <c r="E1810" s="135"/>
      <c r="H1810" s="337"/>
    </row>
    <row r="1811" spans="1:8">
      <c r="A1811" s="148" t="s">
        <v>1078</v>
      </c>
      <c r="C1811" s="133"/>
      <c r="D1811" s="130"/>
      <c r="E1811" s="135"/>
      <c r="H1811" s="337"/>
    </row>
    <row r="1812" spans="1:8" ht="27.75" customHeight="1">
      <c r="A1812" s="418" t="s">
        <v>820</v>
      </c>
      <c r="B1812" s="1356" t="s">
        <v>1070</v>
      </c>
      <c r="C1812" s="1356"/>
      <c r="D1812" s="1356"/>
      <c r="E1812" s="472" t="s">
        <v>822</v>
      </c>
      <c r="G1812" s="419"/>
      <c r="H1812" s="337"/>
    </row>
    <row r="1813" spans="1:8" ht="22.5">
      <c r="A1813" s="624" t="s">
        <v>30</v>
      </c>
      <c r="B1813" s="420" t="s">
        <v>19</v>
      </c>
      <c r="C1813" s="343" t="s">
        <v>82</v>
      </c>
      <c r="D1813" s="603" t="s">
        <v>79</v>
      </c>
      <c r="E1813" s="603" t="s">
        <v>83</v>
      </c>
      <c r="F1813" s="345" t="s">
        <v>84</v>
      </c>
      <c r="G1813" s="421" t="s">
        <v>85</v>
      </c>
      <c r="H1813" s="337"/>
    </row>
    <row r="1814" spans="1:8" ht="27" customHeight="1">
      <c r="A1814" s="601" t="s">
        <v>1075</v>
      </c>
      <c r="B1814" s="599" t="s">
        <v>1076</v>
      </c>
      <c r="C1814" s="343" t="s">
        <v>89</v>
      </c>
      <c r="D1814" s="600" t="s">
        <v>346</v>
      </c>
      <c r="E1814" s="604">
        <v>1.0609999999999999</v>
      </c>
      <c r="F1814" s="345">
        <v>2.87</v>
      </c>
      <c r="G1814" s="369">
        <f>TRUNC(E1814*F1814,2)</f>
        <v>3.04</v>
      </c>
      <c r="H1814" s="337"/>
    </row>
    <row r="1815" spans="1:8" ht="16.5" customHeight="1">
      <c r="A1815" s="601" t="s">
        <v>269</v>
      </c>
      <c r="B1815" s="599" t="s">
        <v>1077</v>
      </c>
      <c r="C1815" s="343" t="s">
        <v>89</v>
      </c>
      <c r="D1815" s="600" t="s">
        <v>344</v>
      </c>
      <c r="E1815" s="604">
        <v>0.123</v>
      </c>
      <c r="F1815" s="345">
        <v>1.64</v>
      </c>
      <c r="G1815" s="369">
        <f>TRUNC(E1815*F1815,2)</f>
        <v>0.2</v>
      </c>
      <c r="H1815" s="337"/>
    </row>
    <row r="1816" spans="1:8" ht="15" customHeight="1">
      <c r="A1816" s="1317">
        <v>88248</v>
      </c>
      <c r="B1816" s="1351" t="s">
        <v>274</v>
      </c>
      <c r="C1816" s="343" t="s">
        <v>102</v>
      </c>
      <c r="D1816" s="1364" t="s">
        <v>345</v>
      </c>
      <c r="E1816" s="1353">
        <v>0.308</v>
      </c>
      <c r="F1816" s="414">
        <f>G321</f>
        <v>10.9</v>
      </c>
      <c r="G1816" s="424">
        <f>TRUNC(E1816*F1816,2)</f>
        <v>3.35</v>
      </c>
      <c r="H1816" s="337"/>
    </row>
    <row r="1817" spans="1:8" ht="15" customHeight="1">
      <c r="A1817" s="1318"/>
      <c r="B1817" s="1352"/>
      <c r="C1817" s="343" t="s">
        <v>89</v>
      </c>
      <c r="D1817" s="1365"/>
      <c r="E1817" s="1354"/>
      <c r="F1817" s="414">
        <f>G322</f>
        <v>4.5600000000000005</v>
      </c>
      <c r="G1817" s="369">
        <f>TRUNC(E1816*F1817,2)</f>
        <v>1.4</v>
      </c>
      <c r="H1817" s="337"/>
    </row>
    <row r="1818" spans="1:8" ht="15" customHeight="1">
      <c r="A1818" s="1317">
        <v>88267</v>
      </c>
      <c r="B1818" s="1351" t="s">
        <v>245</v>
      </c>
      <c r="C1818" s="343" t="s">
        <v>102</v>
      </c>
      <c r="D1818" s="1364" t="s">
        <v>345</v>
      </c>
      <c r="E1818" s="1353">
        <v>0.308</v>
      </c>
      <c r="F1818" s="348">
        <f>G338</f>
        <v>15.41</v>
      </c>
      <c r="G1818" s="369">
        <f>TRUNC(E1818*F1818,2)</f>
        <v>4.74</v>
      </c>
      <c r="H1818" s="337"/>
    </row>
    <row r="1819" spans="1:8" ht="15" customHeight="1">
      <c r="A1819" s="1318"/>
      <c r="B1819" s="1352"/>
      <c r="C1819" s="343" t="s">
        <v>89</v>
      </c>
      <c r="D1819" s="1365"/>
      <c r="E1819" s="1354"/>
      <c r="F1819" s="348">
        <f>G339</f>
        <v>4.5600000000000005</v>
      </c>
      <c r="G1819" s="369">
        <f t="shared" ref="G1819" si="88">TRUNC(E1818*F1819,2)</f>
        <v>1.4</v>
      </c>
      <c r="H1819" s="337"/>
    </row>
    <row r="1820" spans="1:8" ht="15" customHeight="1">
      <c r="C1820" s="133"/>
      <c r="D1820" s="377"/>
      <c r="E1820" s="426"/>
      <c r="F1820" s="427" t="s">
        <v>92</v>
      </c>
      <c r="G1820" s="379">
        <f>G1816+G1818</f>
        <v>8.09</v>
      </c>
      <c r="H1820" s="130"/>
    </row>
    <row r="1821" spans="1:8" ht="15" customHeight="1">
      <c r="C1821" s="133"/>
      <c r="D1821" s="350"/>
      <c r="E1821" s="428"/>
      <c r="F1821" s="351" t="s">
        <v>94</v>
      </c>
      <c r="G1821" s="369">
        <f>G1814+G1815+G1817+G1819</f>
        <v>6.0400000000000009</v>
      </c>
      <c r="H1821" s="130"/>
    </row>
    <row r="1822" spans="1:8" ht="15" customHeight="1">
      <c r="C1822" s="133"/>
      <c r="D1822" s="350"/>
      <c r="E1822" s="428"/>
      <c r="F1822" s="351" t="s">
        <v>95</v>
      </c>
      <c r="G1822" s="370">
        <f>SUM(G1820:G1821)</f>
        <v>14.13</v>
      </c>
      <c r="H1822" s="473"/>
    </row>
    <row r="1823" spans="1:8">
      <c r="A1823" s="429"/>
      <c r="B1823" s="430"/>
      <c r="C1823" s="431"/>
      <c r="D1823" s="429"/>
      <c r="E1823" s="430"/>
      <c r="F1823" s="430"/>
      <c r="G1823" s="430"/>
      <c r="H1823" s="429"/>
    </row>
    <row r="1825" spans="1:8">
      <c r="A1825" s="130" t="s">
        <v>542</v>
      </c>
      <c r="C1825" s="133"/>
      <c r="D1825" s="130"/>
      <c r="E1825" s="135"/>
      <c r="H1825" s="337"/>
    </row>
    <row r="1826" spans="1:8">
      <c r="A1826" s="148" t="s">
        <v>1079</v>
      </c>
      <c r="C1826" s="133"/>
      <c r="D1826" s="130"/>
      <c r="E1826" s="135"/>
      <c r="H1826" s="337"/>
    </row>
    <row r="1827" spans="1:8" ht="27" customHeight="1">
      <c r="A1827" s="418" t="s">
        <v>820</v>
      </c>
      <c r="B1827" s="1356" t="s">
        <v>1071</v>
      </c>
      <c r="C1827" s="1356"/>
      <c r="D1827" s="1356"/>
      <c r="E1827" s="472" t="s">
        <v>822</v>
      </c>
      <c r="G1827" s="419"/>
      <c r="H1827" s="337"/>
    </row>
    <row r="1828" spans="1:8" ht="22.5">
      <c r="A1828" s="624" t="s">
        <v>30</v>
      </c>
      <c r="B1828" s="420" t="s">
        <v>19</v>
      </c>
      <c r="C1828" s="343" t="s">
        <v>82</v>
      </c>
      <c r="D1828" s="603" t="s">
        <v>79</v>
      </c>
      <c r="E1828" s="603" t="s">
        <v>83</v>
      </c>
      <c r="F1828" s="345" t="s">
        <v>84</v>
      </c>
      <c r="G1828" s="421" t="s">
        <v>85</v>
      </c>
      <c r="H1828" s="337"/>
    </row>
    <row r="1829" spans="1:8" ht="14.1" customHeight="1">
      <c r="A1829" s="601" t="s">
        <v>260</v>
      </c>
      <c r="B1829" s="599" t="s">
        <v>261</v>
      </c>
      <c r="C1829" s="343" t="s">
        <v>89</v>
      </c>
      <c r="D1829" s="600" t="s">
        <v>344</v>
      </c>
      <c r="E1829" s="604">
        <v>7.0000000000000001E-3</v>
      </c>
      <c r="F1829" s="345">
        <v>49.68</v>
      </c>
      <c r="G1829" s="369">
        <f>TRUNC(E1829*F1829,2)</f>
        <v>0.34</v>
      </c>
      <c r="H1829" s="337"/>
    </row>
    <row r="1830" spans="1:8" ht="22.5">
      <c r="A1830" s="601" t="s">
        <v>1080</v>
      </c>
      <c r="B1830" s="599" t="s">
        <v>1081</v>
      </c>
      <c r="C1830" s="343" t="s">
        <v>89</v>
      </c>
      <c r="D1830" s="600" t="s">
        <v>344</v>
      </c>
      <c r="E1830" s="604">
        <v>1</v>
      </c>
      <c r="F1830" s="345">
        <v>0.59</v>
      </c>
      <c r="G1830" s="369">
        <f t="shared" ref="G1830:G1831" si="89">TRUNC(E1830*F1830,2)</f>
        <v>0.59</v>
      </c>
      <c r="H1830" s="337"/>
    </row>
    <row r="1831" spans="1:8" ht="15" customHeight="1">
      <c r="A1831" s="601" t="s">
        <v>265</v>
      </c>
      <c r="B1831" s="599" t="s">
        <v>266</v>
      </c>
      <c r="C1831" s="343" t="s">
        <v>89</v>
      </c>
      <c r="D1831" s="600" t="s">
        <v>344</v>
      </c>
      <c r="E1831" s="604">
        <v>8.0000000000000002E-3</v>
      </c>
      <c r="F1831" s="345">
        <v>43.14</v>
      </c>
      <c r="G1831" s="369">
        <f t="shared" si="89"/>
        <v>0.34</v>
      </c>
      <c r="H1831" s="337"/>
    </row>
    <row r="1832" spans="1:8" ht="14.1" customHeight="1">
      <c r="A1832" s="601" t="s">
        <v>269</v>
      </c>
      <c r="B1832" s="599" t="s">
        <v>1077</v>
      </c>
      <c r="C1832" s="343" t="s">
        <v>89</v>
      </c>
      <c r="D1832" s="600" t="s">
        <v>344</v>
      </c>
      <c r="E1832" s="604">
        <v>0.05</v>
      </c>
      <c r="F1832" s="345">
        <v>1.64</v>
      </c>
      <c r="G1832" s="369">
        <f>TRUNC(E1832*F1832,2)</f>
        <v>0.08</v>
      </c>
      <c r="H1832" s="337"/>
    </row>
    <row r="1833" spans="1:8" ht="15.95" customHeight="1">
      <c r="A1833" s="1317">
        <v>88248</v>
      </c>
      <c r="B1833" s="1351" t="s">
        <v>274</v>
      </c>
      <c r="C1833" s="343" t="s">
        <v>102</v>
      </c>
      <c r="D1833" s="1364" t="s">
        <v>345</v>
      </c>
      <c r="E1833" s="1353">
        <v>0.15</v>
      </c>
      <c r="F1833" s="414">
        <f>G321</f>
        <v>10.9</v>
      </c>
      <c r="G1833" s="424">
        <f>TRUNC(E1833*F1833,2)</f>
        <v>1.63</v>
      </c>
      <c r="H1833" s="337"/>
    </row>
    <row r="1834" spans="1:8" ht="15.95" customHeight="1">
      <c r="A1834" s="1318"/>
      <c r="B1834" s="1352"/>
      <c r="C1834" s="343" t="s">
        <v>89</v>
      </c>
      <c r="D1834" s="1365"/>
      <c r="E1834" s="1354"/>
      <c r="F1834" s="414">
        <f>G322</f>
        <v>4.5600000000000005</v>
      </c>
      <c r="G1834" s="369">
        <f>TRUNC(E1833*F1834,2)</f>
        <v>0.68</v>
      </c>
      <c r="H1834" s="337"/>
    </row>
    <row r="1835" spans="1:8" ht="15.95" customHeight="1">
      <c r="A1835" s="1317">
        <v>88267</v>
      </c>
      <c r="B1835" s="1351" t="s">
        <v>245</v>
      </c>
      <c r="C1835" s="343" t="s">
        <v>102</v>
      </c>
      <c r="D1835" s="1364" t="s">
        <v>345</v>
      </c>
      <c r="E1835" s="1353">
        <v>0.15</v>
      </c>
      <c r="F1835" s="348">
        <f>G338</f>
        <v>15.41</v>
      </c>
      <c r="G1835" s="369">
        <f>TRUNC(E1835*F1835,2)</f>
        <v>2.31</v>
      </c>
      <c r="H1835" s="337"/>
    </row>
    <row r="1836" spans="1:8" ht="15.95" customHeight="1">
      <c r="A1836" s="1318"/>
      <c r="B1836" s="1352"/>
      <c r="C1836" s="343" t="s">
        <v>89</v>
      </c>
      <c r="D1836" s="1365"/>
      <c r="E1836" s="1354"/>
      <c r="F1836" s="348">
        <f>G339</f>
        <v>4.5600000000000005</v>
      </c>
      <c r="G1836" s="369">
        <f t="shared" ref="G1836" si="90">TRUNC(E1835*F1836,2)</f>
        <v>0.68</v>
      </c>
      <c r="H1836" s="337"/>
    </row>
    <row r="1837" spans="1:8" ht="14.1" customHeight="1">
      <c r="C1837" s="133"/>
      <c r="D1837" s="377"/>
      <c r="E1837" s="426"/>
      <c r="F1837" s="427" t="s">
        <v>92</v>
      </c>
      <c r="G1837" s="379">
        <f>G1833+G1835</f>
        <v>3.94</v>
      </c>
      <c r="H1837" s="130"/>
    </row>
    <row r="1838" spans="1:8" ht="14.1" customHeight="1">
      <c r="C1838" s="133"/>
      <c r="D1838" s="350"/>
      <c r="E1838" s="428"/>
      <c r="F1838" s="351" t="s">
        <v>94</v>
      </c>
      <c r="G1838" s="369">
        <f>G1829+G1830+G1831+G1832+G1834+G1836</f>
        <v>2.7100000000000004</v>
      </c>
      <c r="H1838" s="130"/>
    </row>
    <row r="1839" spans="1:8" ht="14.1" customHeight="1">
      <c r="C1839" s="133"/>
      <c r="D1839" s="350"/>
      <c r="E1839" s="428"/>
      <c r="F1839" s="351" t="s">
        <v>95</v>
      </c>
      <c r="G1839" s="370">
        <f>SUM(G1837:G1838)</f>
        <v>6.65</v>
      </c>
      <c r="H1839" s="473"/>
    </row>
    <row r="1840" spans="1:8">
      <c r="A1840" s="429"/>
      <c r="B1840" s="430"/>
      <c r="C1840" s="431"/>
      <c r="D1840" s="429"/>
      <c r="E1840" s="430"/>
      <c r="F1840" s="430"/>
      <c r="G1840" s="430"/>
      <c r="H1840" s="429"/>
    </row>
    <row r="1842" spans="1:8">
      <c r="A1842" s="130" t="s">
        <v>542</v>
      </c>
      <c r="C1842" s="133"/>
      <c r="D1842" s="130"/>
      <c r="E1842" s="135"/>
      <c r="H1842" s="337"/>
    </row>
    <row r="1843" spans="1:8">
      <c r="A1843" s="148" t="s">
        <v>1082</v>
      </c>
      <c r="C1843" s="133"/>
      <c r="D1843" s="130"/>
      <c r="E1843" s="135"/>
      <c r="H1843" s="337"/>
    </row>
    <row r="1844" spans="1:8" ht="33" customHeight="1">
      <c r="A1844" s="418" t="s">
        <v>820</v>
      </c>
      <c r="B1844" s="1356" t="s">
        <v>1083</v>
      </c>
      <c r="C1844" s="1356"/>
      <c r="D1844" s="1356"/>
      <c r="E1844" s="472" t="s">
        <v>822</v>
      </c>
      <c r="G1844" s="419"/>
      <c r="H1844" s="337"/>
    </row>
    <row r="1845" spans="1:8" ht="22.5">
      <c r="A1845" s="624" t="s">
        <v>30</v>
      </c>
      <c r="B1845" s="420" t="s">
        <v>19</v>
      </c>
      <c r="C1845" s="343" t="s">
        <v>82</v>
      </c>
      <c r="D1845" s="603" t="s">
        <v>79</v>
      </c>
      <c r="E1845" s="603" t="s">
        <v>83</v>
      </c>
      <c r="F1845" s="345" t="s">
        <v>84</v>
      </c>
      <c r="G1845" s="421" t="s">
        <v>85</v>
      </c>
      <c r="H1845" s="337"/>
    </row>
    <row r="1846" spans="1:8" ht="15" customHeight="1">
      <c r="A1846" s="601" t="s">
        <v>260</v>
      </c>
      <c r="B1846" s="599" t="s">
        <v>261</v>
      </c>
      <c r="C1846" s="343" t="s">
        <v>89</v>
      </c>
      <c r="D1846" s="600" t="s">
        <v>344</v>
      </c>
      <c r="E1846" s="604">
        <v>7.0000000000000001E-3</v>
      </c>
      <c r="F1846" s="345">
        <v>49.68</v>
      </c>
      <c r="G1846" s="369">
        <f>TRUNC(E1846*F1846,2)</f>
        <v>0.34</v>
      </c>
      <c r="H1846" s="337"/>
    </row>
    <row r="1847" spans="1:8" ht="22.5">
      <c r="A1847" s="601">
        <v>3524</v>
      </c>
      <c r="B1847" s="599" t="s">
        <v>1084</v>
      </c>
      <c r="C1847" s="343" t="s">
        <v>89</v>
      </c>
      <c r="D1847" s="600" t="s">
        <v>344</v>
      </c>
      <c r="E1847" s="604">
        <v>1</v>
      </c>
      <c r="F1847" s="345">
        <v>0.59</v>
      </c>
      <c r="G1847" s="369">
        <f t="shared" ref="G1847:G1848" si="91">TRUNC(E1847*F1847,2)</f>
        <v>0.59</v>
      </c>
      <c r="H1847" s="337"/>
    </row>
    <row r="1848" spans="1:8" ht="22.5">
      <c r="A1848" s="601" t="s">
        <v>265</v>
      </c>
      <c r="B1848" s="599" t="s">
        <v>266</v>
      </c>
      <c r="C1848" s="343" t="s">
        <v>89</v>
      </c>
      <c r="D1848" s="600" t="s">
        <v>344</v>
      </c>
      <c r="E1848" s="604">
        <v>8.0000000000000002E-3</v>
      </c>
      <c r="F1848" s="345">
        <v>43.14</v>
      </c>
      <c r="G1848" s="369">
        <f t="shared" si="91"/>
        <v>0.34</v>
      </c>
      <c r="H1848" s="337"/>
    </row>
    <row r="1849" spans="1:8" ht="15" customHeight="1">
      <c r="A1849" s="601" t="s">
        <v>269</v>
      </c>
      <c r="B1849" s="599" t="s">
        <v>1077</v>
      </c>
      <c r="C1849" s="343" t="s">
        <v>89</v>
      </c>
      <c r="D1849" s="600" t="s">
        <v>344</v>
      </c>
      <c r="E1849" s="604">
        <v>0.05</v>
      </c>
      <c r="F1849" s="345">
        <v>1.64</v>
      </c>
      <c r="G1849" s="369">
        <f>TRUNC(E1849*F1849,2)</f>
        <v>0.08</v>
      </c>
      <c r="H1849" s="337"/>
    </row>
    <row r="1850" spans="1:8" ht="15.95" customHeight="1">
      <c r="A1850" s="1317">
        <v>88248</v>
      </c>
      <c r="B1850" s="1351" t="s">
        <v>274</v>
      </c>
      <c r="C1850" s="343" t="s">
        <v>102</v>
      </c>
      <c r="D1850" s="1364" t="s">
        <v>345</v>
      </c>
      <c r="E1850" s="1353">
        <v>0.15</v>
      </c>
      <c r="F1850" s="414">
        <f>G321</f>
        <v>10.9</v>
      </c>
      <c r="G1850" s="424">
        <f>TRUNC(E1850*F1850,2)</f>
        <v>1.63</v>
      </c>
      <c r="H1850" s="337"/>
    </row>
    <row r="1851" spans="1:8" ht="15.95" customHeight="1">
      <c r="A1851" s="1318"/>
      <c r="B1851" s="1352"/>
      <c r="C1851" s="343" t="s">
        <v>89</v>
      </c>
      <c r="D1851" s="1365"/>
      <c r="E1851" s="1354"/>
      <c r="F1851" s="414">
        <f>G322</f>
        <v>4.5600000000000005</v>
      </c>
      <c r="G1851" s="369">
        <f>TRUNC(E1850*F1851,2)</f>
        <v>0.68</v>
      </c>
      <c r="H1851" s="337"/>
    </row>
    <row r="1852" spans="1:8" ht="15.95" customHeight="1">
      <c r="A1852" s="1317">
        <v>88267</v>
      </c>
      <c r="B1852" s="1351" t="s">
        <v>245</v>
      </c>
      <c r="C1852" s="343" t="s">
        <v>102</v>
      </c>
      <c r="D1852" s="1364" t="s">
        <v>345</v>
      </c>
      <c r="E1852" s="1353">
        <v>0.15</v>
      </c>
      <c r="F1852" s="348">
        <f>G338</f>
        <v>15.41</v>
      </c>
      <c r="G1852" s="369">
        <f>TRUNC(E1852*F1852,2)</f>
        <v>2.31</v>
      </c>
      <c r="H1852" s="337"/>
    </row>
    <row r="1853" spans="1:8" ht="15.95" customHeight="1">
      <c r="A1853" s="1318"/>
      <c r="B1853" s="1352"/>
      <c r="C1853" s="343" t="s">
        <v>89</v>
      </c>
      <c r="D1853" s="1365"/>
      <c r="E1853" s="1354"/>
      <c r="F1853" s="348">
        <f>G339</f>
        <v>4.5600000000000005</v>
      </c>
      <c r="G1853" s="369">
        <f t="shared" ref="G1853" si="92">TRUNC(E1852*F1853,2)</f>
        <v>0.68</v>
      </c>
      <c r="H1853" s="337"/>
    </row>
    <row r="1854" spans="1:8" ht="15" customHeight="1">
      <c r="C1854" s="133"/>
      <c r="D1854" s="377"/>
      <c r="E1854" s="426"/>
      <c r="F1854" s="427" t="s">
        <v>92</v>
      </c>
      <c r="G1854" s="379">
        <f>G1850+G1852</f>
        <v>3.94</v>
      </c>
      <c r="H1854" s="130"/>
    </row>
    <row r="1855" spans="1:8" ht="15" customHeight="1">
      <c r="C1855" s="133"/>
      <c r="D1855" s="350"/>
      <c r="E1855" s="428"/>
      <c r="F1855" s="351" t="s">
        <v>94</v>
      </c>
      <c r="G1855" s="369">
        <f>G1846+G1847+G1848+G1849+G1851+G1853</f>
        <v>2.7100000000000004</v>
      </c>
      <c r="H1855" s="130"/>
    </row>
    <row r="1856" spans="1:8" ht="15" customHeight="1">
      <c r="C1856" s="133"/>
      <c r="D1856" s="350"/>
      <c r="E1856" s="428"/>
      <c r="F1856" s="351" t="s">
        <v>95</v>
      </c>
      <c r="G1856" s="370">
        <f>SUM(G1854:G1855)</f>
        <v>6.65</v>
      </c>
      <c r="H1856" s="473"/>
    </row>
    <row r="1857" spans="1:8">
      <c r="A1857" s="429"/>
      <c r="B1857" s="430"/>
      <c r="C1857" s="431"/>
      <c r="D1857" s="429"/>
      <c r="E1857" s="430"/>
      <c r="F1857" s="430"/>
      <c r="G1857" s="430"/>
      <c r="H1857" s="429"/>
    </row>
    <row r="1859" spans="1:8">
      <c r="A1859" s="130" t="s">
        <v>542</v>
      </c>
      <c r="C1859" s="133"/>
      <c r="D1859" s="130"/>
      <c r="E1859" s="135"/>
      <c r="H1859" s="337"/>
    </row>
    <row r="1860" spans="1:8">
      <c r="A1860" s="148" t="s">
        <v>1085</v>
      </c>
      <c r="C1860" s="133"/>
      <c r="D1860" s="130"/>
      <c r="E1860" s="135"/>
      <c r="H1860" s="337"/>
    </row>
    <row r="1861" spans="1:8" ht="24.75" customHeight="1">
      <c r="A1861" s="418" t="s">
        <v>820</v>
      </c>
      <c r="B1861" s="1356" t="s">
        <v>1073</v>
      </c>
      <c r="C1861" s="1356"/>
      <c r="D1861" s="1356"/>
      <c r="E1861" s="472" t="s">
        <v>822</v>
      </c>
      <c r="G1861" s="419"/>
      <c r="H1861" s="337"/>
    </row>
    <row r="1862" spans="1:8" ht="22.5">
      <c r="A1862" s="624" t="s">
        <v>30</v>
      </c>
      <c r="B1862" s="420" t="s">
        <v>19</v>
      </c>
      <c r="C1862" s="343" t="s">
        <v>82</v>
      </c>
      <c r="D1862" s="603" t="s">
        <v>79</v>
      </c>
      <c r="E1862" s="603" t="s">
        <v>83</v>
      </c>
      <c r="F1862" s="345" t="s">
        <v>84</v>
      </c>
      <c r="G1862" s="421" t="s">
        <v>85</v>
      </c>
      <c r="H1862" s="337"/>
    </row>
    <row r="1863" spans="1:8" ht="15" customHeight="1">
      <c r="A1863" s="601" t="s">
        <v>260</v>
      </c>
      <c r="B1863" s="599" t="s">
        <v>261</v>
      </c>
      <c r="C1863" s="343" t="s">
        <v>89</v>
      </c>
      <c r="D1863" s="600" t="s">
        <v>344</v>
      </c>
      <c r="E1863" s="604">
        <v>1.0999999999999999E-2</v>
      </c>
      <c r="F1863" s="345">
        <v>49.68</v>
      </c>
      <c r="G1863" s="369">
        <f>TRUNC(E1863*F1863,2)</f>
        <v>0.54</v>
      </c>
      <c r="H1863" s="337"/>
    </row>
    <row r="1864" spans="1:8" ht="22.5">
      <c r="A1864" s="601" t="s">
        <v>1086</v>
      </c>
      <c r="B1864" s="599" t="s">
        <v>1087</v>
      </c>
      <c r="C1864" s="343" t="s">
        <v>89</v>
      </c>
      <c r="D1864" s="600" t="s">
        <v>344</v>
      </c>
      <c r="E1864" s="604">
        <v>1</v>
      </c>
      <c r="F1864" s="345">
        <v>0.98</v>
      </c>
      <c r="G1864" s="369">
        <f t="shared" ref="G1864:G1865" si="93">TRUNC(E1864*F1864,2)</f>
        <v>0.98</v>
      </c>
      <c r="H1864" s="337"/>
    </row>
    <row r="1865" spans="1:8" ht="22.5">
      <c r="A1865" s="601" t="s">
        <v>265</v>
      </c>
      <c r="B1865" s="599" t="s">
        <v>266</v>
      </c>
      <c r="C1865" s="343" t="s">
        <v>89</v>
      </c>
      <c r="D1865" s="600" t="s">
        <v>344</v>
      </c>
      <c r="E1865" s="604">
        <v>1.2E-2</v>
      </c>
      <c r="F1865" s="345">
        <v>43.14</v>
      </c>
      <c r="G1865" s="369">
        <f t="shared" si="93"/>
        <v>0.51</v>
      </c>
      <c r="H1865" s="337"/>
    </row>
    <row r="1866" spans="1:8" ht="15" customHeight="1">
      <c r="A1866" s="601" t="s">
        <v>269</v>
      </c>
      <c r="B1866" s="599" t="s">
        <v>1077</v>
      </c>
      <c r="C1866" s="343" t="s">
        <v>89</v>
      </c>
      <c r="D1866" s="600" t="s">
        <v>344</v>
      </c>
      <c r="E1866" s="604">
        <v>7.4999999999999997E-2</v>
      </c>
      <c r="F1866" s="345">
        <v>1.64</v>
      </c>
      <c r="G1866" s="369">
        <f>TRUNC(E1866*F1866,2)</f>
        <v>0.12</v>
      </c>
      <c r="H1866" s="337"/>
    </row>
    <row r="1867" spans="1:8" ht="15" customHeight="1">
      <c r="A1867" s="1317">
        <v>88248</v>
      </c>
      <c r="B1867" s="1351" t="s">
        <v>274</v>
      </c>
      <c r="C1867" s="343" t="s">
        <v>102</v>
      </c>
      <c r="D1867" s="1364" t="s">
        <v>345</v>
      </c>
      <c r="E1867" s="1353">
        <v>0.2</v>
      </c>
      <c r="F1867" s="414">
        <f>G338</f>
        <v>15.41</v>
      </c>
      <c r="G1867" s="424">
        <f>TRUNC(E1867*F1867,2)</f>
        <v>3.08</v>
      </c>
      <c r="H1867" s="337"/>
    </row>
    <row r="1868" spans="1:8" ht="15" customHeight="1">
      <c r="A1868" s="1318"/>
      <c r="B1868" s="1352"/>
      <c r="C1868" s="343" t="s">
        <v>89</v>
      </c>
      <c r="D1868" s="1365"/>
      <c r="E1868" s="1354"/>
      <c r="F1868" s="414">
        <f>G339</f>
        <v>4.5600000000000005</v>
      </c>
      <c r="G1868" s="369">
        <f>TRUNC(E1867*F1868,2)</f>
        <v>0.91</v>
      </c>
      <c r="H1868" s="337"/>
    </row>
    <row r="1869" spans="1:8" ht="15" customHeight="1">
      <c r="A1869" s="1317">
        <v>88267</v>
      </c>
      <c r="B1869" s="1351" t="s">
        <v>245</v>
      </c>
      <c r="C1869" s="343" t="s">
        <v>102</v>
      </c>
      <c r="D1869" s="1364" t="s">
        <v>345</v>
      </c>
      <c r="E1869" s="1353">
        <v>0.2</v>
      </c>
      <c r="F1869" s="348">
        <f>G338</f>
        <v>15.41</v>
      </c>
      <c r="G1869" s="369">
        <f>TRUNC(E1869*F1869,2)</f>
        <v>3.08</v>
      </c>
      <c r="H1869" s="337"/>
    </row>
    <row r="1870" spans="1:8" ht="15" customHeight="1">
      <c r="A1870" s="1318"/>
      <c r="B1870" s="1352"/>
      <c r="C1870" s="343" t="s">
        <v>89</v>
      </c>
      <c r="D1870" s="1365"/>
      <c r="E1870" s="1354"/>
      <c r="F1870" s="348">
        <f>G339</f>
        <v>4.5600000000000005</v>
      </c>
      <c r="G1870" s="369">
        <f t="shared" ref="G1870" si="94">TRUNC(E1869*F1870,2)</f>
        <v>0.91</v>
      </c>
      <c r="H1870" s="337"/>
    </row>
    <row r="1871" spans="1:8" ht="15" customHeight="1">
      <c r="C1871" s="133"/>
      <c r="D1871" s="377"/>
      <c r="E1871" s="426"/>
      <c r="F1871" s="427" t="s">
        <v>92</v>
      </c>
      <c r="G1871" s="379">
        <f>G1867+G1869</f>
        <v>6.16</v>
      </c>
      <c r="H1871" s="130"/>
    </row>
    <row r="1872" spans="1:8" ht="15" customHeight="1">
      <c r="C1872" s="133"/>
      <c r="D1872" s="350"/>
      <c r="E1872" s="428"/>
      <c r="F1872" s="351" t="s">
        <v>94</v>
      </c>
      <c r="G1872" s="369">
        <f>G1863+G1864+G1865+G1866+G1868+G1870</f>
        <v>3.9700000000000006</v>
      </c>
      <c r="H1872" s="130"/>
    </row>
    <row r="1873" spans="1:8" ht="15" customHeight="1">
      <c r="C1873" s="133"/>
      <c r="D1873" s="350"/>
      <c r="E1873" s="428"/>
      <c r="F1873" s="351" t="s">
        <v>95</v>
      </c>
      <c r="G1873" s="370">
        <f>SUM(G1871:G1872)</f>
        <v>10.130000000000001</v>
      </c>
      <c r="H1873" s="473"/>
    </row>
    <row r="1874" spans="1:8">
      <c r="A1874" s="429"/>
      <c r="B1874" s="430"/>
      <c r="C1874" s="431"/>
      <c r="D1874" s="429"/>
      <c r="E1874" s="430"/>
      <c r="F1874" s="430"/>
      <c r="G1874" s="430"/>
      <c r="H1874" s="429"/>
    </row>
    <row r="1876" spans="1:8">
      <c r="A1876" s="130" t="s">
        <v>542</v>
      </c>
      <c r="C1876" s="133"/>
      <c r="D1876" s="130"/>
      <c r="E1876" s="135"/>
      <c r="H1876" s="337"/>
    </row>
    <row r="1877" spans="1:8">
      <c r="A1877" s="148" t="s">
        <v>1167</v>
      </c>
      <c r="C1877" s="133"/>
      <c r="D1877" s="130"/>
      <c r="E1877" s="135"/>
      <c r="H1877" s="337"/>
    </row>
    <row r="1878" spans="1:8" ht="27" customHeight="1">
      <c r="A1878" s="418" t="s">
        <v>820</v>
      </c>
      <c r="B1878" s="418" t="s">
        <v>1168</v>
      </c>
      <c r="C1878" s="667" t="s">
        <v>822</v>
      </c>
      <c r="D1878" s="418"/>
      <c r="G1878" s="419"/>
      <c r="H1878" s="337"/>
    </row>
    <row r="1879" spans="1:8" ht="22.5">
      <c r="A1879" s="664" t="s">
        <v>30</v>
      </c>
      <c r="B1879" s="420" t="s">
        <v>19</v>
      </c>
      <c r="C1879" s="343" t="s">
        <v>82</v>
      </c>
      <c r="D1879" s="652" t="s">
        <v>79</v>
      </c>
      <c r="E1879" s="652" t="s">
        <v>83</v>
      </c>
      <c r="F1879" s="345" t="s">
        <v>84</v>
      </c>
      <c r="G1879" s="421" t="s">
        <v>85</v>
      </c>
      <c r="H1879" s="337"/>
    </row>
    <row r="1880" spans="1:8" ht="15" customHeight="1">
      <c r="A1880" s="661" t="s">
        <v>241</v>
      </c>
      <c r="B1880" s="662" t="s">
        <v>242</v>
      </c>
      <c r="C1880" s="343" t="s">
        <v>89</v>
      </c>
      <c r="D1880" s="655" t="s">
        <v>344</v>
      </c>
      <c r="E1880" s="653">
        <v>1.7500000000000002E-2</v>
      </c>
      <c r="F1880" s="345">
        <v>3.39</v>
      </c>
      <c r="G1880" s="369">
        <f>TRUNC(E1880*F1880,2)</f>
        <v>0.05</v>
      </c>
      <c r="H1880" s="337"/>
    </row>
    <row r="1881" spans="1:8" ht="15" customHeight="1">
      <c r="A1881" s="661" t="s">
        <v>1169</v>
      </c>
      <c r="B1881" s="662" t="s">
        <v>1170</v>
      </c>
      <c r="C1881" s="343" t="s">
        <v>89</v>
      </c>
      <c r="D1881" s="655" t="s">
        <v>344</v>
      </c>
      <c r="E1881" s="653">
        <v>1</v>
      </c>
      <c r="F1881" s="345">
        <v>32.880000000000003</v>
      </c>
      <c r="G1881" s="369">
        <f>TRUNC(E1881*F1881,2)</f>
        <v>32.880000000000003</v>
      </c>
      <c r="H1881" s="337"/>
    </row>
    <row r="1882" spans="1:8" ht="15" customHeight="1">
      <c r="A1882" s="1317">
        <v>88316</v>
      </c>
      <c r="B1882" s="1351" t="s">
        <v>106</v>
      </c>
      <c r="C1882" s="343" t="s">
        <v>102</v>
      </c>
      <c r="D1882" s="1364" t="s">
        <v>345</v>
      </c>
      <c r="E1882" s="1353">
        <v>0.05</v>
      </c>
      <c r="F1882" s="414">
        <f>G104</f>
        <v>11.1</v>
      </c>
      <c r="G1882" s="424">
        <f>TRUNC(E1882*F1882,2)</f>
        <v>0.55000000000000004</v>
      </c>
      <c r="H1882" s="337"/>
    </row>
    <row r="1883" spans="1:8" ht="15" customHeight="1">
      <c r="A1883" s="1318"/>
      <c r="B1883" s="1352"/>
      <c r="C1883" s="343" t="s">
        <v>89</v>
      </c>
      <c r="D1883" s="1365"/>
      <c r="E1883" s="1354"/>
      <c r="F1883" s="414">
        <f>G105</f>
        <v>4.5600000000000005</v>
      </c>
      <c r="G1883" s="369">
        <f>TRUNC(E1882*F1883,2)</f>
        <v>0.22</v>
      </c>
      <c r="H1883" s="337"/>
    </row>
    <row r="1884" spans="1:8" ht="15" customHeight="1">
      <c r="A1884" s="1317">
        <v>88267</v>
      </c>
      <c r="B1884" s="1351" t="s">
        <v>245</v>
      </c>
      <c r="C1884" s="343" t="s">
        <v>102</v>
      </c>
      <c r="D1884" s="1364" t="s">
        <v>345</v>
      </c>
      <c r="E1884" s="1353">
        <v>0.15</v>
      </c>
      <c r="F1884" s="348">
        <f>G338</f>
        <v>15.41</v>
      </c>
      <c r="G1884" s="369">
        <f>TRUNC(E1884*F1884,2)</f>
        <v>2.31</v>
      </c>
      <c r="H1884" s="337"/>
    </row>
    <row r="1885" spans="1:8" ht="15" customHeight="1">
      <c r="A1885" s="1318"/>
      <c r="B1885" s="1352"/>
      <c r="C1885" s="343" t="s">
        <v>89</v>
      </c>
      <c r="D1885" s="1365"/>
      <c r="E1885" s="1354"/>
      <c r="F1885" s="348">
        <f>G339</f>
        <v>4.5600000000000005</v>
      </c>
      <c r="G1885" s="369">
        <f t="shared" ref="G1885" si="95">TRUNC(E1884*F1885,2)</f>
        <v>0.68</v>
      </c>
      <c r="H1885" s="337"/>
    </row>
    <row r="1886" spans="1:8" ht="15" customHeight="1">
      <c r="C1886" s="133"/>
      <c r="D1886" s="377"/>
      <c r="E1886" s="426"/>
      <c r="F1886" s="427" t="s">
        <v>92</v>
      </c>
      <c r="G1886" s="379">
        <f>G1882+G1884</f>
        <v>2.8600000000000003</v>
      </c>
      <c r="H1886" s="130"/>
    </row>
    <row r="1887" spans="1:8" ht="15" customHeight="1">
      <c r="C1887" s="133"/>
      <c r="D1887" s="350"/>
      <c r="E1887" s="428"/>
      <c r="F1887" s="351" t="s">
        <v>94</v>
      </c>
      <c r="G1887" s="369">
        <f>G1880+G1881+G1883+G1885</f>
        <v>33.83</v>
      </c>
      <c r="H1887" s="130"/>
    </row>
    <row r="1888" spans="1:8" ht="15" customHeight="1">
      <c r="C1888" s="133"/>
      <c r="D1888" s="350"/>
      <c r="E1888" s="428"/>
      <c r="F1888" s="351" t="s">
        <v>95</v>
      </c>
      <c r="G1888" s="370">
        <f>SUM(G1886:G1887)</f>
        <v>36.69</v>
      </c>
      <c r="H1888" s="473"/>
    </row>
    <row r="1889" spans="1:8">
      <c r="A1889" s="429"/>
      <c r="B1889" s="430"/>
      <c r="C1889" s="431"/>
      <c r="D1889" s="429"/>
      <c r="E1889" s="430"/>
      <c r="F1889" s="430"/>
      <c r="G1889" s="430"/>
      <c r="H1889" s="429"/>
    </row>
    <row r="1891" spans="1:8">
      <c r="A1891" s="130" t="s">
        <v>542</v>
      </c>
      <c r="C1891" s="133"/>
      <c r="D1891" s="130"/>
      <c r="E1891" s="135"/>
      <c r="H1891" s="337"/>
    </row>
    <row r="1892" spans="1:8">
      <c r="A1892" s="148" t="s">
        <v>1171</v>
      </c>
      <c r="C1892" s="133"/>
      <c r="D1892" s="130"/>
      <c r="E1892" s="135"/>
      <c r="H1892" s="337"/>
    </row>
    <row r="1893" spans="1:8" ht="25.5" customHeight="1">
      <c r="A1893" s="418" t="s">
        <v>820</v>
      </c>
      <c r="B1893" s="418" t="s">
        <v>1108</v>
      </c>
      <c r="C1893" s="667" t="s">
        <v>822</v>
      </c>
      <c r="D1893" s="418"/>
      <c r="G1893" s="419"/>
      <c r="H1893" s="337"/>
    </row>
    <row r="1894" spans="1:8" ht="24.75" customHeight="1">
      <c r="A1894" s="664" t="s">
        <v>30</v>
      </c>
      <c r="B1894" s="420" t="s">
        <v>19</v>
      </c>
      <c r="C1894" s="343" t="s">
        <v>82</v>
      </c>
      <c r="D1894" s="652" t="s">
        <v>79</v>
      </c>
      <c r="E1894" s="652" t="s">
        <v>83</v>
      </c>
      <c r="F1894" s="345" t="s">
        <v>84</v>
      </c>
      <c r="G1894" s="421" t="s">
        <v>85</v>
      </c>
      <c r="H1894" s="337"/>
    </row>
    <row r="1895" spans="1:8" ht="33.75">
      <c r="A1895" s="661" t="s">
        <v>1172</v>
      </c>
      <c r="B1895" s="662" t="s">
        <v>1173</v>
      </c>
      <c r="C1895" s="343" t="s">
        <v>89</v>
      </c>
      <c r="D1895" s="655" t="s">
        <v>344</v>
      </c>
      <c r="E1895" s="653">
        <v>2</v>
      </c>
      <c r="F1895" s="345">
        <v>11.94</v>
      </c>
      <c r="G1895" s="369">
        <f>TRUNC(E1895*F1895,2)</f>
        <v>23.88</v>
      </c>
      <c r="H1895" s="337"/>
    </row>
    <row r="1896" spans="1:8" ht="14.1" customHeight="1">
      <c r="A1896" s="661" t="s">
        <v>1174</v>
      </c>
      <c r="B1896" s="662" t="s">
        <v>1177</v>
      </c>
      <c r="C1896" s="343" t="s">
        <v>89</v>
      </c>
      <c r="D1896" s="655" t="s">
        <v>344</v>
      </c>
      <c r="E1896" s="653">
        <v>1</v>
      </c>
      <c r="F1896" s="345">
        <v>1.54</v>
      </c>
      <c r="G1896" s="369">
        <f t="shared" ref="G1896:G1897" si="96">TRUNC(E1896*F1896,2)</f>
        <v>1.54</v>
      </c>
      <c r="H1896" s="337"/>
    </row>
    <row r="1897" spans="1:8" ht="22.5">
      <c r="A1897" s="661" t="s">
        <v>1175</v>
      </c>
      <c r="B1897" s="662" t="s">
        <v>1176</v>
      </c>
      <c r="C1897" s="343" t="s">
        <v>89</v>
      </c>
      <c r="D1897" s="655" t="s">
        <v>344</v>
      </c>
      <c r="E1897" s="653">
        <v>1</v>
      </c>
      <c r="F1897" s="345">
        <v>293.29000000000002</v>
      </c>
      <c r="G1897" s="369">
        <f t="shared" si="96"/>
        <v>293.29000000000002</v>
      </c>
      <c r="H1897" s="337"/>
    </row>
    <row r="1898" spans="1:8" ht="14.1" customHeight="1">
      <c r="A1898" s="661" t="s">
        <v>210</v>
      </c>
      <c r="B1898" s="662" t="s">
        <v>211</v>
      </c>
      <c r="C1898" s="343" t="s">
        <v>89</v>
      </c>
      <c r="D1898" s="655" t="s">
        <v>685</v>
      </c>
      <c r="E1898" s="669">
        <v>0.1469</v>
      </c>
      <c r="F1898" s="414">
        <v>44.3</v>
      </c>
      <c r="G1898" s="369">
        <f>TRUNC(E1898*F1898,2)</f>
        <v>6.5</v>
      </c>
      <c r="H1898" s="337"/>
    </row>
    <row r="1899" spans="1:8" ht="14.1" customHeight="1">
      <c r="A1899" s="1317">
        <v>88316</v>
      </c>
      <c r="B1899" s="1351" t="s">
        <v>106</v>
      </c>
      <c r="C1899" s="343" t="s">
        <v>102</v>
      </c>
      <c r="D1899" s="1364" t="s">
        <v>345</v>
      </c>
      <c r="E1899" s="1353">
        <v>0.44</v>
      </c>
      <c r="F1899" s="414">
        <f>G104</f>
        <v>11.1</v>
      </c>
      <c r="G1899" s="424">
        <f>TRUNC(E1899*F1899,2)</f>
        <v>4.88</v>
      </c>
      <c r="H1899" s="337"/>
    </row>
    <row r="1900" spans="1:8" ht="14.1" customHeight="1">
      <c r="A1900" s="1318"/>
      <c r="B1900" s="1352"/>
      <c r="C1900" s="343" t="s">
        <v>89</v>
      </c>
      <c r="D1900" s="1365"/>
      <c r="E1900" s="1354"/>
      <c r="F1900" s="414">
        <f>G105</f>
        <v>4.5600000000000005</v>
      </c>
      <c r="G1900" s="369">
        <f>TRUNC(E1899*F1900,2)</f>
        <v>2</v>
      </c>
      <c r="H1900" s="337"/>
    </row>
    <row r="1901" spans="1:8" ht="14.1" customHeight="1">
      <c r="A1901" s="1317">
        <v>88267</v>
      </c>
      <c r="B1901" s="1351" t="s">
        <v>245</v>
      </c>
      <c r="C1901" s="343" t="s">
        <v>102</v>
      </c>
      <c r="D1901" s="1364" t="s">
        <v>345</v>
      </c>
      <c r="E1901" s="1353">
        <v>0.78</v>
      </c>
      <c r="F1901" s="348">
        <f>G338</f>
        <v>15.41</v>
      </c>
      <c r="G1901" s="369">
        <f>TRUNC(E1901*F1901,2)</f>
        <v>12.01</v>
      </c>
      <c r="H1901" s="337"/>
    </row>
    <row r="1902" spans="1:8" ht="14.1" customHeight="1">
      <c r="A1902" s="1318"/>
      <c r="B1902" s="1352"/>
      <c r="C1902" s="343" t="s">
        <v>89</v>
      </c>
      <c r="D1902" s="1365"/>
      <c r="E1902" s="1354"/>
      <c r="F1902" s="348">
        <f>G339</f>
        <v>4.5600000000000005</v>
      </c>
      <c r="G1902" s="369">
        <f t="shared" ref="G1902" si="97">TRUNC(E1901*F1902,2)</f>
        <v>3.55</v>
      </c>
      <c r="H1902" s="337"/>
    </row>
    <row r="1903" spans="1:8" ht="14.1" customHeight="1">
      <c r="C1903" s="133"/>
      <c r="D1903" s="377"/>
      <c r="E1903" s="426"/>
      <c r="F1903" s="427" t="s">
        <v>92</v>
      </c>
      <c r="G1903" s="379">
        <f>G1899+G1901</f>
        <v>16.89</v>
      </c>
      <c r="H1903" s="130"/>
    </row>
    <row r="1904" spans="1:8" ht="14.1" customHeight="1">
      <c r="C1904" s="133"/>
      <c r="D1904" s="350"/>
      <c r="E1904" s="428"/>
      <c r="F1904" s="351" t="s">
        <v>94</v>
      </c>
      <c r="G1904" s="369">
        <f>G1895+G1896+G1897+G1898+G1900+G1902</f>
        <v>330.76000000000005</v>
      </c>
      <c r="H1904" s="130"/>
    </row>
    <row r="1905" spans="1:8" ht="14.1" customHeight="1">
      <c r="C1905" s="133"/>
      <c r="D1905" s="350"/>
      <c r="E1905" s="428"/>
      <c r="F1905" s="351" t="s">
        <v>95</v>
      </c>
      <c r="G1905" s="370">
        <f>SUM(G1903:G1904)</f>
        <v>347.65000000000003</v>
      </c>
      <c r="H1905" s="473"/>
    </row>
    <row r="1906" spans="1:8">
      <c r="A1906" s="429"/>
      <c r="B1906" s="430"/>
      <c r="C1906" s="431"/>
      <c r="D1906" s="429"/>
      <c r="E1906" s="430"/>
      <c r="F1906" s="430"/>
      <c r="G1906" s="430"/>
      <c r="H1906" s="429"/>
    </row>
    <row r="1908" spans="1:8">
      <c r="A1908" s="130" t="s">
        <v>542</v>
      </c>
      <c r="C1908" s="133"/>
      <c r="D1908" s="130"/>
      <c r="E1908" s="135"/>
      <c r="H1908" s="337"/>
    </row>
    <row r="1909" spans="1:8">
      <c r="A1909" s="148" t="s">
        <v>1181</v>
      </c>
      <c r="C1909" s="133"/>
      <c r="D1909" s="130"/>
      <c r="E1909" s="135"/>
      <c r="H1909" s="337"/>
    </row>
    <row r="1910" spans="1:8" ht="27.75" customHeight="1">
      <c r="A1910" s="418" t="s">
        <v>820</v>
      </c>
      <c r="B1910" s="418" t="s">
        <v>1182</v>
      </c>
      <c r="C1910" s="667" t="s">
        <v>822</v>
      </c>
      <c r="D1910" s="418"/>
      <c r="G1910" s="419"/>
      <c r="H1910" s="337"/>
    </row>
    <row r="1911" spans="1:8" ht="24" customHeight="1">
      <c r="A1911" s="664" t="s">
        <v>30</v>
      </c>
      <c r="B1911" s="420" t="s">
        <v>19</v>
      </c>
      <c r="C1911" s="343" t="s">
        <v>82</v>
      </c>
      <c r="D1911" s="652" t="s">
        <v>79</v>
      </c>
      <c r="E1911" s="652" t="s">
        <v>83</v>
      </c>
      <c r="F1911" s="345" t="s">
        <v>84</v>
      </c>
      <c r="G1911" s="421" t="s">
        <v>85</v>
      </c>
      <c r="H1911" s="337"/>
    </row>
    <row r="1912" spans="1:8" ht="33.75">
      <c r="A1912" s="661" t="s">
        <v>1172</v>
      </c>
      <c r="B1912" s="662" t="s">
        <v>1173</v>
      </c>
      <c r="C1912" s="343" t="s">
        <v>89</v>
      </c>
      <c r="D1912" s="655" t="s">
        <v>344</v>
      </c>
      <c r="E1912" s="653">
        <v>2</v>
      </c>
      <c r="F1912" s="345">
        <v>11.94</v>
      </c>
      <c r="G1912" s="369">
        <f>TRUNC(E1912*F1912,2)</f>
        <v>23.88</v>
      </c>
      <c r="H1912" s="337"/>
    </row>
    <row r="1913" spans="1:8" ht="14.1" customHeight="1">
      <c r="A1913" s="661" t="s">
        <v>1174</v>
      </c>
      <c r="B1913" s="662" t="s">
        <v>1177</v>
      </c>
      <c r="C1913" s="343" t="s">
        <v>89</v>
      </c>
      <c r="D1913" s="655" t="s">
        <v>344</v>
      </c>
      <c r="E1913" s="653">
        <v>1</v>
      </c>
      <c r="F1913" s="345">
        <v>1.54</v>
      </c>
      <c r="G1913" s="369">
        <f t="shared" ref="G1913:G1914" si="98">TRUNC(E1913*F1913,2)</f>
        <v>1.54</v>
      </c>
      <c r="H1913" s="337"/>
    </row>
    <row r="1914" spans="1:8" ht="22.5">
      <c r="A1914" s="661">
        <v>10420</v>
      </c>
      <c r="B1914" s="662" t="s">
        <v>1183</v>
      </c>
      <c r="C1914" s="343" t="s">
        <v>89</v>
      </c>
      <c r="D1914" s="655" t="s">
        <v>344</v>
      </c>
      <c r="E1914" s="653">
        <v>1</v>
      </c>
      <c r="F1914" s="414">
        <v>110</v>
      </c>
      <c r="G1914" s="369">
        <f t="shared" si="98"/>
        <v>110</v>
      </c>
      <c r="H1914" s="337"/>
    </row>
    <row r="1915" spans="1:8" ht="14.1" customHeight="1">
      <c r="A1915" s="661" t="s">
        <v>210</v>
      </c>
      <c r="B1915" s="662" t="s">
        <v>211</v>
      </c>
      <c r="C1915" s="343" t="s">
        <v>89</v>
      </c>
      <c r="D1915" s="655" t="s">
        <v>685</v>
      </c>
      <c r="E1915" s="669">
        <v>0.1469</v>
      </c>
      <c r="F1915" s="414">
        <v>44.3</v>
      </c>
      <c r="G1915" s="369">
        <f>TRUNC(E1915*F1915,2)</f>
        <v>6.5</v>
      </c>
      <c r="H1915" s="337"/>
    </row>
    <row r="1916" spans="1:8" ht="14.1" customHeight="1">
      <c r="A1916" s="1317">
        <v>88316</v>
      </c>
      <c r="B1916" s="1351" t="s">
        <v>106</v>
      </c>
      <c r="C1916" s="343" t="s">
        <v>102</v>
      </c>
      <c r="D1916" s="1364" t="s">
        <v>345</v>
      </c>
      <c r="E1916" s="1353">
        <v>0.44</v>
      </c>
      <c r="F1916" s="414">
        <f>G104</f>
        <v>11.1</v>
      </c>
      <c r="G1916" s="424">
        <f>TRUNC(E1916*F1916,2)</f>
        <v>4.88</v>
      </c>
      <c r="H1916" s="337"/>
    </row>
    <row r="1917" spans="1:8" ht="14.1" customHeight="1">
      <c r="A1917" s="1318"/>
      <c r="B1917" s="1352"/>
      <c r="C1917" s="343" t="s">
        <v>89</v>
      </c>
      <c r="D1917" s="1365"/>
      <c r="E1917" s="1354"/>
      <c r="F1917" s="414">
        <f>G105</f>
        <v>4.5600000000000005</v>
      </c>
      <c r="G1917" s="369">
        <f>TRUNC(E1916*F1917,2)</f>
        <v>2</v>
      </c>
      <c r="H1917" s="337"/>
    </row>
    <row r="1918" spans="1:8" ht="14.1" customHeight="1">
      <c r="A1918" s="1317">
        <v>88267</v>
      </c>
      <c r="B1918" s="1351" t="s">
        <v>245</v>
      </c>
      <c r="C1918" s="343" t="s">
        <v>102</v>
      </c>
      <c r="D1918" s="1364" t="s">
        <v>345</v>
      </c>
      <c r="E1918" s="1353">
        <v>0.78</v>
      </c>
      <c r="F1918" s="348">
        <f>G338</f>
        <v>15.41</v>
      </c>
      <c r="G1918" s="369">
        <f>TRUNC(E1918*F1918,2)</f>
        <v>12.01</v>
      </c>
      <c r="H1918" s="337"/>
    </row>
    <row r="1919" spans="1:8" ht="14.1" customHeight="1">
      <c r="A1919" s="1318"/>
      <c r="B1919" s="1352"/>
      <c r="C1919" s="343" t="s">
        <v>89</v>
      </c>
      <c r="D1919" s="1365"/>
      <c r="E1919" s="1354"/>
      <c r="F1919" s="348">
        <f>G339</f>
        <v>4.5600000000000005</v>
      </c>
      <c r="G1919" s="369">
        <f t="shared" ref="G1919" si="99">TRUNC(E1918*F1919,2)</f>
        <v>3.55</v>
      </c>
      <c r="H1919" s="337"/>
    </row>
    <row r="1920" spans="1:8" ht="14.1" customHeight="1">
      <c r="C1920" s="133"/>
      <c r="D1920" s="377"/>
      <c r="E1920" s="426"/>
      <c r="F1920" s="427" t="s">
        <v>92</v>
      </c>
      <c r="G1920" s="379">
        <f>G1916+G1918</f>
        <v>16.89</v>
      </c>
      <c r="H1920" s="130"/>
    </row>
    <row r="1921" spans="1:8" ht="14.1" customHeight="1">
      <c r="C1921" s="133"/>
      <c r="D1921" s="350"/>
      <c r="E1921" s="428"/>
      <c r="F1921" s="351" t="s">
        <v>94</v>
      </c>
      <c r="G1921" s="369">
        <f>G1912+G1913+G1914+G1915+G1917+G1919</f>
        <v>147.47</v>
      </c>
      <c r="H1921" s="130"/>
    </row>
    <row r="1922" spans="1:8" ht="14.1" customHeight="1">
      <c r="C1922" s="133"/>
      <c r="D1922" s="350"/>
      <c r="E1922" s="428"/>
      <c r="F1922" s="351" t="s">
        <v>95</v>
      </c>
      <c r="G1922" s="370">
        <f>SUM(G1920:G1921)</f>
        <v>164.36</v>
      </c>
      <c r="H1922" s="473"/>
    </row>
    <row r="1923" spans="1:8">
      <c r="A1923" s="429"/>
      <c r="B1923" s="430"/>
      <c r="C1923" s="431"/>
      <c r="D1923" s="429"/>
      <c r="E1923" s="430"/>
      <c r="F1923" s="430"/>
      <c r="G1923" s="430"/>
      <c r="H1923" s="429"/>
    </row>
    <row r="1925" spans="1:8">
      <c r="A1925" s="130" t="s">
        <v>542</v>
      </c>
      <c r="C1925" s="133"/>
      <c r="D1925" s="130"/>
      <c r="E1925" s="135"/>
      <c r="H1925" s="337"/>
    </row>
    <row r="1926" spans="1:8">
      <c r="A1926" s="148" t="s">
        <v>1521</v>
      </c>
      <c r="C1926" s="133"/>
      <c r="D1926" s="130"/>
      <c r="E1926" s="135"/>
      <c r="H1926" s="337"/>
    </row>
    <row r="1927" spans="1:8" ht="28.5" customHeight="1">
      <c r="A1927" s="418" t="s">
        <v>820</v>
      </c>
      <c r="B1927" s="1356" t="s">
        <v>1520</v>
      </c>
      <c r="C1927" s="1356"/>
      <c r="D1927" s="1356"/>
      <c r="E1927" s="854" t="s">
        <v>822</v>
      </c>
      <c r="G1927" s="419"/>
      <c r="H1927" s="337"/>
    </row>
    <row r="1928" spans="1:8" ht="26.25" customHeight="1">
      <c r="A1928" s="847" t="s">
        <v>30</v>
      </c>
      <c r="B1928" s="420" t="s">
        <v>19</v>
      </c>
      <c r="C1928" s="343" t="s">
        <v>82</v>
      </c>
      <c r="D1928" s="845" t="s">
        <v>79</v>
      </c>
      <c r="E1928" s="845" t="s">
        <v>83</v>
      </c>
      <c r="F1928" s="345" t="s">
        <v>84</v>
      </c>
      <c r="G1928" s="421" t="s">
        <v>85</v>
      </c>
      <c r="H1928" s="337"/>
    </row>
    <row r="1929" spans="1:8" ht="33.75">
      <c r="A1929" s="842" t="s">
        <v>1172</v>
      </c>
      <c r="B1929" s="843" t="s">
        <v>1173</v>
      </c>
      <c r="C1929" s="343" t="s">
        <v>89</v>
      </c>
      <c r="D1929" s="846" t="s">
        <v>344</v>
      </c>
      <c r="E1929" s="844">
        <v>2</v>
      </c>
      <c r="F1929" s="345">
        <v>11.94</v>
      </c>
      <c r="G1929" s="369">
        <f>TRUNC(E1929*F1929,2)</f>
        <v>23.88</v>
      </c>
      <c r="H1929" s="337"/>
    </row>
    <row r="1930" spans="1:8" ht="15" customHeight="1">
      <c r="A1930" s="842" t="s">
        <v>1174</v>
      </c>
      <c r="B1930" s="843" t="s">
        <v>1177</v>
      </c>
      <c r="C1930" s="343" t="s">
        <v>89</v>
      </c>
      <c r="D1930" s="846" t="s">
        <v>344</v>
      </c>
      <c r="E1930" s="844">
        <v>1</v>
      </c>
      <c r="F1930" s="345">
        <v>1.54</v>
      </c>
      <c r="G1930" s="369">
        <f t="shared" ref="G1930:G1931" si="100">TRUNC(E1930*F1930,2)</f>
        <v>1.54</v>
      </c>
      <c r="H1930" s="337"/>
    </row>
    <row r="1931" spans="1:8" ht="24.75" customHeight="1">
      <c r="A1931" s="842">
        <v>36520</v>
      </c>
      <c r="B1931" s="843" t="s">
        <v>1522</v>
      </c>
      <c r="C1931" s="343" t="s">
        <v>89</v>
      </c>
      <c r="D1931" s="846" t="s">
        <v>344</v>
      </c>
      <c r="E1931" s="844">
        <v>1</v>
      </c>
      <c r="F1931" s="414">
        <v>548.03</v>
      </c>
      <c r="G1931" s="369">
        <f t="shared" si="100"/>
        <v>548.03</v>
      </c>
      <c r="H1931" s="337"/>
    </row>
    <row r="1932" spans="1:8" ht="15" customHeight="1">
      <c r="A1932" s="842" t="s">
        <v>210</v>
      </c>
      <c r="B1932" s="843" t="s">
        <v>211</v>
      </c>
      <c r="C1932" s="343" t="s">
        <v>89</v>
      </c>
      <c r="D1932" s="846" t="s">
        <v>685</v>
      </c>
      <c r="E1932" s="852">
        <v>0.1469</v>
      </c>
      <c r="F1932" s="414">
        <v>44.3</v>
      </c>
      <c r="G1932" s="369">
        <f>TRUNC(E1932*F1932,2)</f>
        <v>6.5</v>
      </c>
      <c r="H1932" s="337"/>
    </row>
    <row r="1933" spans="1:8" ht="15" customHeight="1">
      <c r="A1933" s="1317">
        <v>88316</v>
      </c>
      <c r="B1933" s="1351" t="s">
        <v>106</v>
      </c>
      <c r="C1933" s="343" t="s">
        <v>102</v>
      </c>
      <c r="D1933" s="1364" t="s">
        <v>345</v>
      </c>
      <c r="E1933" s="1353">
        <v>0.44</v>
      </c>
      <c r="F1933" s="414">
        <f>G104</f>
        <v>11.1</v>
      </c>
      <c r="G1933" s="424">
        <f>TRUNC(E1933*F1933,2)</f>
        <v>4.88</v>
      </c>
      <c r="H1933" s="337"/>
    </row>
    <row r="1934" spans="1:8" ht="15" customHeight="1">
      <c r="A1934" s="1318"/>
      <c r="B1934" s="1352"/>
      <c r="C1934" s="343" t="s">
        <v>89</v>
      </c>
      <c r="D1934" s="1365"/>
      <c r="E1934" s="1354"/>
      <c r="F1934" s="414">
        <f>G105</f>
        <v>4.5600000000000005</v>
      </c>
      <c r="G1934" s="369">
        <f>TRUNC(E1933*F1934,2)</f>
        <v>2</v>
      </c>
      <c r="H1934" s="337"/>
    </row>
    <row r="1935" spans="1:8" ht="15" customHeight="1">
      <c r="A1935" s="1317">
        <v>88267</v>
      </c>
      <c r="B1935" s="1351" t="s">
        <v>245</v>
      </c>
      <c r="C1935" s="343" t="s">
        <v>102</v>
      </c>
      <c r="D1935" s="1364" t="s">
        <v>345</v>
      </c>
      <c r="E1935" s="1353">
        <v>0.78</v>
      </c>
      <c r="F1935" s="348">
        <f>G338</f>
        <v>15.41</v>
      </c>
      <c r="G1935" s="369">
        <f>TRUNC(E1935*F1935,2)</f>
        <v>12.01</v>
      </c>
      <c r="H1935" s="337"/>
    </row>
    <row r="1936" spans="1:8" ht="15" customHeight="1">
      <c r="A1936" s="1318"/>
      <c r="B1936" s="1352"/>
      <c r="C1936" s="343" t="s">
        <v>89</v>
      </c>
      <c r="D1936" s="1365"/>
      <c r="E1936" s="1354"/>
      <c r="F1936" s="348">
        <f>G339</f>
        <v>4.5600000000000005</v>
      </c>
      <c r="G1936" s="369">
        <f t="shared" ref="G1936" si="101">TRUNC(E1935*F1936,2)</f>
        <v>3.55</v>
      </c>
      <c r="H1936" s="337"/>
    </row>
    <row r="1937" spans="1:8" ht="15" customHeight="1">
      <c r="C1937" s="133"/>
      <c r="D1937" s="377"/>
      <c r="E1937" s="426"/>
      <c r="F1937" s="427" t="s">
        <v>92</v>
      </c>
      <c r="G1937" s="379">
        <f>G1933+G1935</f>
        <v>16.89</v>
      </c>
      <c r="H1937" s="130"/>
    </row>
    <row r="1938" spans="1:8" ht="15" customHeight="1">
      <c r="C1938" s="133"/>
      <c r="D1938" s="350"/>
      <c r="E1938" s="428"/>
      <c r="F1938" s="351" t="s">
        <v>94</v>
      </c>
      <c r="G1938" s="369">
        <f>G1929+G1930+G1931+G1932+G1934+G1936</f>
        <v>585.49999999999989</v>
      </c>
      <c r="H1938" s="130"/>
    </row>
    <row r="1939" spans="1:8" ht="15" customHeight="1">
      <c r="C1939" s="133"/>
      <c r="D1939" s="350"/>
      <c r="E1939" s="428"/>
      <c r="F1939" s="351" t="s">
        <v>95</v>
      </c>
      <c r="G1939" s="370">
        <f>SUM(G1937:G1938)</f>
        <v>602.38999999999987</v>
      </c>
      <c r="H1939" s="473"/>
    </row>
    <row r="1940" spans="1:8">
      <c r="A1940" s="429"/>
      <c r="B1940" s="430"/>
      <c r="C1940" s="431"/>
      <c r="D1940" s="429"/>
      <c r="E1940" s="430"/>
      <c r="F1940" s="430"/>
      <c r="G1940" s="430"/>
      <c r="H1940" s="429"/>
    </row>
    <row r="1942" spans="1:8">
      <c r="A1942" s="130" t="s">
        <v>542</v>
      </c>
      <c r="C1942" s="133"/>
      <c r="D1942" s="130"/>
      <c r="E1942" s="135"/>
      <c r="H1942" s="337"/>
    </row>
    <row r="1943" spans="1:8">
      <c r="A1943" s="148" t="s">
        <v>2033</v>
      </c>
      <c r="C1943" s="133"/>
      <c r="D1943" s="130"/>
      <c r="E1943" s="135"/>
      <c r="H1943" s="337"/>
    </row>
    <row r="1944" spans="1:8" ht="25.5" customHeight="1">
      <c r="A1944" s="418" t="s">
        <v>820</v>
      </c>
      <c r="B1944" s="1356" t="s">
        <v>2034</v>
      </c>
      <c r="C1944" s="1356"/>
      <c r="D1944" s="1356"/>
      <c r="E1944" s="950" t="s">
        <v>822</v>
      </c>
      <c r="G1944" s="419"/>
      <c r="H1944" s="337"/>
    </row>
    <row r="1945" spans="1:8" ht="24" customHeight="1">
      <c r="A1945" s="1013" t="s">
        <v>30</v>
      </c>
      <c r="B1945" s="420" t="s">
        <v>19</v>
      </c>
      <c r="C1945" s="343" t="s">
        <v>82</v>
      </c>
      <c r="D1945" s="1004" t="s">
        <v>79</v>
      </c>
      <c r="E1945" s="1004" t="s">
        <v>83</v>
      </c>
      <c r="F1945" s="345" t="s">
        <v>84</v>
      </c>
      <c r="G1945" s="421" t="s">
        <v>85</v>
      </c>
      <c r="H1945" s="337"/>
    </row>
    <row r="1946" spans="1:8" ht="14.1" customHeight="1">
      <c r="A1946" s="1012" t="s">
        <v>241</v>
      </c>
      <c r="B1946" s="1003" t="s">
        <v>242</v>
      </c>
      <c r="C1946" s="343" t="s">
        <v>89</v>
      </c>
      <c r="D1946" s="1006" t="s">
        <v>344</v>
      </c>
      <c r="E1946" s="1005">
        <v>0.04</v>
      </c>
      <c r="F1946" s="345">
        <v>11.94</v>
      </c>
      <c r="G1946" s="369">
        <f>TRUNC(E1946*F1946,2)</f>
        <v>0.47</v>
      </c>
      <c r="H1946" s="337"/>
    </row>
    <row r="1947" spans="1:8" ht="22.5">
      <c r="A1947" s="1012" t="s">
        <v>2035</v>
      </c>
      <c r="B1947" s="1003" t="s">
        <v>2036</v>
      </c>
      <c r="C1947" s="343" t="s">
        <v>89</v>
      </c>
      <c r="D1947" s="1006" t="s">
        <v>344</v>
      </c>
      <c r="E1947" s="1005">
        <v>1</v>
      </c>
      <c r="F1947" s="345">
        <v>1.54</v>
      </c>
      <c r="G1947" s="369">
        <f t="shared" ref="G1947" si="102">TRUNC(E1947*F1947,2)</f>
        <v>1.54</v>
      </c>
      <c r="H1947" s="337"/>
    </row>
    <row r="1948" spans="1:8" ht="14.1" customHeight="1">
      <c r="A1948" s="1317">
        <v>88316</v>
      </c>
      <c r="B1948" s="1351" t="s">
        <v>106</v>
      </c>
      <c r="C1948" s="343" t="s">
        <v>102</v>
      </c>
      <c r="D1948" s="1364" t="s">
        <v>345</v>
      </c>
      <c r="E1948" s="1315">
        <v>0.05</v>
      </c>
      <c r="F1948" s="414">
        <f>G104</f>
        <v>11.1</v>
      </c>
      <c r="G1948" s="424">
        <f>TRUNC(E1948*F1948,2)</f>
        <v>0.55000000000000004</v>
      </c>
      <c r="H1948" s="337"/>
    </row>
    <row r="1949" spans="1:8" ht="14.1" customHeight="1">
      <c r="A1949" s="1318"/>
      <c r="B1949" s="1352"/>
      <c r="C1949" s="343" t="s">
        <v>89</v>
      </c>
      <c r="D1949" s="1365"/>
      <c r="E1949" s="1316"/>
      <c r="F1949" s="414">
        <f>G105</f>
        <v>4.5600000000000005</v>
      </c>
      <c r="G1949" s="369">
        <f>TRUNC(E1948*F1949,2)</f>
        <v>0.22</v>
      </c>
      <c r="H1949" s="337"/>
    </row>
    <row r="1950" spans="1:8" ht="14.1" customHeight="1">
      <c r="A1950" s="1317">
        <v>88267</v>
      </c>
      <c r="B1950" s="1351" t="s">
        <v>245</v>
      </c>
      <c r="C1950" s="343" t="s">
        <v>102</v>
      </c>
      <c r="D1950" s="1364" t="s">
        <v>345</v>
      </c>
      <c r="E1950" s="1315">
        <v>0.17</v>
      </c>
      <c r="F1950" s="348">
        <f>G338</f>
        <v>15.41</v>
      </c>
      <c r="G1950" s="369">
        <f>TRUNC(E1950*F1950,2)</f>
        <v>2.61</v>
      </c>
      <c r="H1950" s="337"/>
    </row>
    <row r="1951" spans="1:8" ht="14.1" customHeight="1">
      <c r="A1951" s="1318"/>
      <c r="B1951" s="1352"/>
      <c r="C1951" s="343" t="s">
        <v>89</v>
      </c>
      <c r="D1951" s="1365"/>
      <c r="E1951" s="1316"/>
      <c r="F1951" s="348">
        <f>G339</f>
        <v>4.5600000000000005</v>
      </c>
      <c r="G1951" s="369">
        <f t="shared" ref="G1951" si="103">TRUNC(E1950*F1951,2)</f>
        <v>0.77</v>
      </c>
      <c r="H1951" s="337"/>
    </row>
    <row r="1952" spans="1:8" ht="14.1" customHeight="1">
      <c r="C1952" s="133"/>
      <c r="D1952" s="377"/>
      <c r="E1952" s="426"/>
      <c r="F1952" s="427" t="s">
        <v>92</v>
      </c>
      <c r="G1952" s="379">
        <f>G1948+G1950</f>
        <v>3.16</v>
      </c>
      <c r="H1952" s="130"/>
    </row>
    <row r="1953" spans="1:8" ht="14.1" customHeight="1">
      <c r="C1953" s="133"/>
      <c r="D1953" s="350"/>
      <c r="E1953" s="428"/>
      <c r="F1953" s="351" t="s">
        <v>94</v>
      </c>
      <c r="G1953" s="369">
        <f>G1946+G1947+G1949+G1951</f>
        <v>3</v>
      </c>
      <c r="H1953" s="130"/>
    </row>
    <row r="1954" spans="1:8" ht="14.1" customHeight="1">
      <c r="C1954" s="133"/>
      <c r="D1954" s="350"/>
      <c r="E1954" s="428"/>
      <c r="F1954" s="351" t="s">
        <v>95</v>
      </c>
      <c r="G1954" s="370">
        <f>SUM(G1952:G1953)</f>
        <v>6.16</v>
      </c>
      <c r="H1954" s="473"/>
    </row>
    <row r="1955" spans="1:8">
      <c r="A1955" s="429"/>
      <c r="B1955" s="430"/>
      <c r="C1955" s="431"/>
      <c r="D1955" s="429"/>
      <c r="E1955" s="430"/>
      <c r="F1955" s="430"/>
      <c r="G1955" s="430"/>
      <c r="H1955" s="429"/>
    </row>
    <row r="1957" spans="1:8">
      <c r="A1957" s="130" t="s">
        <v>542</v>
      </c>
      <c r="C1957" s="133"/>
      <c r="D1957" s="130"/>
      <c r="E1957" s="135"/>
      <c r="H1957" s="337"/>
    </row>
    <row r="1958" spans="1:8">
      <c r="A1958" s="148" t="s">
        <v>2037</v>
      </c>
      <c r="C1958" s="133"/>
      <c r="D1958" s="130"/>
      <c r="E1958" s="135"/>
      <c r="H1958" s="337"/>
    </row>
    <row r="1959" spans="1:8" ht="15.75" customHeight="1">
      <c r="A1959" s="418" t="s">
        <v>820</v>
      </c>
      <c r="B1959" s="1356" t="s">
        <v>2032</v>
      </c>
      <c r="C1959" s="1356"/>
      <c r="D1959" s="1356"/>
      <c r="E1959" s="635" t="s">
        <v>822</v>
      </c>
      <c r="G1959" s="419"/>
      <c r="H1959" s="337"/>
    </row>
    <row r="1960" spans="1:8" ht="22.5">
      <c r="A1960" s="1013" t="s">
        <v>30</v>
      </c>
      <c r="B1960" s="420" t="s">
        <v>19</v>
      </c>
      <c r="C1960" s="343" t="s">
        <v>82</v>
      </c>
      <c r="D1960" s="1004" t="s">
        <v>79</v>
      </c>
      <c r="E1960" s="1004" t="s">
        <v>83</v>
      </c>
      <c r="F1960" s="345" t="s">
        <v>84</v>
      </c>
      <c r="G1960" s="421" t="s">
        <v>85</v>
      </c>
      <c r="H1960" s="337"/>
    </row>
    <row r="1961" spans="1:8" ht="15" customHeight="1">
      <c r="A1961" s="1012" t="s">
        <v>241</v>
      </c>
      <c r="B1961" s="1003" t="s">
        <v>242</v>
      </c>
      <c r="C1961" s="343" t="s">
        <v>89</v>
      </c>
      <c r="D1961" s="1006" t="s">
        <v>344</v>
      </c>
      <c r="E1961" s="1005">
        <v>0.05</v>
      </c>
      <c r="F1961" s="345">
        <v>11.94</v>
      </c>
      <c r="G1961" s="369">
        <f>TRUNC(E1961*F1961,2)</f>
        <v>0.59</v>
      </c>
      <c r="H1961" s="337"/>
    </row>
    <row r="1962" spans="1:8" ht="22.5">
      <c r="A1962" s="1012" t="s">
        <v>2038</v>
      </c>
      <c r="B1962" s="1003" t="s">
        <v>2039</v>
      </c>
      <c r="C1962" s="343" t="s">
        <v>89</v>
      </c>
      <c r="D1962" s="1006" t="s">
        <v>344</v>
      </c>
      <c r="E1962" s="1005">
        <v>1</v>
      </c>
      <c r="F1962" s="345">
        <v>6.42</v>
      </c>
      <c r="G1962" s="369">
        <f t="shared" ref="G1962" si="104">TRUNC(E1962*F1962,2)</f>
        <v>6.42</v>
      </c>
      <c r="H1962" s="337"/>
    </row>
    <row r="1963" spans="1:8" ht="15" customHeight="1">
      <c r="A1963" s="1317">
        <v>88316</v>
      </c>
      <c r="B1963" s="1351" t="s">
        <v>106</v>
      </c>
      <c r="C1963" s="343" t="s">
        <v>102</v>
      </c>
      <c r="D1963" s="1364" t="s">
        <v>345</v>
      </c>
      <c r="E1963" s="1315">
        <v>0.03</v>
      </c>
      <c r="F1963" s="414">
        <f>G104</f>
        <v>11.1</v>
      </c>
      <c r="G1963" s="424">
        <f>TRUNC(E1963*F1963,2)</f>
        <v>0.33</v>
      </c>
      <c r="H1963" s="337"/>
    </row>
    <row r="1964" spans="1:8" ht="15" customHeight="1">
      <c r="A1964" s="1318"/>
      <c r="B1964" s="1352"/>
      <c r="C1964" s="343" t="s">
        <v>89</v>
      </c>
      <c r="D1964" s="1365"/>
      <c r="E1964" s="1316"/>
      <c r="F1964" s="414">
        <f>G105</f>
        <v>4.5600000000000005</v>
      </c>
      <c r="G1964" s="369">
        <f>TRUNC(E1963*F1964,2)</f>
        <v>0.13</v>
      </c>
      <c r="H1964" s="337"/>
    </row>
    <row r="1965" spans="1:8" ht="15" customHeight="1">
      <c r="A1965" s="1317">
        <v>88267</v>
      </c>
      <c r="B1965" s="1351" t="s">
        <v>245</v>
      </c>
      <c r="C1965" s="343" t="s">
        <v>102</v>
      </c>
      <c r="D1965" s="1364" t="s">
        <v>345</v>
      </c>
      <c r="E1965" s="1315">
        <v>0.08</v>
      </c>
      <c r="F1965" s="348">
        <f>G338</f>
        <v>15.41</v>
      </c>
      <c r="G1965" s="369">
        <f>TRUNC(E1965*F1965,2)</f>
        <v>1.23</v>
      </c>
      <c r="H1965" s="337"/>
    </row>
    <row r="1966" spans="1:8" ht="15" customHeight="1">
      <c r="A1966" s="1318"/>
      <c r="B1966" s="1352"/>
      <c r="C1966" s="343" t="s">
        <v>89</v>
      </c>
      <c r="D1966" s="1365"/>
      <c r="E1966" s="1316"/>
      <c r="F1966" s="348">
        <f>G339</f>
        <v>4.5600000000000005</v>
      </c>
      <c r="G1966" s="369">
        <f t="shared" ref="G1966" si="105">TRUNC(E1965*F1966,2)</f>
        <v>0.36</v>
      </c>
      <c r="H1966" s="337"/>
    </row>
    <row r="1967" spans="1:8" ht="15" customHeight="1">
      <c r="C1967" s="133"/>
      <c r="D1967" s="377"/>
      <c r="E1967" s="426"/>
      <c r="F1967" s="427" t="s">
        <v>92</v>
      </c>
      <c r="G1967" s="379">
        <f>G1963+G1965</f>
        <v>1.56</v>
      </c>
      <c r="H1967" s="130"/>
    </row>
    <row r="1968" spans="1:8" ht="15" customHeight="1">
      <c r="C1968" s="133"/>
      <c r="D1968" s="350"/>
      <c r="E1968" s="428"/>
      <c r="F1968" s="351" t="s">
        <v>94</v>
      </c>
      <c r="G1968" s="369">
        <f>G1961+G1962+G1964+G1966</f>
        <v>7.5</v>
      </c>
      <c r="H1968" s="130"/>
    </row>
    <row r="1969" spans="1:10" ht="15" customHeight="1">
      <c r="C1969" s="133"/>
      <c r="D1969" s="350"/>
      <c r="E1969" s="428"/>
      <c r="F1969" s="351" t="s">
        <v>95</v>
      </c>
      <c r="G1969" s="370">
        <f>SUM(G1967:G1968)</f>
        <v>9.06</v>
      </c>
      <c r="H1969" s="473"/>
    </row>
    <row r="1970" spans="1:10">
      <c r="A1970" s="429"/>
      <c r="B1970" s="430"/>
      <c r="C1970" s="431"/>
      <c r="D1970" s="429"/>
      <c r="E1970" s="430"/>
      <c r="F1970" s="430"/>
      <c r="G1970" s="430"/>
      <c r="H1970" s="429"/>
    </row>
    <row r="1972" spans="1:10">
      <c r="A1972" s="130" t="s">
        <v>542</v>
      </c>
      <c r="C1972" s="133"/>
      <c r="D1972" s="130"/>
      <c r="E1972" s="135"/>
      <c r="H1972" s="337"/>
    </row>
    <row r="1973" spans="1:10">
      <c r="A1973" s="148" t="s">
        <v>2165</v>
      </c>
      <c r="C1973" s="133"/>
      <c r="D1973" s="130"/>
      <c r="E1973" s="135"/>
      <c r="H1973" s="337"/>
    </row>
    <row r="1974" spans="1:10" ht="24.75" customHeight="1">
      <c r="A1974" s="418" t="s">
        <v>820</v>
      </c>
      <c r="B1974" s="1356" t="s">
        <v>2054</v>
      </c>
      <c r="C1974" s="1356"/>
      <c r="D1974" s="1356"/>
      <c r="E1974" s="635" t="s">
        <v>822</v>
      </c>
      <c r="G1974" s="419"/>
      <c r="H1974" s="337"/>
    </row>
    <row r="1975" spans="1:10" ht="22.5">
      <c r="A1975" s="1013" t="s">
        <v>30</v>
      </c>
      <c r="B1975" s="420" t="s">
        <v>19</v>
      </c>
      <c r="C1975" s="343" t="s">
        <v>82</v>
      </c>
      <c r="D1975" s="1004" t="s">
        <v>79</v>
      </c>
      <c r="E1975" s="1004" t="s">
        <v>83</v>
      </c>
      <c r="F1975" s="345" t="s">
        <v>84</v>
      </c>
      <c r="G1975" s="421" t="s">
        <v>85</v>
      </c>
      <c r="H1975" s="337"/>
    </row>
    <row r="1976" spans="1:10" ht="15" customHeight="1">
      <c r="A1976" s="1012" t="s">
        <v>215</v>
      </c>
      <c r="B1976" s="1003" t="s">
        <v>216</v>
      </c>
      <c r="C1976" s="343" t="s">
        <v>89</v>
      </c>
      <c r="D1976" s="1006" t="s">
        <v>344</v>
      </c>
      <c r="E1976" s="1008">
        <v>0.52710000000000001</v>
      </c>
      <c r="F1976" s="345">
        <v>28.09</v>
      </c>
      <c r="G1976" s="369">
        <f>TRUNC(E1976*F1976,2)</f>
        <v>14.8</v>
      </c>
      <c r="H1976" s="337"/>
      <c r="J1976" s="130" t="s">
        <v>2056</v>
      </c>
    </row>
    <row r="1977" spans="1:10" ht="22.5">
      <c r="A1977" s="1012" t="s">
        <v>81</v>
      </c>
      <c r="B1977" s="1003" t="s">
        <v>2055</v>
      </c>
      <c r="C1977" s="343" t="s">
        <v>89</v>
      </c>
      <c r="D1977" s="1006" t="s">
        <v>344</v>
      </c>
      <c r="E1977" s="1005">
        <v>1</v>
      </c>
      <c r="F1977" s="414">
        <v>599.9</v>
      </c>
      <c r="G1977" s="369">
        <f t="shared" ref="G1977" si="106">TRUNC(E1977*F1977,2)</f>
        <v>599.9</v>
      </c>
      <c r="H1977" s="337"/>
    </row>
    <row r="1978" spans="1:10" ht="15" customHeight="1">
      <c r="A1978" s="1317">
        <v>88316</v>
      </c>
      <c r="B1978" s="1351" t="s">
        <v>106</v>
      </c>
      <c r="C1978" s="343" t="s">
        <v>102</v>
      </c>
      <c r="D1978" s="1364" t="s">
        <v>345</v>
      </c>
      <c r="E1978" s="1315">
        <v>0.03</v>
      </c>
      <c r="F1978" s="414">
        <f>G104</f>
        <v>11.1</v>
      </c>
      <c r="G1978" s="424">
        <f>TRUNC(E1978*F1978,2)</f>
        <v>0.33</v>
      </c>
      <c r="H1978" s="337"/>
    </row>
    <row r="1979" spans="1:10" ht="15" customHeight="1">
      <c r="A1979" s="1318"/>
      <c r="B1979" s="1352"/>
      <c r="C1979" s="343" t="s">
        <v>89</v>
      </c>
      <c r="D1979" s="1365"/>
      <c r="E1979" s="1316"/>
      <c r="F1979" s="414">
        <f>G105</f>
        <v>4.5600000000000005</v>
      </c>
      <c r="G1979" s="369">
        <f>TRUNC(E1978*F1979,2)</f>
        <v>0.13</v>
      </c>
      <c r="H1979" s="337"/>
    </row>
    <row r="1980" spans="1:10" ht="15" customHeight="1">
      <c r="A1980" s="1317">
        <v>88267</v>
      </c>
      <c r="B1980" s="1351" t="s">
        <v>245</v>
      </c>
      <c r="C1980" s="343" t="s">
        <v>102</v>
      </c>
      <c r="D1980" s="1364" t="s">
        <v>345</v>
      </c>
      <c r="E1980" s="1315">
        <v>0.08</v>
      </c>
      <c r="F1980" s="348">
        <f>G338</f>
        <v>15.41</v>
      </c>
      <c r="G1980" s="369">
        <f>TRUNC(E1980*F1980,2)</f>
        <v>1.23</v>
      </c>
      <c r="H1980" s="337"/>
    </row>
    <row r="1981" spans="1:10" ht="15" customHeight="1">
      <c r="A1981" s="1318"/>
      <c r="B1981" s="1352"/>
      <c r="C1981" s="343" t="s">
        <v>89</v>
      </c>
      <c r="D1981" s="1365"/>
      <c r="E1981" s="1316"/>
      <c r="F1981" s="348">
        <f>G339</f>
        <v>4.5600000000000005</v>
      </c>
      <c r="G1981" s="369">
        <f t="shared" ref="G1981" si="107">TRUNC(E1980*F1981,2)</f>
        <v>0.36</v>
      </c>
      <c r="H1981" s="337"/>
    </row>
    <row r="1982" spans="1:10" ht="15" customHeight="1">
      <c r="C1982" s="133"/>
      <c r="D1982" s="377"/>
      <c r="E1982" s="426"/>
      <c r="F1982" s="427" t="s">
        <v>92</v>
      </c>
      <c r="G1982" s="379">
        <f>G1978+G1980</f>
        <v>1.56</v>
      </c>
      <c r="H1982" s="130"/>
    </row>
    <row r="1983" spans="1:10" ht="15" customHeight="1">
      <c r="C1983" s="133"/>
      <c r="D1983" s="350"/>
      <c r="E1983" s="428"/>
      <c r="F1983" s="351" t="s">
        <v>94</v>
      </c>
      <c r="G1983" s="369">
        <f>G1976+G1977+G1979+G1981</f>
        <v>615.18999999999994</v>
      </c>
      <c r="H1983" s="130"/>
    </row>
    <row r="1984" spans="1:10" ht="15" customHeight="1">
      <c r="C1984" s="133"/>
      <c r="D1984" s="350"/>
      <c r="E1984" s="428"/>
      <c r="F1984" s="351" t="s">
        <v>95</v>
      </c>
      <c r="G1984" s="370">
        <f>SUM(G1982:G1983)</f>
        <v>616.74999999999989</v>
      </c>
      <c r="H1984" s="473"/>
    </row>
    <row r="1985" spans="1:8">
      <c r="A1985" s="429"/>
      <c r="B1985" s="430"/>
      <c r="C1985" s="431"/>
      <c r="D1985" s="429"/>
      <c r="E1985" s="430"/>
      <c r="F1985" s="430"/>
      <c r="G1985" s="430"/>
      <c r="H1985" s="429"/>
    </row>
  </sheetData>
  <autoFilter ref="A1:WVN1985"/>
  <mergeCells count="490">
    <mergeCell ref="B1314:C1314"/>
    <mergeCell ref="B1365:C1365"/>
    <mergeCell ref="B1355:C1355"/>
    <mergeCell ref="B1375:C1375"/>
    <mergeCell ref="B1385:C1385"/>
    <mergeCell ref="B60:C60"/>
    <mergeCell ref="B497:D497"/>
    <mergeCell ref="B1974:D1974"/>
    <mergeCell ref="A1978:A1979"/>
    <mergeCell ref="B1978:B1979"/>
    <mergeCell ref="D1978:D1979"/>
    <mergeCell ref="B1944:D1944"/>
    <mergeCell ref="A1948:A1949"/>
    <mergeCell ref="B1948:B1949"/>
    <mergeCell ref="D1948:D1949"/>
    <mergeCell ref="A1480:A1481"/>
    <mergeCell ref="B1480:B1481"/>
    <mergeCell ref="D1480:D1481"/>
    <mergeCell ref="B1812:D1812"/>
    <mergeCell ref="B1816:B1817"/>
    <mergeCell ref="D1816:D1817"/>
    <mergeCell ref="B1785:D1785"/>
    <mergeCell ref="B1719:B1720"/>
    <mergeCell ref="D1719:D1720"/>
    <mergeCell ref="E1978:E1979"/>
    <mergeCell ref="A1980:A1981"/>
    <mergeCell ref="B1980:B1981"/>
    <mergeCell ref="D1980:D1981"/>
    <mergeCell ref="E1980:E1981"/>
    <mergeCell ref="B1959:D1959"/>
    <mergeCell ref="A1963:A1964"/>
    <mergeCell ref="B1963:B1964"/>
    <mergeCell ref="D1963:D1964"/>
    <mergeCell ref="E1963:E1964"/>
    <mergeCell ref="A1965:A1966"/>
    <mergeCell ref="B1965:B1966"/>
    <mergeCell ref="D1965:D1966"/>
    <mergeCell ref="E1965:E1966"/>
    <mergeCell ref="E1948:E1949"/>
    <mergeCell ref="A1950:A1951"/>
    <mergeCell ref="B1950:B1951"/>
    <mergeCell ref="D1950:D1951"/>
    <mergeCell ref="E1950:E1951"/>
    <mergeCell ref="B1861:D1861"/>
    <mergeCell ref="A1867:A1868"/>
    <mergeCell ref="B1867:B1868"/>
    <mergeCell ref="D1867:D1868"/>
    <mergeCell ref="E1867:E1868"/>
    <mergeCell ref="A1869:A1870"/>
    <mergeCell ref="B1869:B1870"/>
    <mergeCell ref="D1869:D1870"/>
    <mergeCell ref="E1869:E1870"/>
    <mergeCell ref="A1933:A1934"/>
    <mergeCell ref="B1933:B1934"/>
    <mergeCell ref="D1933:D1934"/>
    <mergeCell ref="E1933:E1934"/>
    <mergeCell ref="A1935:A1936"/>
    <mergeCell ref="B1935:B1936"/>
    <mergeCell ref="D1935:D1936"/>
    <mergeCell ref="E1935:E1936"/>
    <mergeCell ref="B1927:D1927"/>
    <mergeCell ref="A1916:A1917"/>
    <mergeCell ref="E841:E842"/>
    <mergeCell ref="B770:C770"/>
    <mergeCell ref="B780:D780"/>
    <mergeCell ref="A782:A783"/>
    <mergeCell ref="B782:B783"/>
    <mergeCell ref="D782:D783"/>
    <mergeCell ref="E782:E783"/>
    <mergeCell ref="A839:A840"/>
    <mergeCell ref="B839:B840"/>
    <mergeCell ref="D839:D840"/>
    <mergeCell ref="E1480:E1481"/>
    <mergeCell ref="A1482:A1483"/>
    <mergeCell ref="B1482:B1483"/>
    <mergeCell ref="D1482:D1483"/>
    <mergeCell ref="E1482:E1483"/>
    <mergeCell ref="B1478:C1478"/>
    <mergeCell ref="E1850:E1851"/>
    <mergeCell ref="A1852:A1853"/>
    <mergeCell ref="B1852:B1853"/>
    <mergeCell ref="D1852:D1853"/>
    <mergeCell ref="E1852:E1853"/>
    <mergeCell ref="B1827:D1827"/>
    <mergeCell ref="A1833:A1834"/>
    <mergeCell ref="B1833:B1834"/>
    <mergeCell ref="D1833:D1834"/>
    <mergeCell ref="E1833:E1834"/>
    <mergeCell ref="A1835:A1836"/>
    <mergeCell ref="B1835:B1836"/>
    <mergeCell ref="D1835:D1836"/>
    <mergeCell ref="E1835:E1836"/>
    <mergeCell ref="B1844:D1844"/>
    <mergeCell ref="A1850:A1851"/>
    <mergeCell ref="B1850:B1851"/>
    <mergeCell ref="D1850:D1851"/>
    <mergeCell ref="A1787:A1788"/>
    <mergeCell ref="B1787:B1788"/>
    <mergeCell ref="D1787:D1788"/>
    <mergeCell ref="E1787:E1788"/>
    <mergeCell ref="A1789:A1790"/>
    <mergeCell ref="B1789:B1790"/>
    <mergeCell ref="D1789:D1790"/>
    <mergeCell ref="E1789:E1790"/>
    <mergeCell ref="A1774:A1775"/>
    <mergeCell ref="B1774:B1775"/>
    <mergeCell ref="D1774:D1775"/>
    <mergeCell ref="E1774:E1775"/>
    <mergeCell ref="B1776:B1777"/>
    <mergeCell ref="A1776:A1777"/>
    <mergeCell ref="D1776:D1777"/>
    <mergeCell ref="E1776:E1777"/>
    <mergeCell ref="E1816:E1817"/>
    <mergeCell ref="B1818:B1819"/>
    <mergeCell ref="D1818:D1819"/>
    <mergeCell ref="E1818:E1819"/>
    <mergeCell ref="A1816:A1817"/>
    <mergeCell ref="A1818:A1819"/>
    <mergeCell ref="B1801:B1802"/>
    <mergeCell ref="D1801:D1802"/>
    <mergeCell ref="E1801:E1802"/>
    <mergeCell ref="B1803:B1804"/>
    <mergeCell ref="D1803:D1804"/>
    <mergeCell ref="E1803:E1804"/>
    <mergeCell ref="B1758:D1758"/>
    <mergeCell ref="B1763:B1764"/>
    <mergeCell ref="D1763:D1764"/>
    <mergeCell ref="E1763:E1764"/>
    <mergeCell ref="B1772:D1772"/>
    <mergeCell ref="B1761:B1762"/>
    <mergeCell ref="D1761:D1762"/>
    <mergeCell ref="A1748:A1749"/>
    <mergeCell ref="B1748:B1749"/>
    <mergeCell ref="D1748:D1749"/>
    <mergeCell ref="E1748:E1749"/>
    <mergeCell ref="A1746:A1747"/>
    <mergeCell ref="B1746:B1747"/>
    <mergeCell ref="D1746:D1747"/>
    <mergeCell ref="E1746:E1747"/>
    <mergeCell ref="A1733:A1734"/>
    <mergeCell ref="B1733:B1734"/>
    <mergeCell ref="D1733:D1734"/>
    <mergeCell ref="E1733:E1734"/>
    <mergeCell ref="E1719:E1720"/>
    <mergeCell ref="A1735:A1736"/>
    <mergeCell ref="B1735:B1736"/>
    <mergeCell ref="D1735:D1736"/>
    <mergeCell ref="E1735:E1736"/>
    <mergeCell ref="A1665:A1666"/>
    <mergeCell ref="B1665:B1666"/>
    <mergeCell ref="D1665:D1666"/>
    <mergeCell ref="E1665:E1666"/>
    <mergeCell ref="A1667:A1668"/>
    <mergeCell ref="B1667:B1668"/>
    <mergeCell ref="D1667:D1668"/>
    <mergeCell ref="E1667:E1668"/>
    <mergeCell ref="B1730:D1730"/>
    <mergeCell ref="B1689:D1689"/>
    <mergeCell ref="A1692:A1693"/>
    <mergeCell ref="B1692:B1693"/>
    <mergeCell ref="D1692:D1693"/>
    <mergeCell ref="E1692:E1693"/>
    <mergeCell ref="A1694:A1695"/>
    <mergeCell ref="B1694:B1695"/>
    <mergeCell ref="D1694:D1695"/>
    <mergeCell ref="E1694:E1695"/>
    <mergeCell ref="B1703:D1703"/>
    <mergeCell ref="A1705:A1706"/>
    <mergeCell ref="B1705:B1706"/>
    <mergeCell ref="D1705:D1706"/>
    <mergeCell ref="E1705:E1706"/>
    <mergeCell ref="A1707:A1708"/>
    <mergeCell ref="A1650:A1651"/>
    <mergeCell ref="B1650:B1651"/>
    <mergeCell ref="D1650:D1651"/>
    <mergeCell ref="E1650:E1651"/>
    <mergeCell ref="A1652:A1653"/>
    <mergeCell ref="B1652:B1653"/>
    <mergeCell ref="D1652:D1653"/>
    <mergeCell ref="E1652:E1653"/>
    <mergeCell ref="A1654:A1655"/>
    <mergeCell ref="B1654:B1655"/>
    <mergeCell ref="D1654:D1655"/>
    <mergeCell ref="E1654:E1655"/>
    <mergeCell ref="A1636:A1637"/>
    <mergeCell ref="B1636:B1637"/>
    <mergeCell ref="D1636:D1637"/>
    <mergeCell ref="E1636:E1637"/>
    <mergeCell ref="A1638:A1639"/>
    <mergeCell ref="B1638:B1639"/>
    <mergeCell ref="D1638:D1639"/>
    <mergeCell ref="E1638:E1639"/>
    <mergeCell ref="B1647:D1647"/>
    <mergeCell ref="A1622:A1623"/>
    <mergeCell ref="B1622:B1623"/>
    <mergeCell ref="D1622:D1623"/>
    <mergeCell ref="E1622:E1623"/>
    <mergeCell ref="A1624:A1625"/>
    <mergeCell ref="B1624:B1625"/>
    <mergeCell ref="D1624:D1625"/>
    <mergeCell ref="E1624:E1625"/>
    <mergeCell ref="B1633:D1633"/>
    <mergeCell ref="A1607:A1608"/>
    <mergeCell ref="B1607:B1608"/>
    <mergeCell ref="D1607:D1608"/>
    <mergeCell ref="E1607:E1608"/>
    <mergeCell ref="A1609:A1610"/>
    <mergeCell ref="B1609:B1610"/>
    <mergeCell ref="D1609:D1610"/>
    <mergeCell ref="E1609:E1610"/>
    <mergeCell ref="B1618:D1618"/>
    <mergeCell ref="A1594:A1595"/>
    <mergeCell ref="B1594:B1595"/>
    <mergeCell ref="D1594:D1595"/>
    <mergeCell ref="E1594:E1595"/>
    <mergeCell ref="A1580:A1581"/>
    <mergeCell ref="B1580:B1581"/>
    <mergeCell ref="D1580:D1581"/>
    <mergeCell ref="E1580:E1581"/>
    <mergeCell ref="B1589:D1589"/>
    <mergeCell ref="A1592:A1593"/>
    <mergeCell ref="B1592:B1593"/>
    <mergeCell ref="D1592:D1593"/>
    <mergeCell ref="E1592:E1593"/>
    <mergeCell ref="A1534:A1535"/>
    <mergeCell ref="B1534:B1535"/>
    <mergeCell ref="D1534:D1535"/>
    <mergeCell ref="E1534:E1535"/>
    <mergeCell ref="B1574:D1574"/>
    <mergeCell ref="A1578:A1579"/>
    <mergeCell ref="B1578:B1579"/>
    <mergeCell ref="D1578:D1579"/>
    <mergeCell ref="E1578:E1579"/>
    <mergeCell ref="B1545:D1545"/>
    <mergeCell ref="A1547:A1548"/>
    <mergeCell ref="B1547:B1548"/>
    <mergeCell ref="D1547:D1548"/>
    <mergeCell ref="E1547:E1548"/>
    <mergeCell ref="B1565:B1566"/>
    <mergeCell ref="A1565:A1566"/>
    <mergeCell ref="B1561:C1561"/>
    <mergeCell ref="D1565:D1566"/>
    <mergeCell ref="E1565:E1566"/>
    <mergeCell ref="A1519:A1520"/>
    <mergeCell ref="B1519:B1520"/>
    <mergeCell ref="D1519:D1520"/>
    <mergeCell ref="E1519:E1520"/>
    <mergeCell ref="A1521:A1522"/>
    <mergeCell ref="B1521:B1522"/>
    <mergeCell ref="D1521:D1522"/>
    <mergeCell ref="E1521:E1522"/>
    <mergeCell ref="A1523:A1524"/>
    <mergeCell ref="B1523:B1524"/>
    <mergeCell ref="D1523:D1524"/>
    <mergeCell ref="E1523:E1524"/>
    <mergeCell ref="B5:C5"/>
    <mergeCell ref="B793:D793"/>
    <mergeCell ref="A798:A799"/>
    <mergeCell ref="B798:B799"/>
    <mergeCell ref="D798:D799"/>
    <mergeCell ref="E798:E799"/>
    <mergeCell ref="A800:A801"/>
    <mergeCell ref="B800:B801"/>
    <mergeCell ref="D800:D801"/>
    <mergeCell ref="E800:E801"/>
    <mergeCell ref="B345:C345"/>
    <mergeCell ref="A647:A648"/>
    <mergeCell ref="B647:B648"/>
    <mergeCell ref="D647:D648"/>
    <mergeCell ref="B597:D597"/>
    <mergeCell ref="A599:A600"/>
    <mergeCell ref="B599:B600"/>
    <mergeCell ref="B311:D311"/>
    <mergeCell ref="B328:D328"/>
    <mergeCell ref="B527:C527"/>
    <mergeCell ref="D599:D600"/>
    <mergeCell ref="E599:E600"/>
    <mergeCell ref="B612:D612"/>
    <mergeCell ref="E647:E648"/>
    <mergeCell ref="A1316:A1317"/>
    <mergeCell ref="B1316:B1317"/>
    <mergeCell ref="D1316:D1317"/>
    <mergeCell ref="A1076:A1077"/>
    <mergeCell ref="B1076:B1077"/>
    <mergeCell ref="D1076:D1077"/>
    <mergeCell ref="E1076:E1077"/>
    <mergeCell ref="B1113:D1113"/>
    <mergeCell ref="B1126:D1126"/>
    <mergeCell ref="E1316:E1317"/>
    <mergeCell ref="A1102:A1103"/>
    <mergeCell ref="E1102:E1103"/>
    <mergeCell ref="A1104:A1105"/>
    <mergeCell ref="E1104:E1105"/>
    <mergeCell ref="B1177:D1177"/>
    <mergeCell ref="B1190:D1190"/>
    <mergeCell ref="B1200:D1200"/>
    <mergeCell ref="B1210:D1210"/>
    <mergeCell ref="B1220:D1220"/>
    <mergeCell ref="A1237:A1238"/>
    <mergeCell ref="E1237:E1238"/>
    <mergeCell ref="B1246:D1246"/>
    <mergeCell ref="A1248:A1249"/>
    <mergeCell ref="B1248:B1249"/>
    <mergeCell ref="A1397:A1398"/>
    <mergeCell ref="B1397:B1398"/>
    <mergeCell ref="D1397:D1398"/>
    <mergeCell ref="E1397:E1398"/>
    <mergeCell ref="B1676:D1676"/>
    <mergeCell ref="B1468:C1468"/>
    <mergeCell ref="B1458:D1458"/>
    <mergeCell ref="B1491:D1491"/>
    <mergeCell ref="A1493:A1494"/>
    <mergeCell ref="B1493:B1494"/>
    <mergeCell ref="D1493:D1494"/>
    <mergeCell ref="E1493:E1494"/>
    <mergeCell ref="A1495:A1496"/>
    <mergeCell ref="B1495:B1496"/>
    <mergeCell ref="D1495:D1496"/>
    <mergeCell ref="E1495:E1496"/>
    <mergeCell ref="A1506:A1507"/>
    <mergeCell ref="B1506:B1507"/>
    <mergeCell ref="D1506:D1507"/>
    <mergeCell ref="E1506:E1507"/>
    <mergeCell ref="A1508:A1509"/>
    <mergeCell ref="B1508:B1509"/>
    <mergeCell ref="D1508:D1509"/>
    <mergeCell ref="E1508:E1509"/>
    <mergeCell ref="B948:D948"/>
    <mergeCell ref="B958:D958"/>
    <mergeCell ref="B43:D43"/>
    <mergeCell ref="B77:C77"/>
    <mergeCell ref="B111:C111"/>
    <mergeCell ref="B126:C126"/>
    <mergeCell ref="B141:C141"/>
    <mergeCell ref="A1721:A1722"/>
    <mergeCell ref="B1721:B1722"/>
    <mergeCell ref="D1721:D1722"/>
    <mergeCell ref="A1680:A1681"/>
    <mergeCell ref="B1680:B1681"/>
    <mergeCell ref="D1680:D1681"/>
    <mergeCell ref="B1716:D1716"/>
    <mergeCell ref="A1719:A1720"/>
    <mergeCell ref="B158:D158"/>
    <mergeCell ref="B175:D175"/>
    <mergeCell ref="B192:D192"/>
    <mergeCell ref="B226:D226"/>
    <mergeCell ref="B243:D243"/>
    <mergeCell ref="B277:D277"/>
    <mergeCell ref="B834:D834"/>
    <mergeCell ref="B1329:C1329"/>
    <mergeCell ref="B1136:D1136"/>
    <mergeCell ref="B1230:C1230"/>
    <mergeCell ref="B1237:B1238"/>
    <mergeCell ref="D1237:D1238"/>
    <mergeCell ref="B1062:B1063"/>
    <mergeCell ref="D1062:D1063"/>
    <mergeCell ref="B1074:B1075"/>
    <mergeCell ref="D1074:D1075"/>
    <mergeCell ref="B994:D994"/>
    <mergeCell ref="B1004:D1004"/>
    <mergeCell ref="B1014:D1014"/>
    <mergeCell ref="B1024:D1024"/>
    <mergeCell ref="B1146:D1146"/>
    <mergeCell ref="B1156:D1156"/>
    <mergeCell ref="B1166:D1166"/>
    <mergeCell ref="B1102:B1103"/>
    <mergeCell ref="D1102:D1103"/>
    <mergeCell ref="B1104:B1105"/>
    <mergeCell ref="D1104:D1105"/>
    <mergeCell ref="D1235:D1236"/>
    <mergeCell ref="A1233:A1234"/>
    <mergeCell ref="A1235:A1236"/>
    <mergeCell ref="B1261:D1261"/>
    <mergeCell ref="A1263:A1264"/>
    <mergeCell ref="B1263:B1264"/>
    <mergeCell ref="D1263:D1264"/>
    <mergeCell ref="E1263:E1264"/>
    <mergeCell ref="B660:C660"/>
    <mergeCell ref="B730:C730"/>
    <mergeCell ref="B740:C740"/>
    <mergeCell ref="A1062:A1063"/>
    <mergeCell ref="E1062:E1063"/>
    <mergeCell ref="A1074:A1075"/>
    <mergeCell ref="E1074:E1075"/>
    <mergeCell ref="A1026:A1027"/>
    <mergeCell ref="B1026:B1027"/>
    <mergeCell ref="D1026:D1027"/>
    <mergeCell ref="E1026:E1027"/>
    <mergeCell ref="A1060:A1061"/>
    <mergeCell ref="B1060:B1061"/>
    <mergeCell ref="D1060:D1061"/>
    <mergeCell ref="E1060:E1061"/>
    <mergeCell ref="E971:E972"/>
    <mergeCell ref="B984:D984"/>
    <mergeCell ref="D1248:D1249"/>
    <mergeCell ref="E1248:E1249"/>
    <mergeCell ref="B1233:B1234"/>
    <mergeCell ref="B1235:B1236"/>
    <mergeCell ref="B1916:B1917"/>
    <mergeCell ref="D1916:D1917"/>
    <mergeCell ref="E1916:E1917"/>
    <mergeCell ref="B1395:D1395"/>
    <mergeCell ref="B1517:D1517"/>
    <mergeCell ref="B1532:D1532"/>
    <mergeCell ref="B1603:D1603"/>
    <mergeCell ref="B1663:D1663"/>
    <mergeCell ref="B1798:D1798"/>
    <mergeCell ref="B1274:D1274"/>
    <mergeCell ref="B1284:D1284"/>
    <mergeCell ref="B1294:D1294"/>
    <mergeCell ref="B1304:D1304"/>
    <mergeCell ref="E1721:E1722"/>
    <mergeCell ref="E1680:E1681"/>
    <mergeCell ref="B1707:B1708"/>
    <mergeCell ref="D1707:D1708"/>
    <mergeCell ref="E1707:E1708"/>
    <mergeCell ref="B1744:D1744"/>
    <mergeCell ref="E1761:E1762"/>
    <mergeCell ref="B928:D928"/>
    <mergeCell ref="A1918:A1919"/>
    <mergeCell ref="B1918:B1919"/>
    <mergeCell ref="D1918:D1919"/>
    <mergeCell ref="E1918:E1919"/>
    <mergeCell ref="A1901:A1902"/>
    <mergeCell ref="B1901:B1902"/>
    <mergeCell ref="D1901:D1902"/>
    <mergeCell ref="E1901:E1902"/>
    <mergeCell ref="A1882:A1883"/>
    <mergeCell ref="B1882:B1883"/>
    <mergeCell ref="D1882:D1883"/>
    <mergeCell ref="E1882:E1883"/>
    <mergeCell ref="A1884:A1885"/>
    <mergeCell ref="B1884:B1885"/>
    <mergeCell ref="D1884:D1885"/>
    <mergeCell ref="E1884:E1885"/>
    <mergeCell ref="A1899:A1900"/>
    <mergeCell ref="B1899:B1900"/>
    <mergeCell ref="D1899:D1900"/>
    <mergeCell ref="E1899:E1900"/>
    <mergeCell ref="E1233:E1234"/>
    <mergeCell ref="E1235:E1236"/>
    <mergeCell ref="D1233:D1234"/>
    <mergeCell ref="B760:C760"/>
    <mergeCell ref="E1088:E1089"/>
    <mergeCell ref="A1090:A1091"/>
    <mergeCell ref="B1090:B1091"/>
    <mergeCell ref="D1090:D1091"/>
    <mergeCell ref="E1090:E1091"/>
    <mergeCell ref="B811:D811"/>
    <mergeCell ref="A816:A817"/>
    <mergeCell ref="B816:B817"/>
    <mergeCell ref="D816:D817"/>
    <mergeCell ref="E816:E817"/>
    <mergeCell ref="A818:A819"/>
    <mergeCell ref="B818:B819"/>
    <mergeCell ref="D818:D819"/>
    <mergeCell ref="E818:E819"/>
    <mergeCell ref="E839:E840"/>
    <mergeCell ref="B969:D969"/>
    <mergeCell ref="A971:A972"/>
    <mergeCell ref="B971:B972"/>
    <mergeCell ref="D971:D972"/>
    <mergeCell ref="B852:C852"/>
    <mergeCell ref="B895:C895"/>
    <mergeCell ref="B905:D905"/>
    <mergeCell ref="B918:D918"/>
    <mergeCell ref="B447:D447"/>
    <mergeCell ref="B693:C693"/>
    <mergeCell ref="B710:C710"/>
    <mergeCell ref="B294:D294"/>
    <mergeCell ref="B457:D457"/>
    <mergeCell ref="B467:D467"/>
    <mergeCell ref="B379:C379"/>
    <mergeCell ref="A1088:A1089"/>
    <mergeCell ref="B1088:B1089"/>
    <mergeCell ref="D1088:D1089"/>
    <mergeCell ref="B623:D623"/>
    <mergeCell ref="B634:D634"/>
    <mergeCell ref="B645:D645"/>
    <mergeCell ref="B938:D938"/>
    <mergeCell ref="B868:C868"/>
    <mergeCell ref="B885:C885"/>
    <mergeCell ref="B396:C396"/>
    <mergeCell ref="B477:D477"/>
    <mergeCell ref="A841:A842"/>
    <mergeCell ref="B841:B842"/>
    <mergeCell ref="D841:D842"/>
    <mergeCell ref="B676:C676"/>
    <mergeCell ref="B720:C720"/>
    <mergeCell ref="B750:C750"/>
  </mergeCells>
  <printOptions horizontalCentered="1"/>
  <pageMargins left="0.19685039370078741" right="0.19685039370078741" top="0.78740157480314965" bottom="0.19685039370078741" header="0" footer="0"/>
  <pageSetup paperSize="9" scale="8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B303"/>
  <sheetViews>
    <sheetView workbookViewId="0">
      <selection activeCell="H236" sqref="H236"/>
    </sheetView>
  </sheetViews>
  <sheetFormatPr defaultRowHeight="15"/>
  <cols>
    <col min="1" max="1" width="36.5703125" customWidth="1"/>
    <col min="2" max="2" width="8.7109375" customWidth="1"/>
    <col min="3" max="3" width="3.5703125" customWidth="1"/>
    <col min="5" max="5" width="3.5703125" customWidth="1"/>
    <col min="7" max="7" width="3.7109375" customWidth="1"/>
    <col min="9" max="9" width="3.5703125" customWidth="1"/>
    <col min="11" max="11" width="3.140625" customWidth="1"/>
    <col min="12" max="12" width="10.140625" customWidth="1"/>
    <col min="13" max="13" width="3.5703125" customWidth="1"/>
    <col min="14" max="14" width="10.7109375" customWidth="1"/>
    <col min="15" max="15" width="3.42578125" customWidth="1"/>
    <col min="17" max="17" width="3.28515625" customWidth="1"/>
    <col min="18" max="18" width="10.5703125" customWidth="1"/>
    <col min="19" max="19" width="8" customWidth="1"/>
    <col min="20" max="20" width="12.42578125" customWidth="1"/>
    <col min="21" max="21" width="5.42578125" customWidth="1"/>
    <col min="22" max="22" width="6.7109375" customWidth="1"/>
    <col min="23" max="23" width="4.7109375" customWidth="1"/>
    <col min="25" max="25" width="3.7109375" customWidth="1"/>
  </cols>
  <sheetData>
    <row r="1" spans="1:28">
      <c r="A1" s="707" t="s">
        <v>385</v>
      </c>
      <c r="D1" s="787" t="s">
        <v>1469</v>
      </c>
      <c r="E1" s="710"/>
      <c r="F1" s="710"/>
      <c r="G1" s="710"/>
      <c r="H1" s="787" t="s">
        <v>1469</v>
      </c>
      <c r="I1" s="710"/>
      <c r="J1" s="710" t="s">
        <v>1441</v>
      </c>
      <c r="K1" s="710"/>
      <c r="L1" s="710"/>
      <c r="M1" s="710"/>
      <c r="N1" s="710"/>
      <c r="O1" s="710"/>
      <c r="P1" s="710"/>
      <c r="Q1" s="710"/>
      <c r="R1" s="710"/>
      <c r="S1" s="710"/>
    </row>
    <row r="2" spans="1:28" ht="23.25">
      <c r="A2" s="707"/>
      <c r="D2" s="837" t="s">
        <v>1468</v>
      </c>
      <c r="E2" s="710"/>
      <c r="F2" s="837" t="s">
        <v>1470</v>
      </c>
      <c r="G2" s="710"/>
      <c r="H2" s="836" t="s">
        <v>1471</v>
      </c>
      <c r="I2" s="710"/>
      <c r="J2" s="837" t="s">
        <v>1472</v>
      </c>
      <c r="K2" s="710"/>
      <c r="L2" s="837" t="s">
        <v>1473</v>
      </c>
      <c r="M2" s="710"/>
      <c r="N2" s="710"/>
      <c r="O2" s="710"/>
      <c r="P2" s="710"/>
      <c r="Q2" s="710"/>
      <c r="R2" s="710"/>
      <c r="S2" s="710"/>
    </row>
    <row r="3" spans="1:28">
      <c r="A3" s="702" t="s">
        <v>1465</v>
      </c>
      <c r="D3" s="701">
        <v>12</v>
      </c>
      <c r="E3" s="701" t="s">
        <v>1185</v>
      </c>
      <c r="F3" s="701">
        <v>2</v>
      </c>
      <c r="G3" s="701" t="s">
        <v>1185</v>
      </c>
      <c r="H3" s="701">
        <v>108</v>
      </c>
      <c r="I3" s="701" t="s">
        <v>1185</v>
      </c>
      <c r="J3" s="701">
        <v>1.24</v>
      </c>
      <c r="K3" s="701" t="s">
        <v>1185</v>
      </c>
      <c r="L3" s="834">
        <v>11</v>
      </c>
      <c r="M3" s="701" t="s">
        <v>1187</v>
      </c>
      <c r="N3" s="855">
        <f>D3*F3*H3*J3*L3</f>
        <v>35354.879999999997</v>
      </c>
      <c r="O3" s="860" t="s">
        <v>4</v>
      </c>
      <c r="P3" s="787" t="s">
        <v>1198</v>
      </c>
      <c r="R3" t="s">
        <v>1466</v>
      </c>
    </row>
    <row r="4" spans="1:28">
      <c r="D4" s="835">
        <f>N23</f>
        <v>2168.1000000000004</v>
      </c>
      <c r="E4" s="707" t="s">
        <v>12</v>
      </c>
      <c r="N4" s="860"/>
      <c r="O4" s="860"/>
    </row>
    <row r="5" spans="1:28">
      <c r="N5" s="860"/>
      <c r="O5" s="860"/>
    </row>
    <row r="6" spans="1:28">
      <c r="D6" s="701">
        <v>12</v>
      </c>
      <c r="E6" s="701" t="s">
        <v>1185</v>
      </c>
      <c r="F6" s="701">
        <v>2</v>
      </c>
      <c r="G6" s="701" t="s">
        <v>1185</v>
      </c>
      <c r="H6" s="701">
        <v>108</v>
      </c>
      <c r="I6" s="701" t="s">
        <v>1185</v>
      </c>
      <c r="J6" s="701">
        <v>1.24</v>
      </c>
      <c r="K6" s="701" t="s">
        <v>1185</v>
      </c>
      <c r="L6" s="834">
        <v>1</v>
      </c>
      <c r="M6" s="701" t="s">
        <v>1187</v>
      </c>
      <c r="N6" s="855">
        <f>D6*F6*H6*J6*L6</f>
        <v>3214.08</v>
      </c>
      <c r="O6" s="860" t="s">
        <v>4</v>
      </c>
      <c r="P6" s="787" t="s">
        <v>1197</v>
      </c>
      <c r="R6" t="s">
        <v>1763</v>
      </c>
    </row>
    <row r="7" spans="1:28">
      <c r="D7" s="788">
        <f>N27</f>
        <v>197.10000000000002</v>
      </c>
      <c r="E7" s="707" t="s">
        <v>12</v>
      </c>
      <c r="F7" s="701"/>
      <c r="G7" s="701"/>
      <c r="H7" s="701"/>
      <c r="I7" s="701"/>
      <c r="J7" s="701"/>
      <c r="K7" s="701"/>
      <c r="L7" s="834"/>
      <c r="M7" s="701"/>
      <c r="N7" s="855"/>
      <c r="O7" s="860"/>
      <c r="P7" s="787"/>
    </row>
    <row r="8" spans="1:28">
      <c r="N8" s="860"/>
      <c r="O8" s="860"/>
    </row>
    <row r="9" spans="1:28">
      <c r="D9" s="701">
        <v>24</v>
      </c>
      <c r="E9" s="701" t="s">
        <v>1185</v>
      </c>
      <c r="F9" s="701">
        <v>2</v>
      </c>
      <c r="G9" s="701" t="s">
        <v>1185</v>
      </c>
      <c r="H9" s="701">
        <v>108</v>
      </c>
      <c r="I9" s="701" t="s">
        <v>1185</v>
      </c>
      <c r="J9" s="701">
        <v>1.24</v>
      </c>
      <c r="K9" s="701" t="s">
        <v>1185</v>
      </c>
      <c r="L9" s="834">
        <v>1</v>
      </c>
      <c r="M9" s="701" t="s">
        <v>1187</v>
      </c>
      <c r="N9" s="855">
        <f>D9*F9*H9*J9*L9</f>
        <v>6428.16</v>
      </c>
      <c r="O9" s="860" t="s">
        <v>4</v>
      </c>
      <c r="P9" s="787" t="s">
        <v>1196</v>
      </c>
      <c r="R9" t="s">
        <v>1314</v>
      </c>
    </row>
    <row r="10" spans="1:28">
      <c r="D10" s="788">
        <f>N25</f>
        <v>394.20000000000005</v>
      </c>
      <c r="E10" s="707" t="s">
        <v>12</v>
      </c>
      <c r="F10" s="701"/>
      <c r="G10" s="701"/>
      <c r="H10" s="701"/>
      <c r="I10" s="701"/>
      <c r="J10" s="701"/>
      <c r="K10" s="701"/>
      <c r="L10" s="834"/>
      <c r="M10" s="701"/>
      <c r="N10" s="855"/>
      <c r="O10" s="860"/>
      <c r="P10" s="787"/>
    </row>
    <row r="11" spans="1:28">
      <c r="N11" s="860"/>
      <c r="O11" s="860"/>
    </row>
    <row r="12" spans="1:28">
      <c r="D12" s="701">
        <v>10</v>
      </c>
      <c r="E12" s="701" t="s">
        <v>1185</v>
      </c>
      <c r="F12" s="701">
        <v>2</v>
      </c>
      <c r="G12" s="701" t="s">
        <v>1185</v>
      </c>
      <c r="H12" s="701">
        <v>108</v>
      </c>
      <c r="I12" s="701" t="s">
        <v>1185</v>
      </c>
      <c r="J12" s="701">
        <v>1.24</v>
      </c>
      <c r="K12" s="701" t="s">
        <v>1185</v>
      </c>
      <c r="L12" s="834">
        <v>1</v>
      </c>
      <c r="M12" s="701" t="s">
        <v>1187</v>
      </c>
      <c r="N12" s="855">
        <f>D12*F12*H12*J12*L12</f>
        <v>2678.4</v>
      </c>
      <c r="O12" s="860" t="s">
        <v>4</v>
      </c>
      <c r="P12" s="787" t="s">
        <v>1195</v>
      </c>
      <c r="R12" t="s">
        <v>1467</v>
      </c>
    </row>
    <row r="13" spans="1:28">
      <c r="D13" s="788">
        <f>N29</f>
        <v>295.65000000000003</v>
      </c>
      <c r="E13" s="707" t="s">
        <v>12</v>
      </c>
      <c r="F13" s="701"/>
      <c r="G13" s="701"/>
      <c r="H13" s="701"/>
      <c r="I13" s="701"/>
      <c r="J13" s="701"/>
      <c r="K13" s="701"/>
      <c r="L13" s="834"/>
      <c r="M13" s="701"/>
      <c r="N13" s="855"/>
      <c r="O13" s="860"/>
      <c r="P13" s="787"/>
      <c r="T13" s="1071" t="s">
        <v>2172</v>
      </c>
      <c r="W13" t="s">
        <v>2173</v>
      </c>
      <c r="AA13">
        <f>12*3.3</f>
        <v>39.599999999999994</v>
      </c>
      <c r="AB13" t="s">
        <v>4</v>
      </c>
    </row>
    <row r="14" spans="1:28">
      <c r="W14" s="702" t="s">
        <v>2176</v>
      </c>
      <c r="X14" s="1073">
        <v>5000</v>
      </c>
      <c r="AA14">
        <f>40/AA13</f>
        <v>1.0101010101010102</v>
      </c>
      <c r="AB14" t="s">
        <v>2103</v>
      </c>
    </row>
    <row r="15" spans="1:28">
      <c r="L15" s="1045">
        <f>D13+D10+D7+D4</f>
        <v>3055.0500000000006</v>
      </c>
      <c r="M15" t="s">
        <v>858</v>
      </c>
      <c r="N15" s="1045">
        <f>N12+N9+N6+N3</f>
        <v>47675.519999999997</v>
      </c>
      <c r="O15" t="s">
        <v>346</v>
      </c>
    </row>
    <row r="16" spans="1:28">
      <c r="L16" s="1045"/>
      <c r="N16" s="1045"/>
      <c r="R16" s="1045">
        <f>N15/3.3</f>
        <v>14447.127272727272</v>
      </c>
      <c r="S16" t="s">
        <v>2174</v>
      </c>
    </row>
    <row r="17" spans="1:21">
      <c r="L17" s="1045"/>
      <c r="N17" s="1045"/>
      <c r="R17" s="1045">
        <f>R16/12</f>
        <v>1203.9272727272726</v>
      </c>
      <c r="S17" t="s">
        <v>2175</v>
      </c>
      <c r="T17" s="1072">
        <f>R17*40</f>
        <v>48157.090909090904</v>
      </c>
    </row>
    <row r="18" spans="1:21">
      <c r="T18" s="1074">
        <v>7000</v>
      </c>
    </row>
    <row r="19" spans="1:21">
      <c r="T19" s="1075">
        <f>SUM(T17:T18)</f>
        <v>55157.090909090904</v>
      </c>
    </row>
    <row r="20" spans="1:21">
      <c r="T20" s="1072">
        <f>T19/L15</f>
        <v>18.054398752586994</v>
      </c>
      <c r="U20" t="s">
        <v>2177</v>
      </c>
    </row>
    <row r="21" spans="1:21">
      <c r="T21" s="1072">
        <f>T19/N15</f>
        <v>1.1569268863578397</v>
      </c>
      <c r="U21" t="s">
        <v>2268</v>
      </c>
    </row>
    <row r="23" spans="1:21">
      <c r="A23" s="702" t="s">
        <v>1474</v>
      </c>
      <c r="D23" s="703"/>
      <c r="E23" s="701"/>
      <c r="F23" s="701">
        <v>2</v>
      </c>
      <c r="G23" s="701" t="s">
        <v>1185</v>
      </c>
      <c r="H23" s="703">
        <v>15</v>
      </c>
      <c r="I23" s="701" t="s">
        <v>1185</v>
      </c>
      <c r="J23" s="703">
        <v>6.57</v>
      </c>
      <c r="K23" s="701" t="s">
        <v>1185</v>
      </c>
      <c r="L23" s="834">
        <v>11</v>
      </c>
      <c r="M23" s="701" t="s">
        <v>1187</v>
      </c>
      <c r="N23" s="835">
        <f>F23*H23*J23*L23</f>
        <v>2168.1000000000004</v>
      </c>
      <c r="O23" s="707" t="s">
        <v>12</v>
      </c>
      <c r="P23" s="787" t="s">
        <v>1198</v>
      </c>
      <c r="R23" t="s">
        <v>1466</v>
      </c>
    </row>
    <row r="24" spans="1:21">
      <c r="F24" s="701"/>
      <c r="G24" s="701"/>
      <c r="H24" s="703"/>
      <c r="I24" s="701"/>
      <c r="K24" s="701"/>
      <c r="M24" s="701"/>
      <c r="N24" s="835"/>
    </row>
    <row r="25" spans="1:21">
      <c r="F25" s="701">
        <v>2</v>
      </c>
      <c r="G25" s="701" t="s">
        <v>1185</v>
      </c>
      <c r="H25" s="703">
        <v>30</v>
      </c>
      <c r="I25" s="701" t="s">
        <v>1185</v>
      </c>
      <c r="J25" s="703">
        <f>J23</f>
        <v>6.57</v>
      </c>
      <c r="K25" s="701" t="s">
        <v>1185</v>
      </c>
      <c r="L25" s="701">
        <v>1</v>
      </c>
      <c r="M25" s="701" t="s">
        <v>1187</v>
      </c>
      <c r="N25" s="835">
        <f t="shared" ref="N25:N29" si="0">F25*H25*J25*L25</f>
        <v>394.20000000000005</v>
      </c>
      <c r="O25" s="707" t="s">
        <v>12</v>
      </c>
      <c r="P25" s="787" t="s">
        <v>1196</v>
      </c>
      <c r="R25" t="s">
        <v>1314</v>
      </c>
    </row>
    <row r="26" spans="1:21">
      <c r="F26" s="701"/>
      <c r="G26" s="701"/>
      <c r="H26" s="703"/>
      <c r="I26" s="701"/>
      <c r="J26" s="703"/>
      <c r="K26" s="701"/>
      <c r="L26" s="701"/>
      <c r="M26" s="701"/>
      <c r="N26" s="835"/>
      <c r="P26" s="787"/>
    </row>
    <row r="27" spans="1:21">
      <c r="F27" s="701">
        <v>2</v>
      </c>
      <c r="G27" s="701" t="s">
        <v>1185</v>
      </c>
      <c r="H27" s="703">
        <v>15</v>
      </c>
      <c r="I27" s="701" t="s">
        <v>1185</v>
      </c>
      <c r="J27" s="703">
        <f>J23</f>
        <v>6.57</v>
      </c>
      <c r="K27" s="701" t="s">
        <v>1185</v>
      </c>
      <c r="L27" s="701">
        <v>1</v>
      </c>
      <c r="M27" s="701" t="s">
        <v>1187</v>
      </c>
      <c r="N27" s="835">
        <f t="shared" si="0"/>
        <v>197.10000000000002</v>
      </c>
      <c r="O27" s="707" t="s">
        <v>12</v>
      </c>
      <c r="P27" s="787" t="s">
        <v>1197</v>
      </c>
      <c r="R27" t="s">
        <v>1763</v>
      </c>
    </row>
    <row r="28" spans="1:21">
      <c r="F28" s="701"/>
      <c r="G28" s="701"/>
      <c r="H28" s="703"/>
      <c r="I28" s="701"/>
      <c r="K28" s="701"/>
      <c r="M28" s="701"/>
      <c r="N28" s="835"/>
    </row>
    <row r="29" spans="1:21">
      <c r="F29" s="701">
        <v>2</v>
      </c>
      <c r="G29" s="701" t="s">
        <v>1185</v>
      </c>
      <c r="H29" s="703">
        <v>22.5</v>
      </c>
      <c r="I29" s="701" t="s">
        <v>1185</v>
      </c>
      <c r="J29" s="703">
        <f>J23</f>
        <v>6.57</v>
      </c>
      <c r="K29" s="701" t="s">
        <v>1185</v>
      </c>
      <c r="L29" s="701">
        <v>1</v>
      </c>
      <c r="M29" s="701" t="s">
        <v>1187</v>
      </c>
      <c r="N29" s="835">
        <f t="shared" si="0"/>
        <v>295.65000000000003</v>
      </c>
      <c r="O29" s="707" t="s">
        <v>12</v>
      </c>
      <c r="P29" s="787" t="s">
        <v>1195</v>
      </c>
      <c r="R29" t="s">
        <v>1467</v>
      </c>
    </row>
    <row r="30" spans="1:21">
      <c r="K30" s="701"/>
      <c r="N30" s="835"/>
    </row>
    <row r="31" spans="1:21">
      <c r="A31" s="702" t="s">
        <v>1476</v>
      </c>
      <c r="F31" s="701">
        <v>2</v>
      </c>
      <c r="G31" s="701" t="s">
        <v>1185</v>
      </c>
      <c r="H31" s="801">
        <v>6</v>
      </c>
      <c r="I31" s="701" t="s">
        <v>1185</v>
      </c>
      <c r="J31" s="703">
        <f>J23</f>
        <v>6.57</v>
      </c>
      <c r="K31" s="701" t="s">
        <v>1185</v>
      </c>
      <c r="L31" s="834">
        <v>11</v>
      </c>
      <c r="M31" s="701" t="s">
        <v>1187</v>
      </c>
      <c r="N31" s="855">
        <f>F31*H31*J31*L31</f>
        <v>867.24</v>
      </c>
    </row>
    <row r="32" spans="1:21">
      <c r="F32" s="701">
        <v>2</v>
      </c>
      <c r="G32" s="701" t="s">
        <v>1185</v>
      </c>
      <c r="H32" s="801">
        <v>2</v>
      </c>
      <c r="I32" s="701" t="s">
        <v>1185</v>
      </c>
      <c r="J32" s="703">
        <f>J23</f>
        <v>6.57</v>
      </c>
      <c r="K32" s="701" t="s">
        <v>1185</v>
      </c>
      <c r="L32" s="834">
        <v>11</v>
      </c>
      <c r="M32" s="701" t="s">
        <v>1187</v>
      </c>
      <c r="N32" s="855">
        <f>F32*H32*J32*L32</f>
        <v>289.08000000000004</v>
      </c>
    </row>
    <row r="33" spans="6:18">
      <c r="K33" s="701"/>
      <c r="N33" s="856">
        <f>SUM(N31:N32)</f>
        <v>1156.3200000000002</v>
      </c>
      <c r="O33" s="707" t="s">
        <v>4</v>
      </c>
      <c r="P33" s="787" t="s">
        <v>1198</v>
      </c>
      <c r="R33" t="s">
        <v>1764</v>
      </c>
    </row>
    <row r="34" spans="6:18">
      <c r="K34" s="701"/>
      <c r="N34" s="835"/>
    </row>
    <row r="35" spans="6:18">
      <c r="K35" s="701"/>
      <c r="N35" s="835"/>
    </row>
    <row r="36" spans="6:18">
      <c r="F36" s="701">
        <v>2</v>
      </c>
      <c r="G36" s="701" t="s">
        <v>1185</v>
      </c>
      <c r="H36" s="801">
        <v>6</v>
      </c>
      <c r="I36" s="701" t="s">
        <v>1185</v>
      </c>
      <c r="J36" s="703">
        <f>J23</f>
        <v>6.57</v>
      </c>
      <c r="K36" s="701" t="s">
        <v>1185</v>
      </c>
      <c r="L36" s="834">
        <v>1</v>
      </c>
      <c r="M36" s="701" t="s">
        <v>1187</v>
      </c>
      <c r="N36" s="855">
        <f>F36*H36*J36*L36</f>
        <v>78.84</v>
      </c>
    </row>
    <row r="37" spans="6:18">
      <c r="F37" s="701">
        <v>2</v>
      </c>
      <c r="G37" s="701" t="s">
        <v>1185</v>
      </c>
      <c r="H37" s="801">
        <v>2</v>
      </c>
      <c r="I37" s="701" t="s">
        <v>1185</v>
      </c>
      <c r="J37" s="703">
        <f>J23</f>
        <v>6.57</v>
      </c>
      <c r="K37" s="701" t="s">
        <v>1185</v>
      </c>
      <c r="L37" s="834">
        <v>1</v>
      </c>
      <c r="M37" s="701" t="s">
        <v>1187</v>
      </c>
      <c r="N37" s="855">
        <f>F37*H37*J37*L37</f>
        <v>26.28</v>
      </c>
    </row>
    <row r="38" spans="6:18">
      <c r="K38" s="701"/>
      <c r="N38" s="856">
        <f>SUM(N36:N37)</f>
        <v>105.12</v>
      </c>
      <c r="O38" s="707" t="s">
        <v>4</v>
      </c>
      <c r="P38" s="787" t="s">
        <v>1197</v>
      </c>
      <c r="R38" t="s">
        <v>1763</v>
      </c>
    </row>
    <row r="39" spans="6:18">
      <c r="K39" s="701"/>
      <c r="N39" s="835"/>
    </row>
    <row r="40" spans="6:18">
      <c r="F40" s="701">
        <v>2</v>
      </c>
      <c r="G40" s="701" t="s">
        <v>1185</v>
      </c>
      <c r="H40" s="801">
        <v>12</v>
      </c>
      <c r="I40" s="701" t="s">
        <v>1185</v>
      </c>
      <c r="J40" s="703">
        <f>J23</f>
        <v>6.57</v>
      </c>
      <c r="K40" s="701" t="s">
        <v>1185</v>
      </c>
      <c r="L40" s="834">
        <v>1</v>
      </c>
      <c r="M40" s="701" t="s">
        <v>1187</v>
      </c>
      <c r="N40" s="855">
        <f>F40*H40*J40*L40</f>
        <v>157.68</v>
      </c>
    </row>
    <row r="41" spans="6:18">
      <c r="F41" s="701">
        <v>2</v>
      </c>
      <c r="G41" s="701" t="s">
        <v>1185</v>
      </c>
      <c r="H41" s="801">
        <v>2</v>
      </c>
      <c r="I41" s="701" t="s">
        <v>1185</v>
      </c>
      <c r="J41" s="703">
        <f>J23</f>
        <v>6.57</v>
      </c>
      <c r="K41" s="701" t="s">
        <v>1185</v>
      </c>
      <c r="L41" s="834">
        <v>1</v>
      </c>
      <c r="M41" s="701" t="s">
        <v>1187</v>
      </c>
      <c r="N41" s="855">
        <f>F41*H41*J41*L41</f>
        <v>26.28</v>
      </c>
    </row>
    <row r="42" spans="6:18">
      <c r="K42" s="701"/>
      <c r="N42" s="856">
        <f>SUM(N40:N41)</f>
        <v>183.96</v>
      </c>
      <c r="O42" s="707" t="s">
        <v>4</v>
      </c>
      <c r="P42" s="787" t="s">
        <v>1196</v>
      </c>
      <c r="R42" t="s">
        <v>1314</v>
      </c>
    </row>
    <row r="45" spans="6:18">
      <c r="F45" s="701">
        <v>2</v>
      </c>
      <c r="G45" s="701" t="s">
        <v>1185</v>
      </c>
      <c r="H45" s="801">
        <v>9</v>
      </c>
      <c r="I45" s="701" t="s">
        <v>1185</v>
      </c>
      <c r="J45" s="703">
        <f>J23</f>
        <v>6.57</v>
      </c>
      <c r="K45" s="701" t="s">
        <v>1185</v>
      </c>
      <c r="L45" s="834">
        <v>1</v>
      </c>
      <c r="M45" s="701" t="s">
        <v>1187</v>
      </c>
      <c r="N45" s="855">
        <f>F45*H45*J45*L45</f>
        <v>118.26</v>
      </c>
    </row>
    <row r="46" spans="6:18">
      <c r="F46" s="701">
        <v>2</v>
      </c>
      <c r="G46" s="701" t="s">
        <v>1185</v>
      </c>
      <c r="H46" s="801">
        <v>2</v>
      </c>
      <c r="I46" s="701" t="s">
        <v>1185</v>
      </c>
      <c r="J46" s="703">
        <f>J23</f>
        <v>6.57</v>
      </c>
      <c r="K46" s="701" t="s">
        <v>1185</v>
      </c>
      <c r="L46" s="834">
        <v>1</v>
      </c>
      <c r="M46" s="701" t="s">
        <v>1187</v>
      </c>
      <c r="N46" s="855">
        <f>F46*H46*J46*L46</f>
        <v>26.28</v>
      </c>
    </row>
    <row r="47" spans="6:18">
      <c r="K47" s="701"/>
      <c r="N47" s="856">
        <f>SUM(N45:N46)</f>
        <v>144.54000000000002</v>
      </c>
      <c r="O47" s="707" t="s">
        <v>4</v>
      </c>
      <c r="P47" s="787" t="s">
        <v>1195</v>
      </c>
      <c r="R47" t="s">
        <v>1467</v>
      </c>
    </row>
    <row r="49" spans="1:6">
      <c r="A49" s="702" t="s">
        <v>1479</v>
      </c>
      <c r="B49">
        <f>F31*H31*L31</f>
        <v>132</v>
      </c>
    </row>
    <row r="50" spans="1:6">
      <c r="B50">
        <f>F32*H32*L32</f>
        <v>44</v>
      </c>
    </row>
    <row r="51" spans="1:6">
      <c r="B51" s="859">
        <f>SUM(B49:B50)</f>
        <v>176</v>
      </c>
      <c r="C51" s="707" t="s">
        <v>1304</v>
      </c>
      <c r="D51" s="787" t="s">
        <v>1198</v>
      </c>
      <c r="F51" t="s">
        <v>1466</v>
      </c>
    </row>
    <row r="53" spans="1:6">
      <c r="B53">
        <f>F36*H36*L36</f>
        <v>12</v>
      </c>
    </row>
    <row r="54" spans="1:6">
      <c r="B54">
        <f>F37*H37*L37</f>
        <v>4</v>
      </c>
    </row>
    <row r="55" spans="1:6">
      <c r="B55" s="859">
        <f>SUM(B53:B54)</f>
        <v>16</v>
      </c>
      <c r="C55" s="707" t="s">
        <v>1304</v>
      </c>
      <c r="D55" s="710" t="s">
        <v>1197</v>
      </c>
      <c r="F55" t="s">
        <v>1763</v>
      </c>
    </row>
    <row r="57" spans="1:6">
      <c r="B57">
        <f>F40*H40*L40</f>
        <v>24</v>
      </c>
    </row>
    <row r="58" spans="1:6">
      <c r="B58">
        <f>F41*H41*L41</f>
        <v>4</v>
      </c>
    </row>
    <row r="59" spans="1:6">
      <c r="B59" s="859">
        <f>SUM(B57:B58)</f>
        <v>28</v>
      </c>
      <c r="C59" s="707" t="s">
        <v>1304</v>
      </c>
      <c r="D59" s="787" t="s">
        <v>1196</v>
      </c>
      <c r="F59" t="s">
        <v>1314</v>
      </c>
    </row>
    <row r="61" spans="1:6">
      <c r="B61">
        <f>F45*H45*L45</f>
        <v>18</v>
      </c>
    </row>
    <row r="62" spans="1:6">
      <c r="B62">
        <f>F46*H46*L46</f>
        <v>4</v>
      </c>
    </row>
    <row r="63" spans="1:6">
      <c r="B63" s="859">
        <f>SUM(B61:B62)</f>
        <v>22</v>
      </c>
      <c r="C63" s="707" t="s">
        <v>1304</v>
      </c>
      <c r="D63" s="787" t="s">
        <v>1195</v>
      </c>
      <c r="F63" t="s">
        <v>1467</v>
      </c>
    </row>
    <row r="65" spans="1:18">
      <c r="A65" s="702" t="s">
        <v>1480</v>
      </c>
      <c r="B65" s="707">
        <f>B51</f>
        <v>176</v>
      </c>
      <c r="C65" s="707" t="s">
        <v>1304</v>
      </c>
      <c r="D65" s="787" t="s">
        <v>1198</v>
      </c>
      <c r="F65" t="s">
        <v>1466</v>
      </c>
    </row>
    <row r="66" spans="1:18">
      <c r="B66" s="707">
        <f>B59</f>
        <v>28</v>
      </c>
      <c r="C66" s="707" t="s">
        <v>1304</v>
      </c>
      <c r="D66" s="787" t="s">
        <v>1196</v>
      </c>
      <c r="F66" t="s">
        <v>1314</v>
      </c>
    </row>
    <row r="67" spans="1:18">
      <c r="B67" s="707">
        <f>B63</f>
        <v>22</v>
      </c>
      <c r="C67" s="707" t="s">
        <v>1304</v>
      </c>
      <c r="D67" s="787" t="s">
        <v>1195</v>
      </c>
      <c r="F67" t="s">
        <v>1467</v>
      </c>
    </row>
    <row r="68" spans="1:18">
      <c r="B68" s="707"/>
      <c r="C68" s="707"/>
      <c r="D68" s="787"/>
    </row>
    <row r="69" spans="1:18">
      <c r="A69" s="702" t="s">
        <v>1481</v>
      </c>
      <c r="B69" s="707">
        <f>B65</f>
        <v>176</v>
      </c>
      <c r="C69" s="707" t="s">
        <v>1304</v>
      </c>
      <c r="D69" s="787" t="s">
        <v>1198</v>
      </c>
      <c r="F69" t="s">
        <v>1466</v>
      </c>
    </row>
    <row r="70" spans="1:18">
      <c r="B70" s="707">
        <f>B66</f>
        <v>28</v>
      </c>
      <c r="C70" s="707" t="s">
        <v>1304</v>
      </c>
      <c r="D70" s="787" t="s">
        <v>1196</v>
      </c>
      <c r="F70" t="s">
        <v>1314</v>
      </c>
    </row>
    <row r="71" spans="1:18">
      <c r="B71" s="707">
        <f>B67</f>
        <v>22</v>
      </c>
      <c r="C71" s="707" t="s">
        <v>1304</v>
      </c>
      <c r="D71" s="787" t="s">
        <v>1195</v>
      </c>
      <c r="F71" t="s">
        <v>1467</v>
      </c>
    </row>
    <row r="72" spans="1:18">
      <c r="B72" s="707"/>
      <c r="C72" s="707"/>
      <c r="D72" s="787"/>
    </row>
    <row r="74" spans="1:18">
      <c r="A74" s="702" t="s">
        <v>1482</v>
      </c>
      <c r="B74" s="707">
        <f>B69</f>
        <v>176</v>
      </c>
      <c r="C74" s="707" t="s">
        <v>1304</v>
      </c>
      <c r="D74" s="787" t="s">
        <v>1198</v>
      </c>
      <c r="F74" t="s">
        <v>1466</v>
      </c>
    </row>
    <row r="75" spans="1:18">
      <c r="B75" s="707">
        <f>B70</f>
        <v>28</v>
      </c>
      <c r="C75" s="707" t="s">
        <v>1304</v>
      </c>
      <c r="D75" s="787" t="s">
        <v>1196</v>
      </c>
      <c r="F75" t="s">
        <v>1314</v>
      </c>
    </row>
    <row r="76" spans="1:18">
      <c r="B76" s="707">
        <f>B71</f>
        <v>22</v>
      </c>
      <c r="C76" s="707" t="s">
        <v>1304</v>
      </c>
      <c r="D76" s="787" t="s">
        <v>1195</v>
      </c>
      <c r="F76" t="s">
        <v>1467</v>
      </c>
    </row>
    <row r="77" spans="1:18">
      <c r="P77" t="s">
        <v>2190</v>
      </c>
    </row>
    <row r="78" spans="1:18">
      <c r="A78" s="707" t="s">
        <v>1184</v>
      </c>
      <c r="L78" s="710"/>
      <c r="P78" s="702" t="s">
        <v>2188</v>
      </c>
    </row>
    <row r="79" spans="1:18">
      <c r="A79" s="702" t="s">
        <v>1198</v>
      </c>
      <c r="B79" s="703">
        <v>2.5</v>
      </c>
      <c r="C79" s="701" t="s">
        <v>1185</v>
      </c>
      <c r="D79" s="703">
        <v>1.2</v>
      </c>
      <c r="E79" s="701" t="s">
        <v>1185</v>
      </c>
      <c r="F79" s="701">
        <f>(5*6)+6</f>
        <v>36</v>
      </c>
      <c r="G79" s="701" t="s">
        <v>1185</v>
      </c>
      <c r="H79" s="701">
        <v>11</v>
      </c>
      <c r="I79" s="701" t="s">
        <v>1187</v>
      </c>
      <c r="J79" s="788">
        <f>B79*D79*F79*H79</f>
        <v>1188</v>
      </c>
      <c r="K79" s="707" t="s">
        <v>12</v>
      </c>
      <c r="L79" s="710" t="str">
        <f>A79</f>
        <v>módulo 1</v>
      </c>
      <c r="P79" s="1109">
        <f>B79*D79*F79</f>
        <v>108</v>
      </c>
      <c r="Q79" t="s">
        <v>12</v>
      </c>
      <c r="R79" t="s">
        <v>1696</v>
      </c>
    </row>
    <row r="80" spans="1:18">
      <c r="L80" s="710"/>
      <c r="P80" s="1109">
        <f>(5*2.5)*2*0.3</f>
        <v>7.5</v>
      </c>
      <c r="Q80" t="s">
        <v>12</v>
      </c>
      <c r="R80" t="s">
        <v>2191</v>
      </c>
    </row>
    <row r="81" spans="1:18">
      <c r="A81" s="702" t="s">
        <v>1197</v>
      </c>
      <c r="B81" s="703">
        <v>2.5</v>
      </c>
      <c r="C81" s="701" t="s">
        <v>1185</v>
      </c>
      <c r="D81" s="703">
        <v>1.2</v>
      </c>
      <c r="E81" s="701" t="s">
        <v>1185</v>
      </c>
      <c r="F81" s="701">
        <f>(12*3)</f>
        <v>36</v>
      </c>
      <c r="I81" s="701" t="s">
        <v>1187</v>
      </c>
      <c r="J81" s="706">
        <f>B81*D81*F81</f>
        <v>108</v>
      </c>
      <c r="K81" s="707" t="s">
        <v>12</v>
      </c>
      <c r="L81" s="710" t="str">
        <f t="shared" ref="L81:L85" si="1">A81</f>
        <v>módulo 2</v>
      </c>
      <c r="P81" s="1110">
        <f>SUM(P79:P80)</f>
        <v>115.5</v>
      </c>
      <c r="Q81" t="s">
        <v>12</v>
      </c>
    </row>
    <row r="82" spans="1:18">
      <c r="L82" s="710"/>
    </row>
    <row r="83" spans="1:18">
      <c r="A83" s="702" t="s">
        <v>1196</v>
      </c>
      <c r="B83" s="703">
        <v>2.5</v>
      </c>
      <c r="C83" s="701" t="s">
        <v>1185</v>
      </c>
      <c r="D83" s="703">
        <v>1.2</v>
      </c>
      <c r="E83" s="701" t="s">
        <v>1185</v>
      </c>
      <c r="F83" s="701">
        <f>(11*6)+6</f>
        <v>72</v>
      </c>
      <c r="I83" s="701" t="s">
        <v>1187</v>
      </c>
      <c r="J83" s="706">
        <f>B83*D83*F83</f>
        <v>216</v>
      </c>
      <c r="K83" s="707" t="s">
        <v>12</v>
      </c>
      <c r="L83" s="710" t="str">
        <f t="shared" si="1"/>
        <v>módulo 3</v>
      </c>
    </row>
    <row r="84" spans="1:18">
      <c r="L84" s="710"/>
      <c r="P84" s="702" t="s">
        <v>1467</v>
      </c>
    </row>
    <row r="85" spans="1:18">
      <c r="A85" s="702" t="s">
        <v>1195</v>
      </c>
      <c r="B85" s="703">
        <v>2.5</v>
      </c>
      <c r="C85" s="701" t="s">
        <v>1185</v>
      </c>
      <c r="D85" s="703">
        <v>1.2</v>
      </c>
      <c r="E85" s="701" t="s">
        <v>1185</v>
      </c>
      <c r="F85" s="701">
        <f>(8*6)+6</f>
        <v>54</v>
      </c>
      <c r="I85" s="701" t="s">
        <v>1187</v>
      </c>
      <c r="J85" s="706">
        <f>B85*D85*F85</f>
        <v>162</v>
      </c>
      <c r="K85" s="707" t="s">
        <v>12</v>
      </c>
      <c r="L85" s="710" t="str">
        <f t="shared" si="1"/>
        <v>módulo 4</v>
      </c>
      <c r="P85" s="1109">
        <f>J85</f>
        <v>162</v>
      </c>
      <c r="R85" t="s">
        <v>1696</v>
      </c>
    </row>
    <row r="86" spans="1:18">
      <c r="L86" s="710"/>
      <c r="P86" s="1109">
        <f>(2.5*8)*2*0.3</f>
        <v>12</v>
      </c>
      <c r="R86" t="s">
        <v>2189</v>
      </c>
    </row>
    <row r="87" spans="1:18">
      <c r="P87" s="1110">
        <f>SUM(P85:P86)</f>
        <v>174</v>
      </c>
      <c r="Q87" t="s">
        <v>12</v>
      </c>
    </row>
    <row r="88" spans="1:18">
      <c r="A88" s="797" t="s">
        <v>2347</v>
      </c>
    </row>
    <row r="89" spans="1:18">
      <c r="A89" s="702" t="s">
        <v>2345</v>
      </c>
      <c r="B89" s="706">
        <f>7.2*(15-1.25-1.25)</f>
        <v>90</v>
      </c>
      <c r="C89" s="711" t="s">
        <v>12</v>
      </c>
      <c r="D89" s="712" t="s">
        <v>1198</v>
      </c>
      <c r="E89" s="701"/>
      <c r="F89" s="703"/>
      <c r="G89" s="701"/>
      <c r="H89" s="703"/>
      <c r="I89" s="701"/>
      <c r="J89" s="703"/>
      <c r="K89" s="701"/>
    </row>
    <row r="90" spans="1:18">
      <c r="A90" s="702" t="s">
        <v>1467</v>
      </c>
      <c r="B90" s="706">
        <f>(22.5-1.25-1.25)*7.2</f>
        <v>144</v>
      </c>
      <c r="C90" s="711" t="s">
        <v>12</v>
      </c>
      <c r="D90" s="712" t="s">
        <v>1195</v>
      </c>
      <c r="E90" s="701"/>
      <c r="F90" s="703"/>
      <c r="G90" s="701"/>
      <c r="H90" s="703"/>
      <c r="I90" s="701"/>
      <c r="J90" s="703"/>
      <c r="K90" s="701"/>
    </row>
    <row r="91" spans="1:18">
      <c r="A91" s="702" t="s">
        <v>1314</v>
      </c>
      <c r="B91" s="706">
        <f>(30-1.25-1.25)*7.2</f>
        <v>198</v>
      </c>
      <c r="C91" s="711" t="s">
        <v>12</v>
      </c>
      <c r="D91" s="712" t="s">
        <v>1196</v>
      </c>
      <c r="E91" s="701"/>
      <c r="F91" s="703"/>
      <c r="G91" s="701"/>
      <c r="H91" s="703"/>
      <c r="I91" s="701"/>
      <c r="J91" s="703"/>
      <c r="K91" s="701"/>
    </row>
    <row r="92" spans="1:18">
      <c r="A92" s="702"/>
      <c r="B92" s="1251"/>
      <c r="C92" s="711"/>
      <c r="D92" s="712"/>
      <c r="E92" s="701"/>
      <c r="F92" s="703"/>
      <c r="G92" s="701"/>
      <c r="H92" s="703"/>
      <c r="I92" s="701"/>
      <c r="J92" s="703"/>
      <c r="K92" s="701"/>
    </row>
    <row r="93" spans="1:18">
      <c r="B93" s="706"/>
      <c r="C93" s="711"/>
      <c r="D93" s="712"/>
      <c r="E93" s="701"/>
      <c r="F93" s="703"/>
      <c r="G93" s="701"/>
      <c r="H93" s="703"/>
      <c r="I93" s="701"/>
      <c r="J93" s="703"/>
      <c r="K93" s="701"/>
    </row>
    <row r="94" spans="1:18">
      <c r="A94" s="707" t="s">
        <v>2346</v>
      </c>
      <c r="B94" s="706"/>
      <c r="C94" s="711"/>
      <c r="D94" s="712"/>
      <c r="E94" s="701"/>
      <c r="F94" s="703"/>
      <c r="G94" s="701"/>
      <c r="H94" s="703"/>
      <c r="I94" s="701"/>
      <c r="J94" s="703"/>
      <c r="K94" s="701"/>
    </row>
    <row r="95" spans="1:18">
      <c r="A95" s="702" t="s">
        <v>2344</v>
      </c>
      <c r="B95" s="706">
        <f>7.2*(15-1.25-1.25)*9</f>
        <v>810</v>
      </c>
      <c r="C95" s="711" t="s">
        <v>12</v>
      </c>
      <c r="D95" s="712" t="s">
        <v>1198</v>
      </c>
      <c r="E95" s="701"/>
      <c r="F95" s="701"/>
      <c r="I95" s="701"/>
      <c r="J95" s="701"/>
      <c r="K95" s="701"/>
    </row>
    <row r="96" spans="1:18">
      <c r="A96" s="702"/>
      <c r="B96" s="706"/>
      <c r="C96" s="711"/>
      <c r="D96" s="712"/>
      <c r="E96" s="701"/>
      <c r="F96" s="701"/>
      <c r="I96" s="701"/>
      <c r="J96" s="701"/>
      <c r="K96" s="701"/>
    </row>
    <row r="97" spans="1:11">
      <c r="A97" s="702"/>
      <c r="B97" s="706"/>
      <c r="C97" s="711"/>
      <c r="D97" s="712"/>
      <c r="E97" s="701"/>
      <c r="F97" s="701"/>
      <c r="I97" s="701"/>
      <c r="J97" s="701"/>
      <c r="K97" s="701"/>
    </row>
    <row r="100" spans="1:11">
      <c r="A100" s="707" t="s">
        <v>1464</v>
      </c>
    </row>
    <row r="101" spans="1:11">
      <c r="A101" s="702" t="s">
        <v>1199</v>
      </c>
      <c r="B101" s="701">
        <v>43.08</v>
      </c>
    </row>
    <row r="102" spans="1:11">
      <c r="A102" s="702" t="s">
        <v>1200</v>
      </c>
      <c r="B102" s="701">
        <f>B101</f>
        <v>43.08</v>
      </c>
    </row>
    <row r="103" spans="1:11">
      <c r="B103" s="713">
        <f>SUM(B101:B102)</f>
        <v>86.16</v>
      </c>
      <c r="C103" s="711" t="s">
        <v>12</v>
      </c>
    </row>
    <row r="105" spans="1:11">
      <c r="A105" s="707" t="s">
        <v>1201</v>
      </c>
    </row>
    <row r="106" spans="1:11">
      <c r="A106" s="702" t="s">
        <v>1202</v>
      </c>
      <c r="B106" s="701">
        <v>255.19</v>
      </c>
    </row>
    <row r="107" spans="1:11">
      <c r="A107" s="702" t="s">
        <v>1203</v>
      </c>
      <c r="B107" s="701">
        <v>176.61</v>
      </c>
    </row>
    <row r="108" spans="1:11">
      <c r="A108" s="702" t="s">
        <v>2272</v>
      </c>
      <c r="B108" s="703">
        <f>22*10</f>
        <v>220</v>
      </c>
    </row>
    <row r="109" spans="1:11">
      <c r="A109" s="702" t="s">
        <v>2269</v>
      </c>
      <c r="B109" s="703">
        <v>128</v>
      </c>
    </row>
    <row r="110" spans="1:11">
      <c r="B110" s="708">
        <f>SUM(B106:B109)</f>
        <v>779.8</v>
      </c>
      <c r="C110" s="711" t="s">
        <v>12</v>
      </c>
    </row>
    <row r="113" spans="1:14">
      <c r="A113" s="707" t="s">
        <v>1298</v>
      </c>
    </row>
    <row r="114" spans="1:14">
      <c r="A114" s="1175"/>
      <c r="B114" s="1176"/>
      <c r="C114" s="707"/>
      <c r="D114" s="710"/>
      <c r="N114" s="1109"/>
    </row>
    <row r="115" spans="1:14">
      <c r="A115" s="702" t="s">
        <v>1306</v>
      </c>
      <c r="B115" s="705">
        <v>2</v>
      </c>
      <c r="C115" s="705" t="s">
        <v>1185</v>
      </c>
      <c r="D115" s="705">
        <v>1.25</v>
      </c>
      <c r="E115" s="701" t="s">
        <v>1185</v>
      </c>
      <c r="F115" s="790">
        <v>7.2</v>
      </c>
      <c r="G115" s="701" t="s">
        <v>1185</v>
      </c>
      <c r="H115" s="701">
        <v>11</v>
      </c>
      <c r="I115" s="701" t="s">
        <v>1187</v>
      </c>
      <c r="J115" s="706">
        <f>B115*D115*F115*H115</f>
        <v>198</v>
      </c>
      <c r="K115" s="707" t="s">
        <v>12</v>
      </c>
      <c r="L115" s="791" t="s">
        <v>1523</v>
      </c>
    </row>
    <row r="116" spans="1:14">
      <c r="A116" s="702" t="s">
        <v>1308</v>
      </c>
      <c r="B116" s="705">
        <v>2</v>
      </c>
      <c r="C116" s="705" t="s">
        <v>1185</v>
      </c>
      <c r="D116" s="705">
        <v>1.25</v>
      </c>
      <c r="E116" s="701" t="s">
        <v>1185</v>
      </c>
      <c r="F116" s="790">
        <v>7.2</v>
      </c>
      <c r="G116" s="701" t="s">
        <v>1187</v>
      </c>
      <c r="H116" s="706">
        <f>B116*D116*F116</f>
        <v>18</v>
      </c>
      <c r="I116" s="707" t="s">
        <v>12</v>
      </c>
      <c r="J116" s="791" t="s">
        <v>1310</v>
      </c>
    </row>
    <row r="117" spans="1:14">
      <c r="A117" s="702" t="s">
        <v>1309</v>
      </c>
      <c r="B117" s="705">
        <v>2</v>
      </c>
      <c r="C117" s="705" t="s">
        <v>1185</v>
      </c>
      <c r="D117" s="705">
        <v>1.25</v>
      </c>
      <c r="E117" s="701"/>
      <c r="F117" s="703">
        <v>7.2</v>
      </c>
      <c r="G117" s="701" t="s">
        <v>1187</v>
      </c>
      <c r="H117" s="703">
        <f>B117*D117*F117</f>
        <v>18</v>
      </c>
    </row>
    <row r="118" spans="1:14">
      <c r="A118" s="702" t="s">
        <v>1307</v>
      </c>
      <c r="B118" s="711"/>
      <c r="C118" s="707"/>
      <c r="D118" s="790">
        <v>3</v>
      </c>
      <c r="E118" s="701" t="s">
        <v>1185</v>
      </c>
      <c r="F118" s="790">
        <v>2</v>
      </c>
      <c r="G118" s="701" t="s">
        <v>1187</v>
      </c>
      <c r="H118" s="703">
        <f>D118*F118</f>
        <v>6</v>
      </c>
      <c r="J118" s="706">
        <f>H117+H118</f>
        <v>24</v>
      </c>
      <c r="K118" s="707" t="s">
        <v>12</v>
      </c>
      <c r="L118" s="710" t="s">
        <v>1311</v>
      </c>
    </row>
    <row r="119" spans="1:14">
      <c r="A119" s="702"/>
      <c r="B119" s="711"/>
      <c r="C119" s="707"/>
      <c r="D119" s="790"/>
      <c r="E119" s="701"/>
      <c r="F119" s="790"/>
      <c r="G119" s="701"/>
      <c r="H119" s="703"/>
    </row>
    <row r="120" spans="1:14">
      <c r="A120" s="989" t="s">
        <v>1190</v>
      </c>
      <c r="B120" s="990">
        <v>220.94</v>
      </c>
      <c r="C120" s="991" t="s">
        <v>12</v>
      </c>
      <c r="D120" s="992" t="s">
        <v>1191</v>
      </c>
      <c r="E120" s="993"/>
      <c r="G120" s="701"/>
      <c r="H120" s="703"/>
    </row>
    <row r="121" spans="1:14">
      <c r="A121" s="989" t="s">
        <v>1194</v>
      </c>
      <c r="B121" s="994">
        <v>4.2290000000000001</v>
      </c>
      <c r="C121" s="994" t="s">
        <v>1185</v>
      </c>
      <c r="D121" s="994">
        <v>1.25</v>
      </c>
      <c r="E121" s="994" t="s">
        <v>1185</v>
      </c>
      <c r="F121" s="994">
        <v>14</v>
      </c>
      <c r="G121" s="993"/>
      <c r="H121" s="993"/>
      <c r="I121" s="994" t="s">
        <v>1187</v>
      </c>
      <c r="J121" s="995">
        <f>B121*D121*F121</f>
        <v>74.007499999999993</v>
      </c>
      <c r="K121" s="991" t="s">
        <v>12</v>
      </c>
      <c r="L121" s="992" t="str">
        <f>A121</f>
        <v>módulo 6</v>
      </c>
    </row>
    <row r="123" spans="1:14">
      <c r="A123" s="989" t="s">
        <v>1192</v>
      </c>
      <c r="B123" s="994">
        <v>4.6790000000000003</v>
      </c>
      <c r="C123" s="994" t="s">
        <v>1185</v>
      </c>
      <c r="D123" s="994">
        <v>1.25</v>
      </c>
      <c r="E123" s="994" t="s">
        <v>1185</v>
      </c>
      <c r="F123" s="994">
        <f>11-4</f>
        <v>7</v>
      </c>
      <c r="G123" s="993"/>
      <c r="H123" s="993"/>
      <c r="I123" s="994" t="s">
        <v>1187</v>
      </c>
      <c r="J123" s="996">
        <f>B123*D123*F123</f>
        <v>40.941250000000004</v>
      </c>
      <c r="K123" s="993"/>
      <c r="L123" s="992"/>
    </row>
    <row r="124" spans="1:14">
      <c r="A124" s="993"/>
      <c r="B124" s="994">
        <v>4.2789999999999999</v>
      </c>
      <c r="C124" s="994" t="s">
        <v>1185</v>
      </c>
      <c r="D124" s="994">
        <v>1.25</v>
      </c>
      <c r="E124" s="994" t="s">
        <v>1185</v>
      </c>
      <c r="F124" s="994">
        <v>11</v>
      </c>
      <c r="G124" s="993"/>
      <c r="H124" s="993"/>
      <c r="I124" s="994" t="s">
        <v>1187</v>
      </c>
      <c r="J124" s="996">
        <f>B124*D124*F124</f>
        <v>58.83625</v>
      </c>
      <c r="K124" s="993"/>
      <c r="L124" s="992"/>
    </row>
    <row r="125" spans="1:14">
      <c r="A125" s="993"/>
      <c r="B125" s="994">
        <v>5.17</v>
      </c>
      <c r="C125" s="994" t="s">
        <v>1185</v>
      </c>
      <c r="D125" s="994">
        <v>1.25</v>
      </c>
      <c r="E125" s="994" t="s">
        <v>1185</v>
      </c>
      <c r="F125" s="994">
        <v>1</v>
      </c>
      <c r="G125" s="993"/>
      <c r="H125" s="993"/>
      <c r="I125" s="994" t="s">
        <v>1187</v>
      </c>
      <c r="J125" s="996">
        <f t="shared" ref="J125:J127" si="2">B125*D125*F125</f>
        <v>6.4625000000000004</v>
      </c>
      <c r="K125" s="993"/>
      <c r="L125" s="992"/>
    </row>
    <row r="126" spans="1:14">
      <c r="A126" s="993"/>
      <c r="B126" s="996">
        <v>4.8</v>
      </c>
      <c r="C126" s="994" t="s">
        <v>1185</v>
      </c>
      <c r="D126" s="994">
        <v>1.25</v>
      </c>
      <c r="E126" s="994" t="s">
        <v>1185</v>
      </c>
      <c r="F126" s="994">
        <v>1</v>
      </c>
      <c r="G126" s="993"/>
      <c r="H126" s="993"/>
      <c r="I126" s="994" t="s">
        <v>1187</v>
      </c>
      <c r="J126" s="996">
        <f t="shared" si="2"/>
        <v>6</v>
      </c>
      <c r="K126" s="993"/>
      <c r="L126" s="992"/>
    </row>
    <row r="127" spans="1:14">
      <c r="A127" s="993"/>
      <c r="B127" s="996">
        <v>4.4000000000000004</v>
      </c>
      <c r="C127" s="994" t="s">
        <v>1185</v>
      </c>
      <c r="D127" s="994">
        <v>1.25</v>
      </c>
      <c r="E127" s="994" t="s">
        <v>1185</v>
      </c>
      <c r="F127" s="994">
        <v>1</v>
      </c>
      <c r="G127" s="993"/>
      <c r="H127" s="993"/>
      <c r="I127" s="994" t="s">
        <v>1187</v>
      </c>
      <c r="J127" s="996">
        <f t="shared" si="2"/>
        <v>5.5</v>
      </c>
      <c r="K127" s="993"/>
      <c r="L127" s="992"/>
    </row>
    <row r="128" spans="1:14">
      <c r="A128" s="993"/>
      <c r="B128" s="994"/>
      <c r="C128" s="994"/>
      <c r="D128" s="993"/>
      <c r="E128" s="993"/>
      <c r="F128" s="993"/>
      <c r="G128" s="993"/>
      <c r="H128" s="993"/>
      <c r="I128" s="993"/>
      <c r="J128" s="997">
        <f>SUM(J123:J127)</f>
        <v>117.74000000000001</v>
      </c>
      <c r="K128" s="991" t="s">
        <v>12</v>
      </c>
      <c r="L128" s="992" t="str">
        <f>A123</f>
        <v>módulo 7</v>
      </c>
    </row>
    <row r="129" spans="1:13">
      <c r="A129" s="702"/>
      <c r="B129" s="711"/>
      <c r="C129" s="707"/>
      <c r="D129" s="790"/>
      <c r="E129" s="701"/>
      <c r="F129" s="790"/>
      <c r="G129" s="701"/>
      <c r="H129" s="703"/>
    </row>
    <row r="130" spans="1:13">
      <c r="A130" s="989" t="s">
        <v>1186</v>
      </c>
      <c r="B130" s="994"/>
      <c r="C130" s="994"/>
      <c r="D130" s="994">
        <v>1.25</v>
      </c>
      <c r="E130" s="994" t="s">
        <v>1185</v>
      </c>
      <c r="F130" s="996">
        <v>3.8</v>
      </c>
      <c r="G130" s="994" t="s">
        <v>1185</v>
      </c>
      <c r="H130" s="994">
        <v>6</v>
      </c>
      <c r="I130" s="994" t="s">
        <v>1187</v>
      </c>
      <c r="J130" s="996">
        <f>H130*D130*F130</f>
        <v>28.5</v>
      </c>
      <c r="K130" s="993"/>
      <c r="L130" s="993"/>
      <c r="M130" s="993"/>
    </row>
    <row r="131" spans="1:13">
      <c r="A131" s="993"/>
      <c r="B131" s="994"/>
      <c r="C131" s="994"/>
      <c r="D131" s="994">
        <v>1.25</v>
      </c>
      <c r="E131" s="994" t="s">
        <v>1185</v>
      </c>
      <c r="F131" s="996">
        <v>2.8</v>
      </c>
      <c r="G131" s="994" t="s">
        <v>1185</v>
      </c>
      <c r="H131" s="994">
        <v>2</v>
      </c>
      <c r="I131" s="994" t="s">
        <v>1187</v>
      </c>
      <c r="J131" s="996">
        <f t="shared" ref="J131:J132" si="3">H131*D131*F131</f>
        <v>7</v>
      </c>
      <c r="K131" s="993"/>
      <c r="L131" s="993"/>
      <c r="M131" s="993"/>
    </row>
    <row r="132" spans="1:13">
      <c r="A132" s="993"/>
      <c r="B132" s="994"/>
      <c r="C132" s="994"/>
      <c r="D132" s="994">
        <v>1.25</v>
      </c>
      <c r="E132" s="994" t="s">
        <v>1185</v>
      </c>
      <c r="F132" s="998">
        <v>1.0920000000000001</v>
      </c>
      <c r="G132" s="994" t="s">
        <v>1185</v>
      </c>
      <c r="H132" s="994">
        <v>1</v>
      </c>
      <c r="I132" s="994" t="s">
        <v>1187</v>
      </c>
      <c r="J132" s="996">
        <f t="shared" si="3"/>
        <v>1.3650000000000002</v>
      </c>
      <c r="K132" s="993"/>
      <c r="L132" s="993"/>
      <c r="M132" s="993"/>
    </row>
    <row r="133" spans="1:13">
      <c r="A133" s="993"/>
      <c r="B133" s="994">
        <f>4.081+3.776</f>
        <v>7.8570000000000002</v>
      </c>
      <c r="C133" s="994" t="s">
        <v>1185</v>
      </c>
      <c r="D133" s="994">
        <v>1.25</v>
      </c>
      <c r="E133" s="999" t="s">
        <v>1188</v>
      </c>
      <c r="F133" s="994">
        <v>2</v>
      </c>
      <c r="G133" s="994" t="s">
        <v>1185</v>
      </c>
      <c r="H133" s="994">
        <v>2</v>
      </c>
      <c r="I133" s="994" t="s">
        <v>1187</v>
      </c>
      <c r="J133" s="996">
        <f>(B133*D133)/F133*H133</f>
        <v>9.8212500000000009</v>
      </c>
      <c r="K133" s="993"/>
      <c r="L133" s="993"/>
      <c r="M133" s="993"/>
    </row>
    <row r="134" spans="1:13">
      <c r="A134" s="993"/>
      <c r="B134" s="994">
        <f>3.776+3.471</f>
        <v>7.2469999999999999</v>
      </c>
      <c r="C134" s="994" t="s">
        <v>1185</v>
      </c>
      <c r="D134" s="994">
        <v>1.25</v>
      </c>
      <c r="E134" s="999" t="s">
        <v>1188</v>
      </c>
      <c r="F134" s="994">
        <v>2</v>
      </c>
      <c r="G134" s="994" t="s">
        <v>1185</v>
      </c>
      <c r="H134" s="994">
        <v>2</v>
      </c>
      <c r="I134" s="994" t="s">
        <v>1187</v>
      </c>
      <c r="J134" s="996">
        <f t="shared" ref="J134:J142" si="4">(B134*D134)/F134*H134</f>
        <v>9.0587499999999999</v>
      </c>
      <c r="K134" s="993"/>
      <c r="L134" s="993"/>
      <c r="M134" s="993"/>
    </row>
    <row r="135" spans="1:13">
      <c r="A135" s="993"/>
      <c r="B135" s="994">
        <f>3.471+3.167</f>
        <v>6.6379999999999999</v>
      </c>
      <c r="C135" s="994" t="s">
        <v>1185</v>
      </c>
      <c r="D135" s="994">
        <v>1.25</v>
      </c>
      <c r="E135" s="999" t="s">
        <v>1188</v>
      </c>
      <c r="F135" s="994">
        <v>2</v>
      </c>
      <c r="G135" s="994" t="s">
        <v>1185</v>
      </c>
      <c r="H135" s="994">
        <v>2</v>
      </c>
      <c r="I135" s="994" t="s">
        <v>1187</v>
      </c>
      <c r="J135" s="996">
        <f t="shared" si="4"/>
        <v>8.2974999999999994</v>
      </c>
      <c r="K135" s="993"/>
      <c r="L135" s="993"/>
      <c r="M135" s="993"/>
    </row>
    <row r="136" spans="1:13">
      <c r="A136" s="993"/>
      <c r="B136" s="994">
        <f>3.167+2.862</f>
        <v>6.0289999999999999</v>
      </c>
      <c r="C136" s="994" t="s">
        <v>1185</v>
      </c>
      <c r="D136" s="994">
        <v>1.25</v>
      </c>
      <c r="E136" s="999" t="s">
        <v>1188</v>
      </c>
      <c r="F136" s="994">
        <v>2</v>
      </c>
      <c r="G136" s="994" t="s">
        <v>1185</v>
      </c>
      <c r="H136" s="994">
        <v>2</v>
      </c>
      <c r="I136" s="994" t="s">
        <v>1187</v>
      </c>
      <c r="J136" s="996">
        <f t="shared" si="4"/>
        <v>7.5362499999999999</v>
      </c>
      <c r="K136" s="993"/>
      <c r="L136" s="993"/>
      <c r="M136" s="993"/>
    </row>
    <row r="137" spans="1:13">
      <c r="A137" s="993"/>
      <c r="B137" s="994">
        <f>2.862+2.557</f>
        <v>5.4190000000000005</v>
      </c>
      <c r="C137" s="994" t="s">
        <v>1185</v>
      </c>
      <c r="D137" s="994">
        <v>1.25</v>
      </c>
      <c r="E137" s="999" t="s">
        <v>1188</v>
      </c>
      <c r="F137" s="994">
        <v>2</v>
      </c>
      <c r="G137" s="994" t="s">
        <v>1185</v>
      </c>
      <c r="H137" s="994">
        <v>2</v>
      </c>
      <c r="I137" s="994" t="s">
        <v>1187</v>
      </c>
      <c r="J137" s="996">
        <f t="shared" si="4"/>
        <v>6.7737500000000006</v>
      </c>
      <c r="K137" s="993"/>
      <c r="L137" s="993"/>
      <c r="M137" s="993"/>
    </row>
    <row r="138" spans="1:13">
      <c r="A138" s="993"/>
      <c r="B138" s="994">
        <f>2.557+0.5+2.752</f>
        <v>5.8089999999999993</v>
      </c>
      <c r="C138" s="994" t="s">
        <v>1185</v>
      </c>
      <c r="D138" s="994">
        <v>1.25</v>
      </c>
      <c r="E138" s="999" t="s">
        <v>1188</v>
      </c>
      <c r="F138" s="994">
        <v>2</v>
      </c>
      <c r="G138" s="994" t="s">
        <v>1185</v>
      </c>
      <c r="H138" s="994">
        <v>2</v>
      </c>
      <c r="I138" s="994" t="s">
        <v>1187</v>
      </c>
      <c r="J138" s="996">
        <f t="shared" si="4"/>
        <v>7.2612499999999986</v>
      </c>
      <c r="K138" s="993"/>
      <c r="L138" s="993"/>
      <c r="M138" s="993"/>
    </row>
    <row r="139" spans="1:13">
      <c r="A139" s="993"/>
      <c r="B139" s="994">
        <f>2.752+2.447</f>
        <v>5.1989999999999998</v>
      </c>
      <c r="C139" s="994" t="s">
        <v>1185</v>
      </c>
      <c r="D139" s="994">
        <v>1.25</v>
      </c>
      <c r="E139" s="999" t="s">
        <v>1188</v>
      </c>
      <c r="F139" s="994">
        <v>2</v>
      </c>
      <c r="G139" s="994" t="s">
        <v>1185</v>
      </c>
      <c r="H139" s="994">
        <v>2</v>
      </c>
      <c r="I139" s="994" t="s">
        <v>1187</v>
      </c>
      <c r="J139" s="996">
        <f t="shared" si="4"/>
        <v>6.4987499999999994</v>
      </c>
      <c r="K139" s="993"/>
      <c r="L139" s="993"/>
      <c r="M139" s="993"/>
    </row>
    <row r="140" spans="1:13">
      <c r="A140" s="993"/>
      <c r="B140" s="994">
        <f>2.447+2.181</f>
        <v>4.6280000000000001</v>
      </c>
      <c r="C140" s="994" t="s">
        <v>1185</v>
      </c>
      <c r="D140" s="994">
        <v>1.25</v>
      </c>
      <c r="E140" s="999" t="s">
        <v>1188</v>
      </c>
      <c r="F140" s="994">
        <v>2</v>
      </c>
      <c r="G140" s="994" t="s">
        <v>1185</v>
      </c>
      <c r="H140" s="994">
        <v>2</v>
      </c>
      <c r="I140" s="994" t="s">
        <v>1187</v>
      </c>
      <c r="J140" s="996">
        <f t="shared" si="4"/>
        <v>5.7850000000000001</v>
      </c>
      <c r="K140" s="993"/>
      <c r="L140" s="993"/>
      <c r="M140" s="993"/>
    </row>
    <row r="141" spans="1:13">
      <c r="A141" s="993"/>
      <c r="B141" s="994">
        <v>4.181</v>
      </c>
      <c r="C141" s="994" t="s">
        <v>1185</v>
      </c>
      <c r="D141" s="994">
        <v>1.25</v>
      </c>
      <c r="E141" s="999" t="s">
        <v>1188</v>
      </c>
      <c r="F141" s="994">
        <v>2</v>
      </c>
      <c r="G141" s="994" t="s">
        <v>1185</v>
      </c>
      <c r="H141" s="994">
        <v>2</v>
      </c>
      <c r="I141" s="994" t="s">
        <v>1187</v>
      </c>
      <c r="J141" s="996">
        <f>(B141*D141)/F141*H141</f>
        <v>5.2262500000000003</v>
      </c>
      <c r="K141" s="993"/>
      <c r="L141" s="993"/>
      <c r="M141" s="993"/>
    </row>
    <row r="142" spans="1:13">
      <c r="A142" s="993"/>
      <c r="B142" s="996">
        <v>4.2</v>
      </c>
      <c r="C142" s="994" t="s">
        <v>1185</v>
      </c>
      <c r="D142" s="994">
        <v>0.61299999999999999</v>
      </c>
      <c r="E142" s="999" t="s">
        <v>1188</v>
      </c>
      <c r="F142" s="994">
        <v>2</v>
      </c>
      <c r="G142" s="994" t="s">
        <v>1185</v>
      </c>
      <c r="H142" s="994">
        <v>2</v>
      </c>
      <c r="I142" s="994" t="s">
        <v>1187</v>
      </c>
      <c r="J142" s="996">
        <f t="shared" si="4"/>
        <v>2.5746000000000002</v>
      </c>
      <c r="K142" s="993"/>
      <c r="L142" s="993"/>
      <c r="M142" s="993"/>
    </row>
    <row r="143" spans="1:13">
      <c r="A143" s="993"/>
      <c r="B143" s="993"/>
      <c r="C143" s="993"/>
      <c r="D143" s="993"/>
      <c r="E143" s="993"/>
      <c r="F143" s="993"/>
      <c r="G143" s="993"/>
      <c r="H143" s="993"/>
      <c r="I143" s="993"/>
      <c r="J143" s="997">
        <f>SUM(J130:J142)</f>
        <v>105.69835</v>
      </c>
      <c r="K143" s="991" t="s">
        <v>12</v>
      </c>
      <c r="L143" s="992" t="str">
        <f>A130</f>
        <v>módulo 8</v>
      </c>
      <c r="M143" s="993"/>
    </row>
    <row r="144" spans="1:13">
      <c r="A144" s="702"/>
      <c r="B144" s="711"/>
      <c r="C144" s="707"/>
      <c r="D144" s="790"/>
      <c r="E144" s="701"/>
      <c r="F144" s="790"/>
      <c r="G144" s="701"/>
      <c r="H144" s="703"/>
    </row>
    <row r="145" spans="1:14">
      <c r="A145" s="989" t="s">
        <v>1193</v>
      </c>
      <c r="B145" s="990">
        <v>89.02</v>
      </c>
      <c r="C145" s="991" t="s">
        <v>12</v>
      </c>
      <c r="D145" s="992" t="s">
        <v>1191</v>
      </c>
      <c r="E145" s="993"/>
      <c r="G145" s="701"/>
      <c r="H145" s="703">
        <f>B145-B146</f>
        <v>62.019999999999996</v>
      </c>
    </row>
    <row r="146" spans="1:14">
      <c r="A146" s="702"/>
      <c r="B146" s="711">
        <f>3*3*3</f>
        <v>27</v>
      </c>
      <c r="C146" s="707"/>
      <c r="D146" s="790"/>
      <c r="E146" s="701"/>
      <c r="F146" s="790"/>
      <c r="G146" s="701"/>
      <c r="H146" s="703"/>
    </row>
    <row r="147" spans="1:14">
      <c r="A147" s="702"/>
      <c r="B147" s="711"/>
      <c r="C147" s="707"/>
      <c r="D147" s="790"/>
      <c r="E147" s="701"/>
      <c r="F147" s="790"/>
      <c r="G147" s="701"/>
      <c r="H147" s="703"/>
    </row>
    <row r="148" spans="1:14">
      <c r="A148" s="702"/>
      <c r="B148" s="711"/>
      <c r="C148" s="707"/>
      <c r="D148" s="790"/>
      <c r="E148" s="701"/>
      <c r="F148" s="790"/>
      <c r="G148" s="701"/>
      <c r="H148" s="703"/>
    </row>
    <row r="151" spans="1:14">
      <c r="A151" s="707" t="s">
        <v>1302</v>
      </c>
    </row>
    <row r="152" spans="1:14">
      <c r="A152" s="702" t="s">
        <v>1301</v>
      </c>
      <c r="B152" s="701"/>
      <c r="C152" s="701"/>
      <c r="D152" s="701">
        <v>8</v>
      </c>
      <c r="E152" s="701" t="s">
        <v>1303</v>
      </c>
      <c r="F152" s="701">
        <v>8</v>
      </c>
      <c r="G152" s="701" t="s">
        <v>1187</v>
      </c>
      <c r="H152" s="705">
        <f>D152+F152</f>
        <v>16</v>
      </c>
      <c r="I152" s="705" t="s">
        <v>1185</v>
      </c>
      <c r="J152" s="701">
        <v>11</v>
      </c>
      <c r="K152" s="701" t="s">
        <v>1187</v>
      </c>
      <c r="L152" s="711">
        <f>H152*J152</f>
        <v>176</v>
      </c>
      <c r="M152" s="711" t="s">
        <v>1304</v>
      </c>
      <c r="N152" s="701" t="s">
        <v>1198</v>
      </c>
    </row>
    <row r="153" spans="1:14">
      <c r="A153" s="702"/>
      <c r="B153" s="787"/>
      <c r="D153" s="701">
        <v>0.13</v>
      </c>
      <c r="E153" s="701" t="s">
        <v>1185</v>
      </c>
      <c r="F153" s="701">
        <v>0.13</v>
      </c>
      <c r="G153" s="701" t="s">
        <v>1187</v>
      </c>
      <c r="H153" s="701">
        <f>D153*F153</f>
        <v>1.6900000000000002E-2</v>
      </c>
      <c r="I153" s="701" t="s">
        <v>1185</v>
      </c>
      <c r="J153" s="701">
        <f>L152</f>
        <v>176</v>
      </c>
      <c r="K153" s="701" t="s">
        <v>1187</v>
      </c>
      <c r="L153" s="706">
        <f>H153*J153</f>
        <v>2.9744000000000002</v>
      </c>
      <c r="M153" s="711" t="s">
        <v>99</v>
      </c>
    </row>
    <row r="155" spans="1:14">
      <c r="D155" s="701">
        <v>8</v>
      </c>
      <c r="E155" s="701" t="s">
        <v>1303</v>
      </c>
      <c r="F155" s="701">
        <v>8</v>
      </c>
      <c r="G155" s="701" t="s">
        <v>1187</v>
      </c>
      <c r="H155" s="705">
        <f>D155+F155</f>
        <v>16</v>
      </c>
      <c r="I155" s="701" t="s">
        <v>1185</v>
      </c>
      <c r="J155" s="701">
        <v>1</v>
      </c>
      <c r="K155" s="701" t="s">
        <v>1187</v>
      </c>
      <c r="L155" s="711">
        <f>H155*J155</f>
        <v>16</v>
      </c>
      <c r="M155" s="711" t="s">
        <v>1304</v>
      </c>
      <c r="N155" t="s">
        <v>1197</v>
      </c>
    </row>
    <row r="156" spans="1:14">
      <c r="H156" s="701">
        <f>H153</f>
        <v>1.6900000000000002E-2</v>
      </c>
      <c r="I156" s="701" t="s">
        <v>1185</v>
      </c>
      <c r="J156" s="701">
        <f>L155</f>
        <v>16</v>
      </c>
      <c r="K156" s="701" t="s">
        <v>1187</v>
      </c>
      <c r="L156" s="706">
        <f>H156*J156</f>
        <v>0.27040000000000003</v>
      </c>
      <c r="M156" s="711" t="s">
        <v>99</v>
      </c>
    </row>
    <row r="158" spans="1:14">
      <c r="D158" s="701">
        <v>11</v>
      </c>
      <c r="E158" s="701" t="s">
        <v>1303</v>
      </c>
      <c r="F158" s="701">
        <v>11</v>
      </c>
      <c r="G158" s="701" t="s">
        <v>1187</v>
      </c>
      <c r="H158" s="701">
        <f>D158+F158</f>
        <v>22</v>
      </c>
      <c r="I158" s="701" t="s">
        <v>1185</v>
      </c>
      <c r="J158" s="701">
        <v>1</v>
      </c>
      <c r="K158" s="701" t="s">
        <v>1187</v>
      </c>
      <c r="L158" s="711">
        <f>H158*J158</f>
        <v>22</v>
      </c>
      <c r="M158" s="711" t="s">
        <v>1304</v>
      </c>
      <c r="N158" t="s">
        <v>1467</v>
      </c>
    </row>
    <row r="159" spans="1:14">
      <c r="D159" s="701"/>
      <c r="E159" s="701"/>
      <c r="F159" s="701"/>
      <c r="G159" s="701"/>
      <c r="H159" s="701">
        <f>H153</f>
        <v>1.6900000000000002E-2</v>
      </c>
      <c r="I159" s="701" t="s">
        <v>1185</v>
      </c>
      <c r="J159" s="701">
        <f>L158</f>
        <v>22</v>
      </c>
      <c r="K159" s="701" t="s">
        <v>1187</v>
      </c>
      <c r="L159" s="711">
        <f>H159*J159</f>
        <v>0.37180000000000002</v>
      </c>
      <c r="M159" s="711" t="s">
        <v>99</v>
      </c>
    </row>
    <row r="160" spans="1:14">
      <c r="D160" s="701"/>
      <c r="E160" s="701"/>
      <c r="F160" s="701"/>
      <c r="G160" s="701"/>
      <c r="H160" s="701"/>
      <c r="I160" s="701"/>
      <c r="J160" s="701"/>
      <c r="K160" s="701"/>
      <c r="L160" s="701"/>
    </row>
    <row r="161" spans="1:14">
      <c r="D161" s="701">
        <v>14</v>
      </c>
      <c r="E161" s="701" t="s">
        <v>1303</v>
      </c>
      <c r="F161" s="701">
        <v>14</v>
      </c>
      <c r="G161" s="701" t="s">
        <v>1187</v>
      </c>
      <c r="H161" s="701">
        <f>D161+F161</f>
        <v>28</v>
      </c>
      <c r="I161" s="701" t="s">
        <v>1185</v>
      </c>
      <c r="J161" s="701">
        <v>1</v>
      </c>
      <c r="K161" s="701" t="s">
        <v>1187</v>
      </c>
      <c r="L161" s="701">
        <f>H161*J161</f>
        <v>28</v>
      </c>
      <c r="M161" s="711" t="s">
        <v>1304</v>
      </c>
      <c r="N161" t="s">
        <v>1314</v>
      </c>
    </row>
    <row r="162" spans="1:14">
      <c r="D162" s="701"/>
      <c r="E162" s="701"/>
      <c r="F162" s="701"/>
      <c r="G162" s="701"/>
      <c r="H162" s="701">
        <f>H153</f>
        <v>1.6900000000000002E-2</v>
      </c>
      <c r="I162" s="701" t="s">
        <v>1185</v>
      </c>
      <c r="J162" s="701">
        <f>L161</f>
        <v>28</v>
      </c>
      <c r="K162" s="701" t="s">
        <v>1187</v>
      </c>
      <c r="L162" s="711">
        <f>H162*J162</f>
        <v>0.47320000000000007</v>
      </c>
      <c r="M162" s="711" t="s">
        <v>99</v>
      </c>
    </row>
    <row r="166" spans="1:14">
      <c r="A166" s="707" t="s">
        <v>1318</v>
      </c>
    </row>
    <row r="167" spans="1:14">
      <c r="A167" s="702" t="s">
        <v>1323</v>
      </c>
      <c r="B167" s="1226">
        <f>2+2</f>
        <v>4</v>
      </c>
      <c r="C167" s="705" t="s">
        <v>1185</v>
      </c>
      <c r="D167" s="703">
        <v>2.5</v>
      </c>
      <c r="E167" s="701" t="s">
        <v>1185</v>
      </c>
      <c r="F167" s="703">
        <v>2.1</v>
      </c>
      <c r="G167" s="701" t="s">
        <v>1187</v>
      </c>
      <c r="H167" s="706">
        <f>B167*D167*F167</f>
        <v>21</v>
      </c>
      <c r="I167" s="711" t="s">
        <v>12</v>
      </c>
      <c r="J167" s="701"/>
      <c r="K167" s="701"/>
      <c r="L167" s="701"/>
    </row>
    <row r="168" spans="1:14">
      <c r="A168" s="702" t="s">
        <v>1319</v>
      </c>
      <c r="B168" s="801">
        <v>1</v>
      </c>
      <c r="C168" s="705" t="s">
        <v>1185</v>
      </c>
      <c r="D168" s="703">
        <v>2.5</v>
      </c>
      <c r="E168" s="701" t="s">
        <v>1185</v>
      </c>
      <c r="F168" s="703">
        <v>2.1</v>
      </c>
      <c r="G168" s="701" t="s">
        <v>1187</v>
      </c>
      <c r="H168" s="706">
        <f>B168*D168*F168</f>
        <v>5.25</v>
      </c>
      <c r="I168" s="711" t="s">
        <v>12</v>
      </c>
    </row>
    <row r="170" spans="1:14">
      <c r="A170" s="797" t="s">
        <v>1300</v>
      </c>
    </row>
    <row r="171" spans="1:14">
      <c r="A171" s="702" t="s">
        <v>1321</v>
      </c>
      <c r="B171" s="798">
        <v>2.1</v>
      </c>
      <c r="D171" s="703">
        <f>2.5</f>
        <v>2.5</v>
      </c>
      <c r="E171" s="701" t="s">
        <v>1185</v>
      </c>
      <c r="F171" s="701">
        <f>2+8</f>
        <v>10</v>
      </c>
      <c r="G171" s="701" t="s">
        <v>1187</v>
      </c>
      <c r="H171" s="706">
        <f>D171*F171</f>
        <v>25</v>
      </c>
      <c r="I171" s="711" t="s">
        <v>4</v>
      </c>
    </row>
    <row r="172" spans="1:14">
      <c r="A172" s="702"/>
      <c r="B172" s="798"/>
      <c r="D172" s="703"/>
      <c r="E172" s="701"/>
      <c r="F172" s="701"/>
      <c r="G172" s="701"/>
      <c r="H172" s="706">
        <f>H171*B171</f>
        <v>52.5</v>
      </c>
      <c r="I172" s="711" t="s">
        <v>12</v>
      </c>
    </row>
    <row r="173" spans="1:14">
      <c r="A173" s="702"/>
      <c r="B173" s="798"/>
      <c r="D173" s="703"/>
      <c r="E173" s="701"/>
      <c r="F173" s="701"/>
      <c r="G173" s="701"/>
      <c r="H173" s="706"/>
      <c r="I173" s="711"/>
    </row>
    <row r="174" spans="1:14">
      <c r="A174" s="702" t="s">
        <v>1457</v>
      </c>
      <c r="B174" s="706">
        <f>H167+H168+H172</f>
        <v>78.75</v>
      </c>
      <c r="C174" s="707" t="s">
        <v>99</v>
      </c>
      <c r="D174" s="703"/>
      <c r="E174" s="701"/>
      <c r="F174" s="701"/>
      <c r="G174" s="701"/>
      <c r="H174" s="706"/>
      <c r="I174" s="711"/>
    </row>
    <row r="175" spans="1:14">
      <c r="A175" s="702"/>
      <c r="B175" s="798"/>
      <c r="D175" s="703"/>
      <c r="E175" s="701"/>
      <c r="F175" s="701"/>
      <c r="G175" s="701"/>
      <c r="H175" s="706"/>
      <c r="I175" s="711"/>
    </row>
    <row r="176" spans="1:14" ht="15.75" thickBot="1">
      <c r="H176" s="706"/>
      <c r="I176" s="711"/>
    </row>
    <row r="177" spans="1:27" ht="16.5" thickTop="1" thickBot="1">
      <c r="A177" s="702" t="s">
        <v>1452</v>
      </c>
      <c r="B177" s="816" t="s">
        <v>1439</v>
      </c>
      <c r="D177" s="710" t="s">
        <v>1440</v>
      </c>
      <c r="Q177" s="825"/>
      <c r="R177" s="825"/>
      <c r="S177" s="1465">
        <v>0.35</v>
      </c>
      <c r="T177" s="825"/>
      <c r="U177" s="829">
        <v>0.1</v>
      </c>
      <c r="V177" s="825"/>
      <c r="W177" s="825"/>
      <c r="X177" s="1465"/>
      <c r="Y177" s="825"/>
      <c r="Z177" s="825"/>
    </row>
    <row r="178" spans="1:27">
      <c r="A178" s="817" t="s">
        <v>1449</v>
      </c>
      <c r="B178" s="818">
        <v>0.15</v>
      </c>
      <c r="C178" s="711" t="s">
        <v>1185</v>
      </c>
      <c r="D178" s="819">
        <v>0.2</v>
      </c>
      <c r="P178" s="826"/>
      <c r="Q178" s="825"/>
      <c r="R178" s="825"/>
      <c r="S178" s="1466"/>
      <c r="T178" s="825"/>
      <c r="U178" s="829">
        <v>0.1</v>
      </c>
      <c r="V178" s="825"/>
      <c r="W178" s="825"/>
      <c r="X178" s="1466"/>
      <c r="Y178" s="825"/>
      <c r="Z178" s="825"/>
      <c r="AA178" s="826"/>
    </row>
    <row r="179" spans="1:27">
      <c r="P179" s="827"/>
      <c r="Q179" s="827"/>
      <c r="R179" s="827"/>
      <c r="S179" s="1466"/>
      <c r="T179" s="827"/>
      <c r="U179" s="1468">
        <v>0.2</v>
      </c>
      <c r="V179" s="827"/>
      <c r="W179" s="827"/>
      <c r="X179" s="1466"/>
      <c r="Y179" s="827"/>
      <c r="Z179" s="827"/>
      <c r="AA179" s="827"/>
    </row>
    <row r="180" spans="1:27" ht="15.75" thickBot="1">
      <c r="A180" s="702" t="s">
        <v>1441</v>
      </c>
      <c r="B180" s="818">
        <f>F180</f>
        <v>25</v>
      </c>
      <c r="C180" s="711" t="s">
        <v>4</v>
      </c>
      <c r="F180" s="821">
        <f>H171</f>
        <v>25</v>
      </c>
      <c r="G180" t="s">
        <v>4</v>
      </c>
      <c r="H180" s="820"/>
      <c r="I180" s="820"/>
      <c r="J180" s="821"/>
      <c r="K180" s="820"/>
      <c r="L180" s="821"/>
      <c r="M180" s="820"/>
      <c r="N180" s="821"/>
      <c r="P180" s="827"/>
      <c r="Q180" s="827"/>
      <c r="R180" s="827"/>
      <c r="S180" s="1467"/>
      <c r="T180" s="827"/>
      <c r="U180" s="1468"/>
      <c r="V180" s="827"/>
      <c r="W180" s="827"/>
      <c r="X180" s="1467"/>
      <c r="Y180" s="827"/>
      <c r="Z180" s="827"/>
      <c r="AA180" s="827"/>
    </row>
    <row r="181" spans="1:27" ht="15.75" thickTop="1">
      <c r="P181" s="827"/>
      <c r="Q181" s="827"/>
      <c r="R181" s="828" t="s">
        <v>1442</v>
      </c>
      <c r="S181" s="822"/>
      <c r="T181" s="827"/>
      <c r="U181" s="828">
        <v>0.05</v>
      </c>
      <c r="V181" s="827"/>
      <c r="W181" s="827"/>
      <c r="X181" s="822"/>
      <c r="Y181" s="827"/>
      <c r="Z181" s="827"/>
      <c r="AA181" s="827"/>
    </row>
    <row r="182" spans="1:27">
      <c r="A182" s="702" t="s">
        <v>1443</v>
      </c>
      <c r="B182" s="818">
        <f>J182</f>
        <v>3.75</v>
      </c>
      <c r="C182" s="711" t="s">
        <v>12</v>
      </c>
      <c r="F182" s="703">
        <f>B178</f>
        <v>0.15</v>
      </c>
      <c r="G182" s="701" t="s">
        <v>1185</v>
      </c>
      <c r="H182" s="703">
        <f>B180</f>
        <v>25</v>
      </c>
      <c r="I182" s="701" t="s">
        <v>1187</v>
      </c>
      <c r="J182" s="703">
        <f>F182*H182</f>
        <v>3.75</v>
      </c>
      <c r="K182" s="701" t="s">
        <v>12</v>
      </c>
      <c r="P182" s="827"/>
      <c r="Q182" s="827"/>
      <c r="R182" s="827"/>
      <c r="S182" s="827"/>
      <c r="T182" s="827"/>
      <c r="U182" s="827"/>
      <c r="V182" s="827"/>
      <c r="W182" s="827"/>
      <c r="X182" s="827"/>
      <c r="Y182" s="827"/>
      <c r="Z182" s="827"/>
      <c r="AA182" s="827"/>
    </row>
    <row r="184" spans="1:27">
      <c r="A184" s="702" t="s">
        <v>1444</v>
      </c>
      <c r="B184">
        <f>U181</f>
        <v>0.05</v>
      </c>
      <c r="C184" t="s">
        <v>4</v>
      </c>
    </row>
    <row r="185" spans="1:27">
      <c r="A185" s="702" t="s">
        <v>1450</v>
      </c>
      <c r="B185" s="823">
        <f>L185</f>
        <v>0.1875</v>
      </c>
      <c r="C185" s="711" t="s">
        <v>3</v>
      </c>
      <c r="F185" s="703">
        <f>B178</f>
        <v>0.15</v>
      </c>
      <c r="G185" s="701" t="s">
        <v>1185</v>
      </c>
      <c r="H185" s="703">
        <f>B180</f>
        <v>25</v>
      </c>
      <c r="I185" s="701" t="s">
        <v>1185</v>
      </c>
      <c r="J185" s="701">
        <f>B184</f>
        <v>0.05</v>
      </c>
      <c r="K185" s="701" t="s">
        <v>1187</v>
      </c>
      <c r="L185" s="703">
        <f t="shared" ref="L185" si="5">F185*H185*J185</f>
        <v>0.1875</v>
      </c>
      <c r="M185" s="701" t="s">
        <v>3</v>
      </c>
    </row>
    <row r="187" spans="1:27">
      <c r="A187" s="824" t="s">
        <v>1445</v>
      </c>
      <c r="B187" s="818">
        <f>L187</f>
        <v>0.375</v>
      </c>
      <c r="C187" s="711" t="s">
        <v>3</v>
      </c>
      <c r="F187" s="703">
        <f>U178</f>
        <v>0.1</v>
      </c>
      <c r="G187" s="701" t="s">
        <v>1185</v>
      </c>
      <c r="H187" s="703">
        <f>B178</f>
        <v>0.15</v>
      </c>
      <c r="I187" s="701" t="s">
        <v>1185</v>
      </c>
      <c r="J187" s="703">
        <f>B180</f>
        <v>25</v>
      </c>
      <c r="K187" s="701" t="s">
        <v>1187</v>
      </c>
      <c r="L187" s="703">
        <f t="shared" ref="L187" si="6">F187*H187*J187</f>
        <v>0.375</v>
      </c>
      <c r="M187" s="701" t="s">
        <v>3</v>
      </c>
      <c r="N187" t="s">
        <v>1446</v>
      </c>
    </row>
    <row r="188" spans="1:27">
      <c r="A188" s="824"/>
    </row>
    <row r="189" spans="1:27">
      <c r="A189" s="824" t="s">
        <v>1334</v>
      </c>
      <c r="B189" s="707">
        <f>B187*1.3</f>
        <v>0.48750000000000004</v>
      </c>
      <c r="C189" s="711" t="s">
        <v>3</v>
      </c>
      <c r="F189" s="798" t="s">
        <v>1460</v>
      </c>
      <c r="G189" s="701"/>
    </row>
    <row r="190" spans="1:27">
      <c r="A190" s="824"/>
    </row>
    <row r="191" spans="1:27">
      <c r="A191" s="824" t="s">
        <v>2307</v>
      </c>
      <c r="B191" s="818">
        <f>L191</f>
        <v>0.75</v>
      </c>
      <c r="C191" s="711" t="s">
        <v>3</v>
      </c>
      <c r="F191" s="703">
        <f>B178</f>
        <v>0.15</v>
      </c>
      <c r="G191" s="701" t="s">
        <v>1185</v>
      </c>
      <c r="H191" s="703">
        <f>D178</f>
        <v>0.2</v>
      </c>
      <c r="I191" s="701" t="s">
        <v>1185</v>
      </c>
      <c r="J191" s="703">
        <f>B180</f>
        <v>25</v>
      </c>
      <c r="K191" s="701" t="s">
        <v>1187</v>
      </c>
      <c r="L191" s="701">
        <f t="shared" ref="L191" si="7">F191*H191*J191</f>
        <v>0.75</v>
      </c>
      <c r="M191" s="701" t="s">
        <v>3</v>
      </c>
    </row>
    <row r="192" spans="1:27">
      <c r="A192" s="824"/>
    </row>
    <row r="193" spans="1:15">
      <c r="A193" s="824" t="s">
        <v>1447</v>
      </c>
      <c r="B193" s="818">
        <f>J193</f>
        <v>60</v>
      </c>
      <c r="C193" s="711" t="s">
        <v>101</v>
      </c>
      <c r="F193" s="701">
        <f>L191</f>
        <v>0.75</v>
      </c>
      <c r="G193" s="701" t="s">
        <v>1185</v>
      </c>
      <c r="H193" s="701">
        <v>80</v>
      </c>
      <c r="I193" s="701" t="s">
        <v>1187</v>
      </c>
      <c r="J193" s="703">
        <f>F193*H193</f>
        <v>60</v>
      </c>
      <c r="K193" s="701" t="s">
        <v>101</v>
      </c>
    </row>
    <row r="194" spans="1:15">
      <c r="A194" s="824" t="s">
        <v>1448</v>
      </c>
      <c r="E194" s="701"/>
      <c r="F194" s="701"/>
      <c r="G194" s="703"/>
      <c r="H194" s="701"/>
      <c r="I194" s="703"/>
      <c r="J194" s="701"/>
      <c r="K194" s="820"/>
      <c r="L194" s="701"/>
      <c r="M194" s="711"/>
      <c r="N194" s="711"/>
    </row>
    <row r="195" spans="1:15">
      <c r="H195" s="706"/>
      <c r="I195" s="711"/>
    </row>
    <row r="196" spans="1:15">
      <c r="H196" s="706"/>
      <c r="I196" s="711"/>
    </row>
    <row r="197" spans="1:15">
      <c r="A197" s="833" t="s">
        <v>1456</v>
      </c>
      <c r="B197" s="701">
        <v>0.35</v>
      </c>
      <c r="C197" s="701" t="s">
        <v>1185</v>
      </c>
      <c r="D197" s="701">
        <v>0.35</v>
      </c>
      <c r="E197" s="701" t="s">
        <v>1185</v>
      </c>
      <c r="F197" s="703">
        <v>0.4</v>
      </c>
      <c r="H197" s="706"/>
      <c r="I197" s="711"/>
      <c r="J197" s="1228"/>
      <c r="K197" s="1228"/>
      <c r="L197" s="1228"/>
      <c r="M197" s="1228" t="s">
        <v>2303</v>
      </c>
      <c r="N197" s="1228"/>
      <c r="O197" s="1228"/>
    </row>
    <row r="198" spans="1:15">
      <c r="A198" s="702" t="s">
        <v>1453</v>
      </c>
      <c r="B198" s="701">
        <f>F171+2+4</f>
        <v>16</v>
      </c>
      <c r="C198" s="701"/>
      <c r="D198" s="710" t="s">
        <v>2302</v>
      </c>
      <c r="E198" s="701"/>
      <c r="H198" s="706"/>
      <c r="I198" s="711"/>
      <c r="J198" s="1228"/>
      <c r="K198" s="1228"/>
      <c r="L198" s="1229" t="s">
        <v>1445</v>
      </c>
      <c r="M198" s="1228"/>
      <c r="N198" s="1230">
        <f>B187+B203</f>
        <v>1.04725</v>
      </c>
      <c r="O198" s="1228" t="s">
        <v>107</v>
      </c>
    </row>
    <row r="199" spans="1:15">
      <c r="E199" s="701"/>
      <c r="H199" s="706"/>
      <c r="I199" s="711"/>
      <c r="J199" s="1228"/>
      <c r="K199" s="1228"/>
      <c r="L199" s="1229" t="s">
        <v>1334</v>
      </c>
      <c r="M199" s="1228"/>
      <c r="N199" s="1230">
        <f>B189+B206</f>
        <v>1.3614250000000001</v>
      </c>
      <c r="O199" s="1228" t="s">
        <v>107</v>
      </c>
    </row>
    <row r="200" spans="1:15">
      <c r="A200" s="702" t="s">
        <v>1454</v>
      </c>
      <c r="B200" s="701">
        <v>0.45</v>
      </c>
      <c r="C200" s="701" t="s">
        <v>1185</v>
      </c>
      <c r="D200" s="701">
        <v>0.45</v>
      </c>
      <c r="E200" s="701" t="s">
        <v>1185</v>
      </c>
      <c r="F200" s="703">
        <v>0.6</v>
      </c>
      <c r="H200" s="706"/>
      <c r="I200" s="711"/>
      <c r="J200" s="1228"/>
      <c r="K200" s="1228"/>
      <c r="L200" s="1229" t="s">
        <v>2304</v>
      </c>
      <c r="M200" s="1228"/>
      <c r="N200" s="1230">
        <f>B185+B209</f>
        <v>0.30574999999999997</v>
      </c>
      <c r="O200" s="1228" t="s">
        <v>107</v>
      </c>
    </row>
    <row r="201" spans="1:15">
      <c r="A201" s="702" t="s">
        <v>1453</v>
      </c>
      <c r="B201" s="701">
        <v>2</v>
      </c>
      <c r="C201" s="701"/>
      <c r="D201" s="710" t="s">
        <v>1455</v>
      </c>
      <c r="H201" s="706"/>
      <c r="I201" s="711"/>
      <c r="J201" s="1228"/>
      <c r="K201" s="1228"/>
      <c r="L201" s="1229" t="s">
        <v>1447</v>
      </c>
      <c r="M201" s="1228"/>
      <c r="N201" s="1230">
        <f>B193+B214</f>
        <v>142.16</v>
      </c>
      <c r="O201" s="1228" t="s">
        <v>101</v>
      </c>
    </row>
    <row r="202" spans="1:15">
      <c r="H202" s="706"/>
      <c r="I202" s="711"/>
      <c r="J202" s="1228"/>
      <c r="K202" s="1228"/>
      <c r="L202" s="1229" t="s">
        <v>1451</v>
      </c>
      <c r="M202" s="1228"/>
      <c r="N202" s="1230">
        <f>B191+B211</f>
        <v>1.7769999999999999</v>
      </c>
      <c r="O202" s="1228" t="s">
        <v>107</v>
      </c>
    </row>
    <row r="203" spans="1:15">
      <c r="A203" s="824" t="s">
        <v>1445</v>
      </c>
      <c r="B203" s="831">
        <f>F203+F204</f>
        <v>0.67225000000000001</v>
      </c>
      <c r="C203" s="707" t="s">
        <v>3</v>
      </c>
      <c r="F203" s="832">
        <f>(U179+U181)*B197*D197*B198</f>
        <v>0.48999999999999994</v>
      </c>
      <c r="H203" s="706"/>
      <c r="I203" s="711"/>
    </row>
    <row r="204" spans="1:15">
      <c r="F204" s="832">
        <f>(F200-U177-U178+B208)*B200*D200*B201</f>
        <v>0.18225000000000002</v>
      </c>
      <c r="H204" s="706"/>
      <c r="I204" s="711"/>
    </row>
    <row r="205" spans="1:15">
      <c r="F205" s="832"/>
      <c r="H205" s="706"/>
      <c r="I205" s="711"/>
    </row>
    <row r="206" spans="1:15">
      <c r="A206" s="702" t="s">
        <v>1334</v>
      </c>
      <c r="B206" s="818">
        <f>B203*1.3</f>
        <v>0.87392500000000006</v>
      </c>
      <c r="C206" s="707" t="s">
        <v>3</v>
      </c>
      <c r="F206" s="1227" t="s">
        <v>1460</v>
      </c>
      <c r="H206" s="706"/>
      <c r="I206" s="711"/>
    </row>
    <row r="207" spans="1:15">
      <c r="F207" s="832"/>
      <c r="H207" s="706"/>
      <c r="I207" s="711"/>
    </row>
    <row r="208" spans="1:15">
      <c r="A208" s="702" t="s">
        <v>1444</v>
      </c>
      <c r="B208" s="702">
        <f>U181</f>
        <v>0.05</v>
      </c>
      <c r="C208" t="s">
        <v>4</v>
      </c>
      <c r="F208" s="702">
        <f>B197*D197*B208*B198</f>
        <v>9.799999999999999E-2</v>
      </c>
      <c r="H208" s="706"/>
      <c r="I208" s="711"/>
    </row>
    <row r="209" spans="1:13">
      <c r="A209" s="702" t="s">
        <v>1450</v>
      </c>
      <c r="B209" s="823">
        <f>F208+F209</f>
        <v>0.11824999999999999</v>
      </c>
      <c r="C209" s="711" t="s">
        <v>3</v>
      </c>
      <c r="F209" s="702">
        <f>B200*D200*B208*B201</f>
        <v>2.0250000000000004E-2</v>
      </c>
      <c r="H209" s="706"/>
      <c r="I209" s="711"/>
    </row>
    <row r="210" spans="1:13">
      <c r="H210" s="706"/>
      <c r="I210" s="711"/>
    </row>
    <row r="211" spans="1:13">
      <c r="A211" s="824" t="s">
        <v>2307</v>
      </c>
      <c r="B211" s="831">
        <f>F211+F212</f>
        <v>1.0269999999999999</v>
      </c>
      <c r="C211" s="711" t="s">
        <v>3</v>
      </c>
      <c r="F211">
        <f>B197*D197*F197*B198</f>
        <v>0.78399999999999992</v>
      </c>
      <c r="I211" s="711"/>
    </row>
    <row r="212" spans="1:13">
      <c r="A212" s="824"/>
      <c r="B212" s="818"/>
      <c r="C212" s="711"/>
      <c r="F212">
        <f>B200*D200*F200*B201</f>
        <v>0.24299999999999999</v>
      </c>
      <c r="I212" s="711"/>
    </row>
    <row r="213" spans="1:13">
      <c r="I213" s="711"/>
    </row>
    <row r="214" spans="1:13">
      <c r="A214" s="824" t="s">
        <v>1447</v>
      </c>
      <c r="B214" s="818">
        <f>F214*H214</f>
        <v>82.16</v>
      </c>
      <c r="C214" s="711" t="s">
        <v>101</v>
      </c>
      <c r="F214" s="830">
        <f>B211</f>
        <v>1.0269999999999999</v>
      </c>
      <c r="G214" s="701" t="s">
        <v>1185</v>
      </c>
      <c r="H214" s="790">
        <v>80</v>
      </c>
      <c r="I214" s="711"/>
    </row>
    <row r="215" spans="1:13">
      <c r="A215" s="824" t="s">
        <v>1448</v>
      </c>
      <c r="I215" s="711"/>
    </row>
    <row r="216" spans="1:13">
      <c r="H216" s="706"/>
      <c r="I216" s="711"/>
    </row>
    <row r="218" spans="1:13">
      <c r="A218" s="707" t="s">
        <v>1324</v>
      </c>
    </row>
    <row r="219" spans="1:13">
      <c r="A219" s="702" t="s">
        <v>1388</v>
      </c>
      <c r="B219" s="807">
        <v>1</v>
      </c>
      <c r="C219" s="705" t="s">
        <v>1185</v>
      </c>
      <c r="D219" s="703">
        <v>2</v>
      </c>
      <c r="E219" s="701" t="s">
        <v>1185</v>
      </c>
      <c r="F219" s="703">
        <v>2.14</v>
      </c>
      <c r="G219" s="701" t="s">
        <v>1187</v>
      </c>
      <c r="H219" s="706">
        <f>B219*D219*F219</f>
        <v>4.28</v>
      </c>
      <c r="I219" s="711" t="s">
        <v>12</v>
      </c>
    </row>
    <row r="220" spans="1:13">
      <c r="A220" s="702" t="s">
        <v>1389</v>
      </c>
      <c r="B220" s="807">
        <v>1</v>
      </c>
      <c r="C220" s="705" t="s">
        <v>1185</v>
      </c>
      <c r="D220" s="703">
        <v>2</v>
      </c>
      <c r="E220" s="701" t="s">
        <v>1185</v>
      </c>
      <c r="F220" s="703">
        <v>2.2200000000000002</v>
      </c>
      <c r="G220" s="701" t="s">
        <v>1187</v>
      </c>
      <c r="H220" s="706">
        <f>B220*D220*F220</f>
        <v>4.4400000000000004</v>
      </c>
      <c r="I220" s="711" t="s">
        <v>12</v>
      </c>
    </row>
    <row r="221" spans="1:13">
      <c r="A221" s="702" t="s">
        <v>1330</v>
      </c>
      <c r="B221" s="790"/>
      <c r="C221" s="705"/>
      <c r="D221" s="703">
        <v>2.04</v>
      </c>
      <c r="E221" s="701" t="s">
        <v>1185</v>
      </c>
      <c r="F221" s="703">
        <v>1.9</v>
      </c>
      <c r="G221" s="701" t="s">
        <v>1187</v>
      </c>
      <c r="H221" s="790">
        <f>D221*F221</f>
        <v>3.8759999999999999</v>
      </c>
      <c r="I221" s="705" t="s">
        <v>12</v>
      </c>
    </row>
    <row r="222" spans="1:13">
      <c r="A222" s="702" t="s">
        <v>1329</v>
      </c>
      <c r="B222" s="790"/>
      <c r="C222" s="705"/>
      <c r="D222" s="703">
        <f>0.5+2+0.5</f>
        <v>3</v>
      </c>
      <c r="E222" s="701" t="s">
        <v>1185</v>
      </c>
      <c r="F222" s="703">
        <f>0.5+1.9+0.5</f>
        <v>2.9</v>
      </c>
      <c r="G222" s="701" t="s">
        <v>1187</v>
      </c>
      <c r="H222" s="790">
        <f>D222*F222</f>
        <v>8.6999999999999993</v>
      </c>
      <c r="I222" s="705" t="s">
        <v>12</v>
      </c>
      <c r="J222" s="805" t="s">
        <v>1360</v>
      </c>
    </row>
    <row r="223" spans="1:13">
      <c r="A223" s="702" t="s">
        <v>1331</v>
      </c>
      <c r="D223" s="703">
        <f>H221</f>
        <v>3.8759999999999999</v>
      </c>
      <c r="E223" s="705" t="s">
        <v>1185</v>
      </c>
      <c r="F223" s="703">
        <v>0.08</v>
      </c>
      <c r="G223" s="701" t="s">
        <v>1187</v>
      </c>
      <c r="H223" s="703">
        <f>D223*F223</f>
        <v>0.31008000000000002</v>
      </c>
      <c r="I223" s="705" t="s">
        <v>3</v>
      </c>
    </row>
    <row r="224" spans="1:13">
      <c r="A224" s="702" t="s">
        <v>1332</v>
      </c>
      <c r="B224" s="703"/>
      <c r="C224" s="705"/>
      <c r="D224" s="703">
        <f>H222</f>
        <v>8.6999999999999993</v>
      </c>
      <c r="E224" s="705" t="s">
        <v>1185</v>
      </c>
      <c r="F224" s="703">
        <v>0.15</v>
      </c>
      <c r="G224" s="701" t="s">
        <v>1187</v>
      </c>
      <c r="H224" s="701">
        <f>D224*F224</f>
        <v>1.3049999999999999</v>
      </c>
      <c r="I224" s="705" t="s">
        <v>3</v>
      </c>
      <c r="L224" s="800">
        <f>H223+H224</f>
        <v>1.6150799999999998</v>
      </c>
      <c r="M224" s="707" t="s">
        <v>3</v>
      </c>
    </row>
    <row r="225" spans="1:9">
      <c r="A225" s="702" t="s">
        <v>1337</v>
      </c>
      <c r="B225" s="801">
        <v>2</v>
      </c>
      <c r="C225" s="705" t="s">
        <v>1185</v>
      </c>
      <c r="D225" s="703">
        <f>D221+F221</f>
        <v>3.94</v>
      </c>
      <c r="E225" s="701" t="s">
        <v>1185</v>
      </c>
      <c r="F225" s="703">
        <v>0.08</v>
      </c>
      <c r="G225" s="701" t="s">
        <v>1187</v>
      </c>
      <c r="H225" s="706">
        <f>B225*D225*F225</f>
        <v>0.63039999999999996</v>
      </c>
      <c r="I225" s="711" t="s">
        <v>12</v>
      </c>
    </row>
    <row r="226" spans="1:9">
      <c r="A226" s="702" t="s">
        <v>1361</v>
      </c>
      <c r="D226" s="703">
        <f>H222+H221</f>
        <v>12.575999999999999</v>
      </c>
      <c r="E226" s="701" t="s">
        <v>1185</v>
      </c>
      <c r="F226" s="703">
        <v>2.2000000000000002</v>
      </c>
      <c r="G226" s="701" t="s">
        <v>1187</v>
      </c>
      <c r="H226" s="706">
        <f>D226*F226</f>
        <v>27.667200000000001</v>
      </c>
      <c r="I226" s="711" t="s">
        <v>101</v>
      </c>
    </row>
    <row r="227" spans="1:9">
      <c r="A227" s="702" t="s">
        <v>1333</v>
      </c>
      <c r="D227" s="703">
        <f>H222</f>
        <v>8.6999999999999993</v>
      </c>
      <c r="E227" s="701" t="s">
        <v>1185</v>
      </c>
      <c r="F227" s="703">
        <v>0.05</v>
      </c>
      <c r="G227" s="701" t="s">
        <v>1187</v>
      </c>
      <c r="H227" s="802">
        <f>D227*F227</f>
        <v>0.435</v>
      </c>
      <c r="I227" s="707" t="s">
        <v>3</v>
      </c>
    </row>
    <row r="228" spans="1:9">
      <c r="A228" s="702" t="s">
        <v>1343</v>
      </c>
      <c r="D228" s="703">
        <f>H222</f>
        <v>8.6999999999999993</v>
      </c>
      <c r="E228" s="701" t="s">
        <v>1185</v>
      </c>
      <c r="F228" s="703">
        <f>F224+F227</f>
        <v>0.2</v>
      </c>
      <c r="G228" s="701" t="s">
        <v>1187</v>
      </c>
      <c r="H228" s="711">
        <f>D228*F228</f>
        <v>1.74</v>
      </c>
      <c r="I228" s="711" t="s">
        <v>3</v>
      </c>
    </row>
    <row r="229" spans="1:9">
      <c r="A229" s="702" t="s">
        <v>1334</v>
      </c>
      <c r="D229" s="701">
        <f>H228</f>
        <v>1.74</v>
      </c>
      <c r="E229" s="701" t="s">
        <v>1185</v>
      </c>
      <c r="F229" s="703">
        <v>1.3</v>
      </c>
      <c r="G229" s="701" t="s">
        <v>1187</v>
      </c>
      <c r="H229" s="802">
        <f>D229*F229</f>
        <v>2.262</v>
      </c>
      <c r="I229" s="711" t="s">
        <v>3</v>
      </c>
    </row>
    <row r="230" spans="1:9">
      <c r="A230" s="702" t="s">
        <v>1341</v>
      </c>
      <c r="H230" s="706">
        <f>H222</f>
        <v>8.6999999999999993</v>
      </c>
      <c r="I230" s="711" t="s">
        <v>12</v>
      </c>
    </row>
    <row r="231" spans="1:9">
      <c r="A231" s="702" t="s">
        <v>1342</v>
      </c>
      <c r="H231" s="706">
        <f>H221</f>
        <v>3.8759999999999999</v>
      </c>
      <c r="I231" s="711" t="s">
        <v>12</v>
      </c>
    </row>
    <row r="232" spans="1:9">
      <c r="A232" s="702" t="s">
        <v>1359</v>
      </c>
      <c r="B232" s="801">
        <v>2</v>
      </c>
      <c r="C232" s="705" t="s">
        <v>1185</v>
      </c>
      <c r="D232" s="703">
        <f>2.22+2.14</f>
        <v>4.3600000000000003</v>
      </c>
      <c r="E232" s="701" t="s">
        <v>1185</v>
      </c>
      <c r="F232" s="701">
        <f>1.82/2</f>
        <v>0.91</v>
      </c>
      <c r="G232" s="701" t="s">
        <v>1187</v>
      </c>
      <c r="H232" s="706">
        <f>B232*D232*F232</f>
        <v>7.9352000000000009</v>
      </c>
      <c r="I232" s="711" t="s">
        <v>12</v>
      </c>
    </row>
    <row r="233" spans="1:9">
      <c r="A233" s="702" t="s">
        <v>1362</v>
      </c>
      <c r="B233" s="801">
        <v>2</v>
      </c>
      <c r="C233" s="705" t="s">
        <v>1185</v>
      </c>
      <c r="D233" s="703">
        <f>H232</f>
        <v>7.9352000000000009</v>
      </c>
      <c r="G233" s="701" t="s">
        <v>1187</v>
      </c>
      <c r="H233" s="706">
        <f>B233*D233</f>
        <v>15.870400000000002</v>
      </c>
      <c r="I233" s="711" t="s">
        <v>12</v>
      </c>
    </row>
    <row r="234" spans="1:9">
      <c r="A234" s="702" t="s">
        <v>1368</v>
      </c>
      <c r="G234" s="701" t="s">
        <v>1187</v>
      </c>
      <c r="H234" s="706">
        <f>H232</f>
        <v>7.9352000000000009</v>
      </c>
      <c r="I234" s="711" t="s">
        <v>12</v>
      </c>
    </row>
    <row r="235" spans="1:9">
      <c r="A235" s="702" t="s">
        <v>1369</v>
      </c>
      <c r="G235" s="701" t="s">
        <v>1187</v>
      </c>
      <c r="H235" s="706">
        <f>H232</f>
        <v>7.9352000000000009</v>
      </c>
      <c r="I235" s="711" t="s">
        <v>12</v>
      </c>
    </row>
    <row r="236" spans="1:9">
      <c r="A236" s="702" t="s">
        <v>1370</v>
      </c>
      <c r="G236" s="701" t="s">
        <v>1187</v>
      </c>
      <c r="H236" s="706">
        <f>H234</f>
        <v>7.9352000000000009</v>
      </c>
      <c r="I236" s="711" t="s">
        <v>12</v>
      </c>
    </row>
    <row r="237" spans="1:9">
      <c r="A237" s="702" t="s">
        <v>1371</v>
      </c>
      <c r="G237" s="701" t="s">
        <v>1187</v>
      </c>
      <c r="H237" s="706">
        <f>H235</f>
        <v>7.9352000000000009</v>
      </c>
      <c r="I237" s="711" t="s">
        <v>12</v>
      </c>
    </row>
    <row r="238" spans="1:9">
      <c r="A238" s="702" t="s">
        <v>1372</v>
      </c>
      <c r="D238" s="703">
        <f>2-0.15-0.15</f>
        <v>1.7000000000000002</v>
      </c>
      <c r="E238" s="701" t="s">
        <v>1185</v>
      </c>
      <c r="F238" s="703">
        <v>1.9</v>
      </c>
      <c r="G238" s="701" t="s">
        <v>1187</v>
      </c>
      <c r="H238" s="711">
        <f>D238*F238</f>
        <v>3.23</v>
      </c>
      <c r="I238" s="711" t="s">
        <v>12</v>
      </c>
    </row>
    <row r="239" spans="1:9">
      <c r="A239" s="702" t="s">
        <v>1390</v>
      </c>
      <c r="G239" s="701" t="s">
        <v>1187</v>
      </c>
      <c r="H239" s="706">
        <f>H219+H220</f>
        <v>8.7200000000000006</v>
      </c>
      <c r="I239" s="711" t="s">
        <v>12</v>
      </c>
    </row>
    <row r="240" spans="1:9">
      <c r="A240" s="702" t="s">
        <v>1398</v>
      </c>
      <c r="G240" s="701" t="s">
        <v>1187</v>
      </c>
      <c r="H240" s="711">
        <v>1</v>
      </c>
      <c r="I240" s="711" t="s">
        <v>1225</v>
      </c>
    </row>
    <row r="241" spans="1:9">
      <c r="A241" s="702" t="s">
        <v>1401</v>
      </c>
      <c r="G241" s="701" t="s">
        <v>1187</v>
      </c>
      <c r="H241" s="711">
        <v>1</v>
      </c>
      <c r="I241" s="711" t="s">
        <v>1225</v>
      </c>
    </row>
    <row r="242" spans="1:9">
      <c r="A242" s="702" t="s">
        <v>1436</v>
      </c>
      <c r="G242" s="701" t="s">
        <v>1187</v>
      </c>
      <c r="H242" s="711">
        <v>1</v>
      </c>
      <c r="I242" s="711" t="s">
        <v>1225</v>
      </c>
    </row>
    <row r="244" spans="1:9">
      <c r="A244" s="707" t="s">
        <v>1406</v>
      </c>
    </row>
    <row r="245" spans="1:9">
      <c r="A245" s="702" t="s">
        <v>1388</v>
      </c>
      <c r="B245" s="807">
        <v>2</v>
      </c>
      <c r="C245" s="705" t="s">
        <v>1185</v>
      </c>
      <c r="D245" s="703">
        <v>2.8</v>
      </c>
      <c r="E245" s="701" t="s">
        <v>1185</v>
      </c>
      <c r="F245" s="703">
        <v>2.14</v>
      </c>
      <c r="G245" s="701" t="s">
        <v>1187</v>
      </c>
      <c r="H245" s="706">
        <f>B245*D245*F245</f>
        <v>11.984</v>
      </c>
      <c r="I245" s="711" t="s">
        <v>12</v>
      </c>
    </row>
    <row r="246" spans="1:9">
      <c r="A246" s="702" t="s">
        <v>1330</v>
      </c>
      <c r="B246" s="790"/>
      <c r="C246" s="705"/>
      <c r="D246" s="703">
        <v>1.49</v>
      </c>
      <c r="E246" s="701" t="s">
        <v>1185</v>
      </c>
      <c r="F246" s="703">
        <v>5.9</v>
      </c>
      <c r="G246" s="701" t="s">
        <v>1187</v>
      </c>
      <c r="H246" s="790">
        <f>D246*F246</f>
        <v>8.7910000000000004</v>
      </c>
      <c r="I246" s="705" t="s">
        <v>12</v>
      </c>
    </row>
    <row r="247" spans="1:9">
      <c r="A247" s="702" t="s">
        <v>1329</v>
      </c>
      <c r="B247" s="790"/>
      <c r="C247" s="705"/>
      <c r="D247" s="703">
        <f>0.5+1.2+0.5</f>
        <v>2.2000000000000002</v>
      </c>
      <c r="E247" s="701" t="s">
        <v>1185</v>
      </c>
      <c r="F247" s="703">
        <f>0.5+5.9+0.5</f>
        <v>6.9</v>
      </c>
      <c r="G247" s="701" t="s">
        <v>1187</v>
      </c>
      <c r="H247" s="790">
        <f>D247*F247</f>
        <v>15.180000000000001</v>
      </c>
      <c r="I247" s="705" t="s">
        <v>12</v>
      </c>
    </row>
    <row r="248" spans="1:9">
      <c r="A248" s="702" t="s">
        <v>1331</v>
      </c>
      <c r="D248" s="703">
        <f>H246</f>
        <v>8.7910000000000004</v>
      </c>
      <c r="E248" s="705" t="s">
        <v>1185</v>
      </c>
      <c r="F248" s="703">
        <v>0.08</v>
      </c>
      <c r="G248" s="701" t="s">
        <v>1187</v>
      </c>
      <c r="H248" s="703">
        <f>D248*F248</f>
        <v>0.70328000000000002</v>
      </c>
      <c r="I248" s="705" t="s">
        <v>3</v>
      </c>
    </row>
    <row r="249" spans="1:9">
      <c r="A249" s="702" t="s">
        <v>1332</v>
      </c>
      <c r="B249" s="703"/>
      <c r="C249" s="705"/>
      <c r="D249" s="703">
        <f>H247</f>
        <v>15.180000000000001</v>
      </c>
      <c r="E249" s="705" t="s">
        <v>1185</v>
      </c>
      <c r="F249" s="703">
        <v>0.15</v>
      </c>
      <c r="G249" s="701" t="s">
        <v>1187</v>
      </c>
      <c r="H249" s="701">
        <f>D249*F249</f>
        <v>2.2770000000000001</v>
      </c>
      <c r="I249" s="705" t="s">
        <v>3</v>
      </c>
    </row>
    <row r="250" spans="1:9">
      <c r="A250" s="702" t="s">
        <v>1337</v>
      </c>
      <c r="B250" s="801">
        <v>2</v>
      </c>
      <c r="C250" s="705" t="s">
        <v>1185</v>
      </c>
      <c r="D250" s="703">
        <f>D246+F246</f>
        <v>7.3900000000000006</v>
      </c>
      <c r="E250" s="701" t="s">
        <v>1185</v>
      </c>
      <c r="F250" s="703">
        <v>0.08</v>
      </c>
      <c r="G250" s="701" t="s">
        <v>1187</v>
      </c>
      <c r="H250" s="706">
        <f>B250*D250*F250</f>
        <v>1.1824000000000001</v>
      </c>
      <c r="I250" s="711" t="s">
        <v>12</v>
      </c>
    </row>
    <row r="251" spans="1:9">
      <c r="A251" s="702" t="s">
        <v>1361</v>
      </c>
      <c r="D251" s="703">
        <f>H247+H246</f>
        <v>23.971000000000004</v>
      </c>
      <c r="E251" s="701" t="s">
        <v>1185</v>
      </c>
      <c r="F251" s="703">
        <v>2.2000000000000002</v>
      </c>
      <c r="G251" s="701" t="s">
        <v>1187</v>
      </c>
      <c r="H251" s="706">
        <f>D251*F251</f>
        <v>52.736200000000011</v>
      </c>
      <c r="I251" s="711" t="s">
        <v>101</v>
      </c>
    </row>
    <row r="252" spans="1:9">
      <c r="A252" s="702" t="s">
        <v>1333</v>
      </c>
      <c r="D252" s="703">
        <f>H247</f>
        <v>15.180000000000001</v>
      </c>
      <c r="E252" s="701" t="s">
        <v>1185</v>
      </c>
      <c r="F252" s="703">
        <v>0.05</v>
      </c>
      <c r="G252" s="701" t="s">
        <v>1187</v>
      </c>
      <c r="H252" s="802">
        <f>D252*F252</f>
        <v>0.75900000000000012</v>
      </c>
      <c r="I252" s="707" t="s">
        <v>3</v>
      </c>
    </row>
    <row r="253" spans="1:9">
      <c r="A253" s="702" t="s">
        <v>1343</v>
      </c>
      <c r="D253" s="703">
        <f>H247</f>
        <v>15.180000000000001</v>
      </c>
      <c r="E253" s="701" t="s">
        <v>1185</v>
      </c>
      <c r="F253" s="703">
        <f>F249+F252</f>
        <v>0.2</v>
      </c>
      <c r="G253" s="701" t="s">
        <v>1187</v>
      </c>
      <c r="H253" s="711">
        <f>D253*F253</f>
        <v>3.0360000000000005</v>
      </c>
      <c r="I253" s="711" t="s">
        <v>3</v>
      </c>
    </row>
    <row r="254" spans="1:9">
      <c r="A254" s="702" t="s">
        <v>1334</v>
      </c>
      <c r="D254" s="701">
        <f>H253</f>
        <v>3.0360000000000005</v>
      </c>
      <c r="E254" s="701" t="s">
        <v>1185</v>
      </c>
      <c r="F254" s="703">
        <v>1.3</v>
      </c>
      <c r="G254" s="701" t="s">
        <v>1187</v>
      </c>
      <c r="H254" s="802">
        <f>D254*F254</f>
        <v>3.946800000000001</v>
      </c>
      <c r="I254" s="711" t="s">
        <v>3</v>
      </c>
    </row>
    <row r="255" spans="1:9">
      <c r="A255" s="702" t="s">
        <v>1341</v>
      </c>
      <c r="H255" s="706">
        <f>H247</f>
        <v>15.180000000000001</v>
      </c>
      <c r="I255" s="711" t="s">
        <v>12</v>
      </c>
    </row>
    <row r="256" spans="1:9">
      <c r="A256" s="702" t="s">
        <v>1342</v>
      </c>
      <c r="H256" s="706">
        <f>H246</f>
        <v>8.7910000000000004</v>
      </c>
      <c r="I256" s="711" t="s">
        <v>12</v>
      </c>
    </row>
    <row r="257" spans="1:9">
      <c r="A257" s="702" t="s">
        <v>1359</v>
      </c>
      <c r="B257" s="703">
        <f>1.35+1.35</f>
        <v>2.7</v>
      </c>
      <c r="C257" s="705" t="s">
        <v>1303</v>
      </c>
      <c r="D257" s="703">
        <v>5.9</v>
      </c>
      <c r="E257" s="701" t="s">
        <v>1185</v>
      </c>
      <c r="F257" s="703">
        <v>2.2000000000000002</v>
      </c>
      <c r="G257" s="701" t="s">
        <v>1187</v>
      </c>
      <c r="H257" s="706">
        <f>(B257+D257)*F257</f>
        <v>18.920000000000005</v>
      </c>
      <c r="I257" s="711" t="s">
        <v>12</v>
      </c>
    </row>
    <row r="258" spans="1:9">
      <c r="A258" s="702" t="s">
        <v>1362</v>
      </c>
      <c r="B258" s="801">
        <v>2</v>
      </c>
      <c r="C258" s="705" t="s">
        <v>1185</v>
      </c>
      <c r="D258" s="703">
        <f>H257</f>
        <v>18.920000000000005</v>
      </c>
      <c r="G258" s="701" t="s">
        <v>1187</v>
      </c>
      <c r="H258" s="706">
        <f>B258*D258</f>
        <v>37.840000000000011</v>
      </c>
      <c r="I258" s="711" t="s">
        <v>12</v>
      </c>
    </row>
    <row r="259" spans="1:9">
      <c r="A259" s="702" t="s">
        <v>1424</v>
      </c>
      <c r="G259" s="701" t="s">
        <v>1187</v>
      </c>
      <c r="H259" s="706">
        <f>H258</f>
        <v>37.840000000000011</v>
      </c>
      <c r="I259" s="711" t="s">
        <v>12</v>
      </c>
    </row>
    <row r="260" spans="1:9">
      <c r="A260" s="702" t="s">
        <v>1423</v>
      </c>
      <c r="G260" s="701" t="s">
        <v>1187</v>
      </c>
      <c r="H260" s="706">
        <f>H259</f>
        <v>37.840000000000011</v>
      </c>
      <c r="I260" s="711" t="s">
        <v>12</v>
      </c>
    </row>
    <row r="261" spans="1:9">
      <c r="A261" s="702" t="s">
        <v>1372</v>
      </c>
      <c r="D261" s="703">
        <v>1.2</v>
      </c>
      <c r="E261" s="701" t="s">
        <v>1185</v>
      </c>
      <c r="F261" s="703">
        <v>5.9</v>
      </c>
      <c r="G261" s="701" t="s">
        <v>1187</v>
      </c>
      <c r="H261" s="711">
        <f>D261*F261</f>
        <v>7.08</v>
      </c>
      <c r="I261" s="711" t="s">
        <v>12</v>
      </c>
    </row>
    <row r="262" spans="1:9">
      <c r="A262" s="702" t="s">
        <v>1390</v>
      </c>
      <c r="G262" s="701" t="s">
        <v>1187</v>
      </c>
      <c r="H262" s="706">
        <f>H245</f>
        <v>11.984</v>
      </c>
      <c r="I262" s="711" t="s">
        <v>12</v>
      </c>
    </row>
    <row r="263" spans="1:9">
      <c r="A263" s="702" t="s">
        <v>1435</v>
      </c>
      <c r="G263" s="701" t="s">
        <v>1187</v>
      </c>
      <c r="H263" s="711">
        <v>8</v>
      </c>
      <c r="I263" s="711" t="s">
        <v>1225</v>
      </c>
    </row>
    <row r="264" spans="1:9">
      <c r="A264" s="702" t="s">
        <v>1691</v>
      </c>
      <c r="D264" s="703">
        <v>25</v>
      </c>
      <c r="E264" s="701" t="s">
        <v>1303</v>
      </c>
      <c r="F264" s="703">
        <v>1.5</v>
      </c>
      <c r="G264" s="701" t="s">
        <v>1187</v>
      </c>
      <c r="H264" s="706">
        <f>D264+F264</f>
        <v>26.5</v>
      </c>
      <c r="I264" s="711" t="s">
        <v>4</v>
      </c>
    </row>
    <row r="265" spans="1:9" ht="45.75">
      <c r="D265" s="836" t="s">
        <v>1693</v>
      </c>
      <c r="F265" s="888" t="s">
        <v>1692</v>
      </c>
    </row>
    <row r="269" spans="1:9">
      <c r="A269" s="797" t="s">
        <v>1558</v>
      </c>
    </row>
    <row r="270" spans="1:9">
      <c r="A270" s="702" t="s">
        <v>1445</v>
      </c>
      <c r="B270" s="703">
        <v>0.3</v>
      </c>
      <c r="C270" s="701" t="s">
        <v>1185</v>
      </c>
      <c r="D270" s="701">
        <v>0.35</v>
      </c>
      <c r="E270" s="701" t="s">
        <v>1185</v>
      </c>
      <c r="F270" s="703">
        <f>12.5+14.5+16+15+18+14.5+13.6+17+14.5+14.5+13.9</f>
        <v>164</v>
      </c>
      <c r="G270" s="701" t="s">
        <v>1187</v>
      </c>
      <c r="H270" s="865">
        <f>B270*D270*F270</f>
        <v>17.22</v>
      </c>
    </row>
    <row r="271" spans="1:9">
      <c r="A271" s="702"/>
      <c r="B271" s="703">
        <v>0.3</v>
      </c>
      <c r="C271" s="701" t="s">
        <v>1185</v>
      </c>
      <c r="D271" s="701">
        <v>0.35</v>
      </c>
      <c r="E271" s="701" t="s">
        <v>1185</v>
      </c>
      <c r="F271" s="790">
        <f>13.3+13.5+9.8+9.5+7+7+14.5+7</f>
        <v>81.599999999999994</v>
      </c>
      <c r="G271" s="701" t="s">
        <v>1187</v>
      </c>
      <c r="H271" s="705">
        <f>B271*D271*F271</f>
        <v>8.5679999999999996</v>
      </c>
      <c r="I271" s="707"/>
    </row>
    <row r="272" spans="1:9">
      <c r="A272" s="702"/>
      <c r="B272" s="703"/>
      <c r="C272" s="701"/>
      <c r="D272" s="701"/>
      <c r="E272" s="701"/>
      <c r="F272" s="703"/>
      <c r="G272" s="701"/>
      <c r="H272" s="713">
        <f>SUM(H270:H271)</f>
        <v>25.787999999999997</v>
      </c>
      <c r="I272" s="707" t="s">
        <v>3</v>
      </c>
    </row>
    <row r="273" spans="1:16">
      <c r="A273" s="702"/>
      <c r="B273" s="703"/>
      <c r="C273" s="701"/>
      <c r="D273" s="701"/>
      <c r="E273" s="701"/>
      <c r="F273" s="703"/>
      <c r="G273" s="701"/>
      <c r="H273" s="711"/>
      <c r="I273" s="707"/>
    </row>
    <row r="274" spans="1:16">
      <c r="A274" s="702" t="s">
        <v>1560</v>
      </c>
      <c r="B274" s="703">
        <v>0.3</v>
      </c>
      <c r="C274" s="701" t="s">
        <v>1185</v>
      </c>
      <c r="D274" s="701">
        <v>0.05</v>
      </c>
      <c r="E274" s="701" t="s">
        <v>1185</v>
      </c>
      <c r="F274" s="703">
        <f>F270</f>
        <v>164</v>
      </c>
      <c r="G274" s="701" t="s">
        <v>1187</v>
      </c>
      <c r="H274" s="705">
        <f>B274*D274*F274</f>
        <v>2.46</v>
      </c>
    </row>
    <row r="275" spans="1:16">
      <c r="A275" s="702"/>
      <c r="B275" s="703">
        <v>0.3</v>
      </c>
      <c r="C275" s="701" t="s">
        <v>1185</v>
      </c>
      <c r="D275" s="701">
        <v>0.05</v>
      </c>
      <c r="E275" s="701" t="s">
        <v>1185</v>
      </c>
      <c r="F275" s="703">
        <f>F271</f>
        <v>81.599999999999994</v>
      </c>
      <c r="G275" s="701" t="s">
        <v>1187</v>
      </c>
      <c r="H275" s="705">
        <f>B275*D275*F275</f>
        <v>1.224</v>
      </c>
      <c r="I275" s="707"/>
    </row>
    <row r="276" spans="1:16">
      <c r="A276" s="702"/>
      <c r="B276" s="703"/>
      <c r="C276" s="701"/>
      <c r="D276" s="701"/>
      <c r="E276" s="701"/>
      <c r="F276" s="703"/>
      <c r="G276" s="701"/>
      <c r="H276" s="713">
        <f>SUM(H274:H275)</f>
        <v>3.6840000000000002</v>
      </c>
      <c r="I276" s="707" t="s">
        <v>3</v>
      </c>
    </row>
    <row r="277" spans="1:16">
      <c r="A277" s="702"/>
      <c r="B277" s="703"/>
      <c r="C277" s="701"/>
      <c r="D277" s="701"/>
      <c r="E277" s="701"/>
      <c r="F277" s="703"/>
      <c r="G277" s="701"/>
      <c r="H277" s="711"/>
      <c r="I277" s="707"/>
    </row>
    <row r="278" spans="1:16">
      <c r="A278" s="702" t="s">
        <v>1562</v>
      </c>
      <c r="B278" s="703">
        <f>0.35+0.3+0.35</f>
        <v>0.99999999999999989</v>
      </c>
      <c r="C278" s="701" t="s">
        <v>1185</v>
      </c>
      <c r="D278" s="703">
        <f>F270</f>
        <v>164</v>
      </c>
      <c r="G278" s="701" t="s">
        <v>1187</v>
      </c>
      <c r="H278" s="706">
        <f>B278*D278</f>
        <v>163.99999999999997</v>
      </c>
      <c r="I278" s="707" t="s">
        <v>12</v>
      </c>
    </row>
    <row r="279" spans="1:16">
      <c r="A279" s="702" t="s">
        <v>1564</v>
      </c>
      <c r="H279" s="706">
        <f>F271</f>
        <v>81.599999999999994</v>
      </c>
      <c r="I279" s="707" t="s">
        <v>4</v>
      </c>
    </row>
    <row r="280" spans="1:16">
      <c r="A280" s="702" t="s">
        <v>1565</v>
      </c>
      <c r="H280" s="706">
        <f>F270</f>
        <v>164</v>
      </c>
      <c r="I280" s="707" t="s">
        <v>4</v>
      </c>
    </row>
    <row r="281" spans="1:16">
      <c r="A281" s="702" t="s">
        <v>1566</v>
      </c>
      <c r="B281" s="701">
        <f>H270</f>
        <v>17.22</v>
      </c>
      <c r="C281" s="701" t="s">
        <v>1567</v>
      </c>
      <c r="D281" s="703">
        <f>3.14*0.075*0.075*H280</f>
        <v>2.8966499999999997</v>
      </c>
      <c r="E281" s="701" t="s">
        <v>1567</v>
      </c>
      <c r="F281" s="701">
        <f>H274</f>
        <v>2.46</v>
      </c>
      <c r="G281" s="701" t="s">
        <v>1187</v>
      </c>
      <c r="H281" s="802">
        <f>B281-D281-F281</f>
        <v>11.863350000000001</v>
      </c>
      <c r="I281" s="707" t="s">
        <v>3</v>
      </c>
    </row>
    <row r="282" spans="1:16">
      <c r="A282" s="702"/>
      <c r="E282" s="701"/>
    </row>
    <row r="283" spans="1:16">
      <c r="A283" s="702" t="s">
        <v>1569</v>
      </c>
      <c r="B283" s="701">
        <f>H271</f>
        <v>8.5679999999999996</v>
      </c>
      <c r="C283" s="701" t="s">
        <v>1567</v>
      </c>
      <c r="D283" s="703">
        <f>D281</f>
        <v>2.8966499999999997</v>
      </c>
      <c r="E283" s="701" t="s">
        <v>1567</v>
      </c>
      <c r="F283" s="701">
        <f>H275</f>
        <v>1.224</v>
      </c>
      <c r="G283" s="701" t="s">
        <v>1187</v>
      </c>
      <c r="H283" s="802">
        <f>B283-D283-F283</f>
        <v>4.4473500000000001</v>
      </c>
      <c r="I283" s="711" t="s">
        <v>3</v>
      </c>
    </row>
    <row r="284" spans="1:16">
      <c r="H284" s="830"/>
      <c r="I284" s="707"/>
    </row>
    <row r="285" spans="1:16">
      <c r="A285" s="702" t="s">
        <v>1334</v>
      </c>
      <c r="B285" s="701">
        <f>H272</f>
        <v>25.787999999999997</v>
      </c>
      <c r="C285" s="701" t="s">
        <v>1567</v>
      </c>
      <c r="D285" s="703">
        <f>H283</f>
        <v>4.4473500000000001</v>
      </c>
      <c r="E285" s="701" t="s">
        <v>1185</v>
      </c>
      <c r="F285" s="703">
        <v>1.3</v>
      </c>
      <c r="G285" s="701" t="s">
        <v>1187</v>
      </c>
      <c r="H285" s="802">
        <f>(B285-D285)*F285</f>
        <v>27.742844999999996</v>
      </c>
      <c r="I285" s="711" t="s">
        <v>3</v>
      </c>
      <c r="J285" s="701"/>
    </row>
    <row r="287" spans="1:16">
      <c r="A287" s="707" t="s">
        <v>1694</v>
      </c>
    </row>
    <row r="288" spans="1:16">
      <c r="A288" s="702" t="s">
        <v>1695</v>
      </c>
      <c r="H288" s="706">
        <f>H290+H289</f>
        <v>170.94</v>
      </c>
      <c r="I288" s="711" t="s">
        <v>4</v>
      </c>
      <c r="J288" t="s">
        <v>1198</v>
      </c>
      <c r="N288" s="706">
        <f>SUM(N289:N290)</f>
        <v>60.300000000000004</v>
      </c>
      <c r="O288" s="707" t="s">
        <v>4</v>
      </c>
      <c r="P288" t="s">
        <v>1708</v>
      </c>
    </row>
    <row r="289" spans="1:15">
      <c r="A289" s="702" t="s">
        <v>1696</v>
      </c>
      <c r="B289" s="701">
        <v>4.32</v>
      </c>
      <c r="C289" s="701" t="s">
        <v>1303</v>
      </c>
      <c r="D289" s="701">
        <v>0.25</v>
      </c>
      <c r="E289" s="701" t="s">
        <v>1185</v>
      </c>
      <c r="F289" s="701">
        <f>11*2</f>
        <v>22</v>
      </c>
      <c r="G289" s="701" t="s">
        <v>1187</v>
      </c>
      <c r="H289" s="703">
        <f>(B289+D289)*F289</f>
        <v>100.54</v>
      </c>
      <c r="N289" s="703">
        <f>6.15*6</f>
        <v>36.900000000000006</v>
      </c>
    </row>
    <row r="290" spans="1:15">
      <c r="A290" s="702" t="s">
        <v>1697</v>
      </c>
      <c r="B290" s="703">
        <v>3.2</v>
      </c>
      <c r="C290" s="701" t="s">
        <v>1185</v>
      </c>
      <c r="D290" s="701">
        <f>11*2</f>
        <v>22</v>
      </c>
      <c r="E290" s="701"/>
      <c r="F290" s="701"/>
      <c r="G290" s="701" t="s">
        <v>1187</v>
      </c>
      <c r="H290" s="703">
        <f>D290*B290</f>
        <v>70.400000000000006</v>
      </c>
      <c r="N290" s="703">
        <f>3.9*6</f>
        <v>23.4</v>
      </c>
    </row>
    <row r="292" spans="1:15">
      <c r="A292" s="702" t="s">
        <v>1445</v>
      </c>
      <c r="B292" s="703">
        <v>0.3</v>
      </c>
      <c r="C292" s="701" t="s">
        <v>1185</v>
      </c>
      <c r="D292" s="703">
        <v>0.3</v>
      </c>
      <c r="E292" s="701" t="s">
        <v>1185</v>
      </c>
      <c r="F292" s="703">
        <f>H289</f>
        <v>100.54</v>
      </c>
      <c r="G292" s="701" t="s">
        <v>1187</v>
      </c>
      <c r="H292" s="711">
        <f>B292*D292*F292</f>
        <v>9.0486000000000004</v>
      </c>
      <c r="I292" s="711" t="s">
        <v>3</v>
      </c>
      <c r="N292" s="711">
        <f>B292*D292*N289</f>
        <v>3.3210000000000002</v>
      </c>
      <c r="O292" s="711" t="s">
        <v>3</v>
      </c>
    </row>
    <row r="293" spans="1:15">
      <c r="A293" s="702" t="s">
        <v>1698</v>
      </c>
      <c r="B293" s="703">
        <v>0.3</v>
      </c>
      <c r="C293" s="701" t="s">
        <v>1185</v>
      </c>
      <c r="D293" s="701">
        <v>0.05</v>
      </c>
      <c r="E293" s="701" t="s">
        <v>1185</v>
      </c>
      <c r="F293" s="703">
        <f>H289</f>
        <v>100.54</v>
      </c>
      <c r="G293" s="701" t="s">
        <v>1187</v>
      </c>
      <c r="H293" s="711">
        <f>B293*D293*F293</f>
        <v>1.5081</v>
      </c>
      <c r="I293" s="711" t="s">
        <v>3</v>
      </c>
      <c r="N293" s="891">
        <f>B293*D293*N289</f>
        <v>0.5535000000000001</v>
      </c>
      <c r="O293" s="711" t="s">
        <v>3</v>
      </c>
    </row>
    <row r="294" spans="1:15">
      <c r="A294" s="702" t="s">
        <v>1569</v>
      </c>
      <c r="B294" s="704">
        <f>H292</f>
        <v>9.0486000000000004</v>
      </c>
      <c r="C294" s="701" t="s">
        <v>1567</v>
      </c>
      <c r="D294" s="701">
        <f>H293</f>
        <v>1.5081</v>
      </c>
      <c r="E294" s="701" t="s">
        <v>1567</v>
      </c>
      <c r="F294" s="890">
        <f>3.14*0.016*0.016*H289</f>
        <v>8.0818073599999998E-2</v>
      </c>
      <c r="G294" s="701" t="s">
        <v>1187</v>
      </c>
      <c r="H294" s="891">
        <f>B294-D294-F294</f>
        <v>7.4596819264000009</v>
      </c>
      <c r="I294" s="711" t="s">
        <v>3</v>
      </c>
      <c r="L294">
        <f>(3.14*0.016*0.016*N289)</f>
        <v>2.9661696000000005E-2</v>
      </c>
      <c r="N294" s="891">
        <f>N292-N293-L294</f>
        <v>2.7378383040000003</v>
      </c>
      <c r="O294" s="711" t="s">
        <v>3</v>
      </c>
    </row>
    <row r="295" spans="1:15">
      <c r="A295" s="702" t="s">
        <v>1699</v>
      </c>
      <c r="B295" s="704"/>
      <c r="D295" s="890">
        <f>D294+F294</f>
        <v>1.5889180735999999</v>
      </c>
      <c r="E295" s="701" t="s">
        <v>1185</v>
      </c>
      <c r="F295" s="703">
        <v>1.3</v>
      </c>
      <c r="G295" s="701" t="s">
        <v>1187</v>
      </c>
      <c r="H295" s="891">
        <f>D295*F295</f>
        <v>2.0655934956799999</v>
      </c>
      <c r="I295" s="711" t="s">
        <v>3</v>
      </c>
      <c r="N295" s="891">
        <f>(L294+N293)*1.3</f>
        <v>0.75811020480000013</v>
      </c>
      <c r="O295" s="711" t="s">
        <v>3</v>
      </c>
    </row>
    <row r="299" spans="1:15">
      <c r="F299">
        <v>50</v>
      </c>
    </row>
    <row r="300" spans="1:15">
      <c r="F300">
        <f>50*1.11857</f>
        <v>55.9285</v>
      </c>
    </row>
    <row r="301" spans="1:15">
      <c r="F301">
        <v>182.3</v>
      </c>
    </row>
    <row r="302" spans="1:15">
      <c r="F302">
        <f>SUM(F299:F301)</f>
        <v>288.2285</v>
      </c>
    </row>
    <row r="303" spans="1:15">
      <c r="F303">
        <f>F302*1.245</f>
        <v>358.84448250000003</v>
      </c>
    </row>
  </sheetData>
  <mergeCells count="3">
    <mergeCell ref="S177:S180"/>
    <mergeCell ref="X177:X180"/>
    <mergeCell ref="U179:U180"/>
  </mergeCells>
  <hyperlinks>
    <hyperlink ref="T13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8"/>
  <sheetViews>
    <sheetView showGridLines="0" view="pageBreakPreview" topLeftCell="A16" zoomScale="90" zoomScaleSheetLayoutView="90" workbookViewId="0">
      <selection activeCell="I38" sqref="I38"/>
    </sheetView>
  </sheetViews>
  <sheetFormatPr defaultColWidth="11.42578125" defaultRowHeight="12.75"/>
  <cols>
    <col min="1" max="1" width="10.140625" style="87" customWidth="1"/>
    <col min="2" max="2" width="18.5703125" style="87" customWidth="1"/>
    <col min="3" max="3" width="33.85546875" style="20" customWidth="1"/>
    <col min="4" max="4" width="7.85546875" style="19" customWidth="1"/>
    <col min="5" max="5" width="8.85546875" style="19" customWidth="1"/>
    <col min="6" max="6" width="8.140625" style="88" customWidth="1"/>
    <col min="7" max="7" width="9.42578125" style="88" customWidth="1"/>
    <col min="8" max="8" width="10.140625" style="88" customWidth="1"/>
    <col min="9" max="9" width="10.85546875" style="88" customWidth="1"/>
    <col min="10" max="11" width="7.85546875" style="88" customWidth="1"/>
    <col min="12" max="12" width="8.5703125" style="88" customWidth="1"/>
    <col min="13" max="13" width="11" style="88" customWidth="1"/>
    <col min="14" max="15" width="15.5703125" style="88" customWidth="1"/>
    <col min="16" max="16" width="6.42578125" style="20" customWidth="1"/>
    <col min="17" max="17" width="9.42578125" style="17" customWidth="1"/>
    <col min="18" max="18" width="12.140625" style="18" customWidth="1"/>
    <col min="19" max="19" width="13" style="19" customWidth="1"/>
    <col min="20" max="16384" width="11.42578125" style="20"/>
  </cols>
  <sheetData>
    <row r="1" spans="1:19" s="7" customFormat="1" ht="46.5" customHeight="1">
      <c r="A1" s="2" t="s">
        <v>1754</v>
      </c>
      <c r="B1" s="3"/>
      <c r="C1" s="4"/>
      <c r="D1" s="22"/>
      <c r="E1" s="4"/>
      <c r="F1" s="4"/>
      <c r="G1" s="4"/>
      <c r="H1" s="23"/>
      <c r="I1" s="23"/>
      <c r="J1" s="5" t="s">
        <v>1753</v>
      </c>
      <c r="K1" s="6"/>
      <c r="L1" s="6"/>
      <c r="M1" s="6"/>
      <c r="N1" s="6"/>
      <c r="O1" s="8"/>
    </row>
    <row r="2" spans="1:19" s="32" customFormat="1" ht="3" customHeight="1">
      <c r="A2" s="24"/>
      <c r="B2" s="25"/>
      <c r="C2" s="16"/>
      <c r="D2" s="16"/>
      <c r="E2" s="16"/>
      <c r="F2" s="16"/>
      <c r="G2" s="16"/>
      <c r="H2" s="16"/>
      <c r="I2" s="16"/>
      <c r="J2" s="26"/>
      <c r="K2" s="27"/>
      <c r="L2" s="27"/>
      <c r="M2" s="16"/>
      <c r="N2" s="16"/>
      <c r="O2" s="16"/>
      <c r="P2" s="28"/>
      <c r="Q2" s="29"/>
      <c r="R2" s="30"/>
      <c r="S2" s="31"/>
    </row>
    <row r="3" spans="1:19" ht="18" customHeight="1">
      <c r="A3" s="1469" t="s">
        <v>31</v>
      </c>
      <c r="B3" s="1470"/>
      <c r="C3" s="1470"/>
      <c r="D3" s="1470"/>
      <c r="E3" s="1470"/>
      <c r="F3" s="1470"/>
      <c r="G3" s="1470"/>
      <c r="H3" s="1470"/>
      <c r="I3" s="1470"/>
      <c r="J3" s="1471"/>
      <c r="K3" s="1472" t="s">
        <v>36</v>
      </c>
      <c r="L3" s="1473"/>
      <c r="M3" s="13" t="s">
        <v>37</v>
      </c>
      <c r="N3" s="33"/>
      <c r="O3" s="34">
        <v>7.5</v>
      </c>
      <c r="Q3" s="18"/>
      <c r="R3" s="19"/>
      <c r="S3" s="20"/>
    </row>
    <row r="4" spans="1:19" ht="18" customHeight="1">
      <c r="A4" s="1476" t="s">
        <v>80</v>
      </c>
      <c r="B4" s="1477"/>
      <c r="C4" s="1477"/>
      <c r="D4" s="1477"/>
      <c r="E4" s="1477"/>
      <c r="F4" s="1477"/>
      <c r="G4" s="1477"/>
      <c r="H4" s="1477"/>
      <c r="I4" s="1477"/>
      <c r="J4" s="1478"/>
      <c r="K4" s="1474"/>
      <c r="L4" s="1475"/>
      <c r="M4" s="35" t="s">
        <v>38</v>
      </c>
      <c r="N4" s="36"/>
      <c r="O4" s="37">
        <v>15</v>
      </c>
      <c r="Q4" s="18"/>
      <c r="R4" s="19"/>
      <c r="S4" s="20"/>
    </row>
    <row r="5" spans="1:19" s="9" customFormat="1" ht="15" customHeight="1">
      <c r="A5" s="38" t="s">
        <v>32</v>
      </c>
      <c r="B5" s="38" t="s">
        <v>33</v>
      </c>
      <c r="C5" s="39" t="s">
        <v>34</v>
      </c>
      <c r="D5" s="40" t="s">
        <v>39</v>
      </c>
      <c r="E5" s="41"/>
      <c r="F5" s="691" t="s">
        <v>37</v>
      </c>
      <c r="G5" s="692"/>
      <c r="H5" s="692"/>
      <c r="I5" s="692"/>
      <c r="J5" s="691" t="s">
        <v>38</v>
      </c>
      <c r="K5" s="692"/>
      <c r="L5" s="692"/>
      <c r="M5" s="692"/>
      <c r="N5" s="693"/>
      <c r="O5" s="1486" t="s">
        <v>40</v>
      </c>
      <c r="R5" s="10"/>
      <c r="S5" s="11"/>
    </row>
    <row r="6" spans="1:19" s="9" customFormat="1" ht="15" customHeight="1">
      <c r="A6" s="38"/>
      <c r="B6" s="38"/>
      <c r="C6" s="39"/>
      <c r="D6" s="1482" t="s">
        <v>41</v>
      </c>
      <c r="E6" s="1484" t="s">
        <v>42</v>
      </c>
      <c r="F6" s="694" t="s">
        <v>43</v>
      </c>
      <c r="G6" s="695"/>
      <c r="H6" s="696" t="s">
        <v>44</v>
      </c>
      <c r="I6" s="697"/>
      <c r="J6" s="1487" t="s">
        <v>45</v>
      </c>
      <c r="K6" s="694" t="s">
        <v>43</v>
      </c>
      <c r="L6" s="695"/>
      <c r="M6" s="696" t="s">
        <v>44</v>
      </c>
      <c r="N6" s="697"/>
      <c r="O6" s="1480"/>
      <c r="R6" s="10"/>
      <c r="S6" s="11"/>
    </row>
    <row r="7" spans="1:19" s="9" customFormat="1" ht="15" customHeight="1">
      <c r="A7" s="48"/>
      <c r="B7" s="48"/>
      <c r="C7" s="49"/>
      <c r="D7" s="1483"/>
      <c r="E7" s="1485"/>
      <c r="F7" s="688" t="s">
        <v>46</v>
      </c>
      <c r="G7" s="688" t="s">
        <v>47</v>
      </c>
      <c r="H7" s="689" t="s">
        <v>48</v>
      </c>
      <c r="I7" s="690" t="s">
        <v>49</v>
      </c>
      <c r="J7" s="1481"/>
      <c r="K7" s="688" t="s">
        <v>46</v>
      </c>
      <c r="L7" s="688" t="s">
        <v>47</v>
      </c>
      <c r="M7" s="689" t="s">
        <v>48</v>
      </c>
      <c r="N7" s="690" t="s">
        <v>49</v>
      </c>
      <c r="O7" s="1481"/>
      <c r="R7" s="10"/>
      <c r="S7" s="11"/>
    </row>
    <row r="8" spans="1:19" s="32" customFormat="1" ht="3" customHeight="1">
      <c r="A8" s="24"/>
      <c r="B8" s="25"/>
      <c r="C8" s="16"/>
      <c r="D8" s="16"/>
      <c r="E8" s="16"/>
      <c r="F8" s="16"/>
      <c r="G8" s="16"/>
      <c r="H8" s="16"/>
      <c r="I8" s="16"/>
      <c r="J8" s="26"/>
      <c r="K8" s="27"/>
      <c r="L8" s="27"/>
      <c r="M8" s="16"/>
      <c r="N8" s="16"/>
      <c r="O8" s="16"/>
      <c r="P8" s="28"/>
      <c r="Q8" s="29"/>
      <c r="R8" s="30"/>
      <c r="S8" s="31"/>
    </row>
    <row r="9" spans="1:19" s="9" customFormat="1" ht="15.75">
      <c r="A9" s="1214" t="s">
        <v>6</v>
      </c>
      <c r="B9" s="1215"/>
      <c r="C9" s="1216" t="s">
        <v>50</v>
      </c>
      <c r="D9" s="1217"/>
      <c r="E9" s="1217"/>
      <c r="F9" s="1218"/>
      <c r="G9" s="1218"/>
      <c r="H9" s="1218"/>
      <c r="I9" s="1219"/>
      <c r="J9" s="1219"/>
      <c r="K9" s="1219"/>
      <c r="L9" s="1219"/>
      <c r="M9" s="1219"/>
      <c r="N9" s="1219"/>
      <c r="O9" s="1220"/>
      <c r="R9" s="10"/>
      <c r="S9" s="11"/>
    </row>
    <row r="10" spans="1:19" s="9" customFormat="1" ht="15" customHeight="1">
      <c r="A10" s="1207" t="s">
        <v>20</v>
      </c>
      <c r="B10" s="1207"/>
      <c r="C10" s="1208" t="s">
        <v>51</v>
      </c>
      <c r="D10" s="1209"/>
      <c r="E10" s="1210"/>
      <c r="F10" s="1211"/>
      <c r="G10" s="1211"/>
      <c r="H10" s="1212"/>
      <c r="I10" s="1213"/>
      <c r="J10" s="1211"/>
      <c r="K10" s="1213"/>
      <c r="L10" s="1213"/>
      <c r="M10" s="1213"/>
      <c r="N10" s="1213"/>
      <c r="O10" s="1213"/>
      <c r="R10" s="10"/>
      <c r="S10" s="11"/>
    </row>
    <row r="11" spans="1:19" s="9" customFormat="1" ht="15" customHeight="1">
      <c r="A11" s="12" t="s">
        <v>2283</v>
      </c>
      <c r="B11" s="51" t="s">
        <v>53</v>
      </c>
      <c r="C11" s="52" t="s">
        <v>54</v>
      </c>
      <c r="D11" s="53">
        <v>1</v>
      </c>
      <c r="E11" s="54">
        <v>4</v>
      </c>
      <c r="F11" s="51">
        <v>30</v>
      </c>
      <c r="G11" s="50">
        <f>F11*D11*J11</f>
        <v>30</v>
      </c>
      <c r="H11" s="55">
        <f>G11*O$3</f>
        <v>225</v>
      </c>
      <c r="I11" s="55">
        <f>E11*H11</f>
        <v>900</v>
      </c>
      <c r="J11" s="50">
        <v>1</v>
      </c>
      <c r="K11" s="51">
        <v>30</v>
      </c>
      <c r="L11" s="51">
        <f t="shared" ref="L11:L20" si="0">D11*J11*K11</f>
        <v>30</v>
      </c>
      <c r="M11" s="56">
        <f t="shared" ref="M11:M20" si="1">L11*O$4</f>
        <v>450</v>
      </c>
      <c r="N11" s="55">
        <f t="shared" ref="N11:N20" si="2">E11*M11</f>
        <v>1800</v>
      </c>
      <c r="O11" s="55">
        <f t="shared" ref="O11:O20" si="3">I11+N11</f>
        <v>2700</v>
      </c>
      <c r="R11" s="10"/>
      <c r="S11" s="11"/>
    </row>
    <row r="12" spans="1:19" s="9" customFormat="1" ht="15" customHeight="1">
      <c r="A12" s="12" t="s">
        <v>2284</v>
      </c>
      <c r="B12" s="51" t="s">
        <v>57</v>
      </c>
      <c r="C12" s="52" t="s">
        <v>58</v>
      </c>
      <c r="D12" s="53">
        <v>1</v>
      </c>
      <c r="E12" s="54">
        <v>2</v>
      </c>
      <c r="F12" s="51">
        <v>30</v>
      </c>
      <c r="G12" s="50">
        <f t="shared" ref="G12:G20" si="4">F12*D12*J12</f>
        <v>30</v>
      </c>
      <c r="H12" s="55">
        <f t="shared" ref="H12:H20" si="5">G12*O$3</f>
        <v>225</v>
      </c>
      <c r="I12" s="55">
        <f t="shared" ref="I12:I20" si="6">E12*H12</f>
        <v>450</v>
      </c>
      <c r="J12" s="50">
        <v>1</v>
      </c>
      <c r="K12" s="51">
        <v>30</v>
      </c>
      <c r="L12" s="51">
        <f t="shared" si="0"/>
        <v>30</v>
      </c>
      <c r="M12" s="56">
        <f t="shared" si="1"/>
        <v>450</v>
      </c>
      <c r="N12" s="55">
        <f t="shared" si="2"/>
        <v>900</v>
      </c>
      <c r="O12" s="55">
        <f t="shared" si="3"/>
        <v>1350</v>
      </c>
      <c r="R12" s="10"/>
      <c r="S12" s="11"/>
    </row>
    <row r="13" spans="1:19" s="9" customFormat="1" ht="15" customHeight="1">
      <c r="A13" s="12" t="s">
        <v>2285</v>
      </c>
      <c r="B13" s="51" t="s">
        <v>59</v>
      </c>
      <c r="C13" s="52" t="s">
        <v>60</v>
      </c>
      <c r="D13" s="53">
        <v>1</v>
      </c>
      <c r="E13" s="54">
        <v>4</v>
      </c>
      <c r="F13" s="51">
        <v>30</v>
      </c>
      <c r="G13" s="50">
        <f t="shared" si="4"/>
        <v>30</v>
      </c>
      <c r="H13" s="55">
        <f t="shared" si="5"/>
        <v>225</v>
      </c>
      <c r="I13" s="55">
        <f t="shared" si="6"/>
        <v>900</v>
      </c>
      <c r="J13" s="50">
        <v>1</v>
      </c>
      <c r="K13" s="51">
        <v>30</v>
      </c>
      <c r="L13" s="51">
        <f t="shared" si="0"/>
        <v>30</v>
      </c>
      <c r="M13" s="56">
        <f t="shared" si="1"/>
        <v>450</v>
      </c>
      <c r="N13" s="55">
        <f t="shared" si="2"/>
        <v>1800</v>
      </c>
      <c r="O13" s="55">
        <f t="shared" si="3"/>
        <v>2700</v>
      </c>
      <c r="R13" s="10"/>
      <c r="S13" s="11"/>
    </row>
    <row r="14" spans="1:19" s="9" customFormat="1" ht="15" customHeight="1">
      <c r="A14" s="12" t="s">
        <v>2286</v>
      </c>
      <c r="B14" s="51" t="s">
        <v>61</v>
      </c>
      <c r="C14" s="52" t="s">
        <v>62</v>
      </c>
      <c r="D14" s="53">
        <v>1</v>
      </c>
      <c r="E14" s="54">
        <v>4</v>
      </c>
      <c r="F14" s="51">
        <v>30</v>
      </c>
      <c r="G14" s="50">
        <f t="shared" si="4"/>
        <v>30</v>
      </c>
      <c r="H14" s="55">
        <f t="shared" si="5"/>
        <v>225</v>
      </c>
      <c r="I14" s="55">
        <f t="shared" si="6"/>
        <v>900</v>
      </c>
      <c r="J14" s="50">
        <v>1</v>
      </c>
      <c r="K14" s="51">
        <v>30</v>
      </c>
      <c r="L14" s="51">
        <f t="shared" si="0"/>
        <v>30</v>
      </c>
      <c r="M14" s="56">
        <f t="shared" si="1"/>
        <v>450</v>
      </c>
      <c r="N14" s="55">
        <f t="shared" si="2"/>
        <v>1800</v>
      </c>
      <c r="O14" s="55">
        <f t="shared" si="3"/>
        <v>2700</v>
      </c>
      <c r="R14" s="10"/>
      <c r="S14" s="11"/>
    </row>
    <row r="15" spans="1:19" s="9" customFormat="1" ht="15" customHeight="1">
      <c r="A15" s="12" t="s">
        <v>2287</v>
      </c>
      <c r="B15" s="51" t="s">
        <v>63</v>
      </c>
      <c r="C15" s="52" t="s">
        <v>121</v>
      </c>
      <c r="D15" s="53">
        <v>1</v>
      </c>
      <c r="E15" s="54">
        <v>2</v>
      </c>
      <c r="F15" s="51">
        <v>30</v>
      </c>
      <c r="G15" s="50">
        <f t="shared" si="4"/>
        <v>30</v>
      </c>
      <c r="H15" s="55">
        <f t="shared" si="5"/>
        <v>225</v>
      </c>
      <c r="I15" s="55">
        <f t="shared" si="6"/>
        <v>450</v>
      </c>
      <c r="J15" s="50">
        <v>1</v>
      </c>
      <c r="K15" s="51">
        <v>30</v>
      </c>
      <c r="L15" s="51">
        <f t="shared" si="0"/>
        <v>30</v>
      </c>
      <c r="M15" s="56">
        <f t="shared" si="1"/>
        <v>450</v>
      </c>
      <c r="N15" s="55">
        <f t="shared" si="2"/>
        <v>900</v>
      </c>
      <c r="O15" s="55">
        <f t="shared" si="3"/>
        <v>1350</v>
      </c>
      <c r="R15" s="10"/>
      <c r="S15" s="11"/>
    </row>
    <row r="16" spans="1:19" s="9" customFormat="1" ht="15" customHeight="1">
      <c r="A16" s="12" t="s">
        <v>2288</v>
      </c>
      <c r="B16" s="51" t="s">
        <v>64</v>
      </c>
      <c r="C16" s="52" t="s">
        <v>122</v>
      </c>
      <c r="D16" s="53">
        <v>1</v>
      </c>
      <c r="E16" s="54">
        <v>1</v>
      </c>
      <c r="F16" s="51">
        <v>30</v>
      </c>
      <c r="G16" s="50">
        <f t="shared" si="4"/>
        <v>30</v>
      </c>
      <c r="H16" s="55">
        <f t="shared" si="5"/>
        <v>225</v>
      </c>
      <c r="I16" s="55">
        <f t="shared" si="6"/>
        <v>225</v>
      </c>
      <c r="J16" s="50">
        <v>1</v>
      </c>
      <c r="K16" s="51">
        <v>30</v>
      </c>
      <c r="L16" s="51">
        <f t="shared" si="0"/>
        <v>30</v>
      </c>
      <c r="M16" s="56">
        <f t="shared" si="1"/>
        <v>450</v>
      </c>
      <c r="N16" s="55">
        <f t="shared" si="2"/>
        <v>450</v>
      </c>
      <c r="O16" s="55">
        <f t="shared" si="3"/>
        <v>675</v>
      </c>
      <c r="R16" s="10"/>
      <c r="S16" s="11"/>
    </row>
    <row r="17" spans="1:19" s="9" customFormat="1" ht="15" customHeight="1">
      <c r="A17" s="12" t="s">
        <v>2289</v>
      </c>
      <c r="B17" s="51" t="s">
        <v>65</v>
      </c>
      <c r="C17" s="52" t="s">
        <v>123</v>
      </c>
      <c r="D17" s="53">
        <v>1</v>
      </c>
      <c r="E17" s="54">
        <v>2</v>
      </c>
      <c r="F17" s="51">
        <v>30</v>
      </c>
      <c r="G17" s="50">
        <f t="shared" si="4"/>
        <v>30</v>
      </c>
      <c r="H17" s="55">
        <f t="shared" si="5"/>
        <v>225</v>
      </c>
      <c r="I17" s="55">
        <f t="shared" si="6"/>
        <v>450</v>
      </c>
      <c r="J17" s="50">
        <v>1</v>
      </c>
      <c r="K17" s="51">
        <v>30</v>
      </c>
      <c r="L17" s="51">
        <f t="shared" si="0"/>
        <v>30</v>
      </c>
      <c r="M17" s="56">
        <f t="shared" si="1"/>
        <v>450</v>
      </c>
      <c r="N17" s="55">
        <f t="shared" si="2"/>
        <v>900</v>
      </c>
      <c r="O17" s="55">
        <f t="shared" si="3"/>
        <v>1350</v>
      </c>
      <c r="R17" s="10"/>
      <c r="S17" s="11"/>
    </row>
    <row r="18" spans="1:19" s="9" customFormat="1" ht="15" customHeight="1">
      <c r="A18" s="12" t="s">
        <v>2290</v>
      </c>
      <c r="B18" s="1056"/>
      <c r="C18" s="1057" t="s">
        <v>2282</v>
      </c>
      <c r="D18" s="1058">
        <v>1</v>
      </c>
      <c r="E18" s="1059">
        <v>4</v>
      </c>
      <c r="F18" s="1056">
        <v>30</v>
      </c>
      <c r="G18" s="50">
        <f t="shared" si="4"/>
        <v>30</v>
      </c>
      <c r="H18" s="55">
        <f t="shared" si="5"/>
        <v>225</v>
      </c>
      <c r="I18" s="55">
        <f t="shared" si="6"/>
        <v>900</v>
      </c>
      <c r="J18" s="57">
        <v>1</v>
      </c>
      <c r="K18" s="1056">
        <v>30</v>
      </c>
      <c r="L18" s="1056">
        <f t="shared" si="0"/>
        <v>30</v>
      </c>
      <c r="M18" s="1060">
        <f t="shared" si="1"/>
        <v>450</v>
      </c>
      <c r="N18" s="58">
        <f t="shared" si="2"/>
        <v>1800</v>
      </c>
      <c r="O18" s="58">
        <f t="shared" si="3"/>
        <v>2700</v>
      </c>
      <c r="R18" s="10"/>
      <c r="S18" s="11"/>
    </row>
    <row r="19" spans="1:19" s="9" customFormat="1" ht="15" customHeight="1">
      <c r="A19" s="12" t="s">
        <v>2291</v>
      </c>
      <c r="B19" s="1056"/>
      <c r="C19" s="1057" t="s">
        <v>2114</v>
      </c>
      <c r="D19" s="1058">
        <v>1</v>
      </c>
      <c r="E19" s="1059">
        <v>4</v>
      </c>
      <c r="F19" s="1056">
        <v>30</v>
      </c>
      <c r="G19" s="50">
        <f t="shared" si="4"/>
        <v>30</v>
      </c>
      <c r="H19" s="55">
        <f t="shared" si="5"/>
        <v>225</v>
      </c>
      <c r="I19" s="55">
        <f t="shared" si="6"/>
        <v>900</v>
      </c>
      <c r="J19" s="57">
        <v>1</v>
      </c>
      <c r="K19" s="1056">
        <v>30</v>
      </c>
      <c r="L19" s="1056">
        <f t="shared" si="0"/>
        <v>30</v>
      </c>
      <c r="M19" s="1060">
        <f t="shared" si="1"/>
        <v>450</v>
      </c>
      <c r="N19" s="58">
        <f t="shared" si="2"/>
        <v>1800</v>
      </c>
      <c r="O19" s="58">
        <f t="shared" si="3"/>
        <v>2700</v>
      </c>
      <c r="R19" s="10"/>
      <c r="S19" s="11"/>
    </row>
    <row r="20" spans="1:19" s="9" customFormat="1" ht="15" customHeight="1">
      <c r="A20" s="12" t="s">
        <v>2292</v>
      </c>
      <c r="B20" s="59"/>
      <c r="C20" s="926" t="s">
        <v>1752</v>
      </c>
      <c r="D20" s="60">
        <v>1</v>
      </c>
      <c r="E20" s="60">
        <v>4</v>
      </c>
      <c r="F20" s="61">
        <v>30</v>
      </c>
      <c r="G20" s="50">
        <f t="shared" si="4"/>
        <v>30</v>
      </c>
      <c r="H20" s="55">
        <f t="shared" si="5"/>
        <v>225</v>
      </c>
      <c r="I20" s="55">
        <f t="shared" si="6"/>
        <v>900</v>
      </c>
      <c r="J20" s="61">
        <v>1</v>
      </c>
      <c r="K20" s="60">
        <v>30</v>
      </c>
      <c r="L20" s="60">
        <f t="shared" si="0"/>
        <v>30</v>
      </c>
      <c r="M20" s="927">
        <f t="shared" si="1"/>
        <v>450</v>
      </c>
      <c r="N20" s="62">
        <f t="shared" si="2"/>
        <v>1800</v>
      </c>
      <c r="O20" s="62">
        <f t="shared" si="3"/>
        <v>2700</v>
      </c>
      <c r="R20" s="10"/>
      <c r="S20" s="11"/>
    </row>
    <row r="21" spans="1:19" s="9" customFormat="1" ht="16.5" customHeight="1">
      <c r="A21" s="63" t="s">
        <v>66</v>
      </c>
      <c r="B21" s="64"/>
      <c r="C21" s="65"/>
      <c r="D21" s="66">
        <f>SUM(D11:D20)</f>
        <v>10</v>
      </c>
      <c r="E21" s="66"/>
      <c r="F21" s="67"/>
      <c r="G21" s="67">
        <f>SUM(G11:G20)</f>
        <v>300</v>
      </c>
      <c r="H21" s="68">
        <f>SUM(H11:H20)</f>
        <v>2250</v>
      </c>
      <c r="I21" s="68"/>
      <c r="J21" s="67"/>
      <c r="K21" s="66"/>
      <c r="L21" s="67">
        <f>SUM(L11:L20)</f>
        <v>300</v>
      </c>
      <c r="M21" s="69">
        <f>SUM(M11:M20)</f>
        <v>4500</v>
      </c>
      <c r="N21" s="70"/>
      <c r="O21" s="71"/>
      <c r="R21" s="10"/>
      <c r="S21" s="11"/>
    </row>
    <row r="22" spans="1:19" s="9" customFormat="1" ht="16.5" customHeight="1">
      <c r="A22" s="72"/>
      <c r="B22" s="73"/>
      <c r="C22" s="74"/>
      <c r="D22" s="73"/>
      <c r="E22" s="73"/>
      <c r="F22" s="73"/>
      <c r="G22" s="73"/>
      <c r="H22" s="64" t="s">
        <v>67</v>
      </c>
      <c r="I22" s="64"/>
      <c r="J22" s="64"/>
      <c r="K22" s="64"/>
      <c r="L22" s="64"/>
      <c r="M22" s="65"/>
      <c r="N22" s="21"/>
      <c r="O22" s="21">
        <f>SUM(O11:O20)</f>
        <v>20925</v>
      </c>
      <c r="P22" s="15"/>
      <c r="S22" s="75"/>
    </row>
    <row r="23" spans="1:19" ht="16.5" customHeight="1">
      <c r="A23" s="76"/>
      <c r="B23" s="77"/>
      <c r="C23" s="32"/>
      <c r="D23" s="78"/>
      <c r="E23" s="78"/>
      <c r="F23" s="78"/>
      <c r="G23" s="78"/>
      <c r="H23" s="64" t="s">
        <v>35</v>
      </c>
      <c r="I23" s="64"/>
      <c r="J23" s="64"/>
      <c r="K23" s="64"/>
      <c r="L23" s="64"/>
      <c r="M23" s="65"/>
      <c r="N23" s="1055">
        <v>0.245</v>
      </c>
      <c r="O23" s="14">
        <f>O22*N23</f>
        <v>5126.625</v>
      </c>
      <c r="P23" s="16"/>
      <c r="Q23" s="9"/>
      <c r="R23" s="20"/>
      <c r="S23" s="20"/>
    </row>
    <row r="24" spans="1:19" ht="18.75" customHeight="1">
      <c r="A24" s="79" t="s">
        <v>68</v>
      </c>
      <c r="B24" s="80"/>
      <c r="C24" s="80"/>
      <c r="D24" s="81">
        <v>4</v>
      </c>
      <c r="E24" s="78" t="s">
        <v>69</v>
      </c>
      <c r="F24" s="82" t="s">
        <v>70</v>
      </c>
      <c r="G24" s="64"/>
      <c r="H24" s="64"/>
      <c r="I24" s="64"/>
      <c r="J24" s="64"/>
      <c r="K24" s="64"/>
      <c r="L24" s="64"/>
      <c r="M24" s="65"/>
      <c r="N24" s="83"/>
      <c r="O24" s="14">
        <f>O22+O23</f>
        <v>26051.625</v>
      </c>
      <c r="P24" s="16"/>
      <c r="Q24" s="9"/>
      <c r="R24" s="9"/>
      <c r="S24" s="75"/>
    </row>
    <row r="25" spans="1:19" ht="16.5" customHeight="1">
      <c r="A25" s="72" t="s">
        <v>71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5"/>
      <c r="N25" s="86"/>
      <c r="O25" s="14">
        <f>TRUNC(O24/D24,2)</f>
        <v>6512.9</v>
      </c>
      <c r="P25" s="16"/>
      <c r="Q25" s="9"/>
      <c r="R25" s="9"/>
      <c r="S25" s="75"/>
    </row>
    <row r="29" spans="1:19" ht="15.75">
      <c r="A29" s="1469" t="s">
        <v>31</v>
      </c>
      <c r="B29" s="1470"/>
      <c r="C29" s="1470"/>
      <c r="D29" s="1470"/>
      <c r="E29" s="1470"/>
      <c r="F29" s="1470"/>
      <c r="G29" s="1470"/>
      <c r="H29" s="1470"/>
      <c r="I29" s="1470"/>
      <c r="J29" s="1471"/>
      <c r="K29" s="1472"/>
      <c r="L29" s="1473"/>
      <c r="M29" s="13"/>
      <c r="N29" s="33"/>
      <c r="O29" s="34"/>
    </row>
    <row r="30" spans="1:19" ht="15.75">
      <c r="A30" s="1476" t="s">
        <v>127</v>
      </c>
      <c r="B30" s="1477"/>
      <c r="C30" s="1477"/>
      <c r="D30" s="1477"/>
      <c r="E30" s="1477"/>
      <c r="F30" s="1477"/>
      <c r="G30" s="1477"/>
      <c r="H30" s="1477"/>
      <c r="I30" s="1477"/>
      <c r="J30" s="1478"/>
      <c r="K30" s="1474"/>
      <c r="L30" s="1475"/>
      <c r="M30" s="35"/>
      <c r="N30" s="36"/>
      <c r="O30" s="37"/>
    </row>
    <row r="31" spans="1:19">
      <c r="A31" s="38" t="s">
        <v>32</v>
      </c>
      <c r="B31" s="38" t="s">
        <v>33</v>
      </c>
      <c r="C31" s="39" t="s">
        <v>34</v>
      </c>
      <c r="D31" s="40" t="s">
        <v>39</v>
      </c>
      <c r="E31" s="41"/>
      <c r="F31" s="42"/>
      <c r="G31" s="42"/>
      <c r="H31" s="42"/>
      <c r="I31" s="43"/>
      <c r="J31" s="1479"/>
      <c r="K31" s="20"/>
      <c r="L31" s="17"/>
      <c r="M31" s="18"/>
      <c r="N31" s="19"/>
      <c r="O31" s="20"/>
    </row>
    <row r="32" spans="1:19">
      <c r="A32" s="38"/>
      <c r="B32" s="38"/>
      <c r="C32" s="39"/>
      <c r="D32" s="1482" t="s">
        <v>41</v>
      </c>
      <c r="E32" s="1484" t="s">
        <v>42</v>
      </c>
      <c r="F32" s="44" t="s">
        <v>43</v>
      </c>
      <c r="G32" s="45"/>
      <c r="H32" s="46" t="s">
        <v>44</v>
      </c>
      <c r="I32" s="47"/>
      <c r="J32" s="1480"/>
      <c r="K32" s="20"/>
      <c r="L32" s="17"/>
      <c r="M32" s="18"/>
      <c r="N32" s="19"/>
      <c r="O32" s="20"/>
    </row>
    <row r="33" spans="1:15" ht="18" customHeight="1">
      <c r="A33" s="48"/>
      <c r="B33" s="48"/>
      <c r="C33" s="49"/>
      <c r="D33" s="1483"/>
      <c r="E33" s="1485"/>
      <c r="F33" s="688" t="s">
        <v>17</v>
      </c>
      <c r="G33" s="688" t="s">
        <v>124</v>
      </c>
      <c r="H33" s="689" t="s">
        <v>48</v>
      </c>
      <c r="I33" s="690" t="s">
        <v>49</v>
      </c>
      <c r="J33" s="1481"/>
      <c r="K33" s="20"/>
      <c r="L33" s="17"/>
      <c r="M33" s="18"/>
      <c r="N33" s="19"/>
      <c r="O33" s="20"/>
    </row>
    <row r="34" spans="1:15" ht="15.75">
      <c r="A34" s="24"/>
      <c r="B34" s="25"/>
      <c r="C34" s="16"/>
      <c r="D34" s="16"/>
      <c r="E34" s="16"/>
      <c r="F34" s="27"/>
      <c r="G34" s="27"/>
      <c r="H34" s="16"/>
      <c r="I34" s="16"/>
      <c r="J34" s="16"/>
      <c r="K34" s="20"/>
      <c r="L34" s="17"/>
      <c r="M34" s="18"/>
      <c r="N34" s="19"/>
      <c r="O34" s="20"/>
    </row>
    <row r="35" spans="1:15" ht="18.75" customHeight="1">
      <c r="A35" s="1076" t="s">
        <v>7</v>
      </c>
      <c r="B35" s="1077"/>
      <c r="C35" s="1078" t="s">
        <v>128</v>
      </c>
      <c r="D35" s="1079"/>
      <c r="E35" s="1079"/>
      <c r="F35" s="1080"/>
      <c r="G35" s="1080"/>
      <c r="H35" s="1080"/>
      <c r="I35" s="1081"/>
      <c r="J35" s="20"/>
      <c r="K35" s="17"/>
      <c r="L35" s="18"/>
      <c r="M35" s="19"/>
      <c r="N35" s="20"/>
      <c r="O35" s="20"/>
    </row>
    <row r="36" spans="1:15" ht="15.75" customHeight="1">
      <c r="A36" s="1082" t="s">
        <v>21</v>
      </c>
      <c r="B36" s="1082"/>
      <c r="C36" s="1083" t="s">
        <v>51</v>
      </c>
      <c r="D36" s="1084"/>
      <c r="E36" s="1085"/>
      <c r="F36" s="1086"/>
      <c r="G36" s="1086"/>
      <c r="H36" s="1086"/>
      <c r="I36" s="1086"/>
      <c r="J36" s="20"/>
      <c r="K36" s="17"/>
      <c r="L36" s="18"/>
      <c r="M36" s="19"/>
      <c r="N36" s="20"/>
      <c r="O36" s="20"/>
    </row>
    <row r="37" spans="1:15" ht="18" customHeight="1">
      <c r="A37" s="12" t="s">
        <v>2293</v>
      </c>
      <c r="B37" s="143" t="s">
        <v>130</v>
      </c>
      <c r="C37" s="52" t="s">
        <v>2112</v>
      </c>
      <c r="D37" s="53">
        <v>1</v>
      </c>
      <c r="E37" s="54">
        <v>4</v>
      </c>
      <c r="F37" s="51">
        <v>1</v>
      </c>
      <c r="G37" s="1053">
        <v>20000</v>
      </c>
      <c r="H37" s="56">
        <f>G37*F37</f>
        <v>20000</v>
      </c>
      <c r="I37" s="55">
        <f t="shared" ref="I37" si="7">E37*H37</f>
        <v>80000</v>
      </c>
      <c r="J37" s="20" t="s">
        <v>2115</v>
      </c>
      <c r="K37" s="17"/>
      <c r="L37" s="18"/>
      <c r="M37" s="19"/>
      <c r="N37" s="20"/>
      <c r="O37" s="20"/>
    </row>
    <row r="38" spans="1:15" ht="17.25" customHeight="1">
      <c r="A38" s="12" t="s">
        <v>2294</v>
      </c>
      <c r="B38" s="143" t="s">
        <v>130</v>
      </c>
      <c r="C38" s="144" t="s">
        <v>131</v>
      </c>
      <c r="D38" s="53">
        <v>1</v>
      </c>
      <c r="E38" s="54">
        <v>4</v>
      </c>
      <c r="F38" s="51">
        <v>1</v>
      </c>
      <c r="G38" s="1053">
        <v>5236</v>
      </c>
      <c r="H38" s="56">
        <f>G38*F38</f>
        <v>5236</v>
      </c>
      <c r="I38" s="55">
        <f>E38*H38</f>
        <v>20944</v>
      </c>
      <c r="J38" s="20"/>
      <c r="K38" s="17"/>
      <c r="L38" s="18"/>
      <c r="M38" s="19"/>
      <c r="N38" s="20"/>
      <c r="O38" s="20"/>
    </row>
    <row r="39" spans="1:15" ht="17.25" customHeight="1">
      <c r="A39" s="12" t="s">
        <v>2295</v>
      </c>
      <c r="B39" s="143" t="s">
        <v>130</v>
      </c>
      <c r="C39" s="144" t="s">
        <v>135</v>
      </c>
      <c r="D39" s="53">
        <v>1</v>
      </c>
      <c r="E39" s="54">
        <v>4</v>
      </c>
      <c r="F39" s="51">
        <v>308</v>
      </c>
      <c r="G39" s="928">
        <v>4.5999999999999996</v>
      </c>
      <c r="H39" s="56">
        <f>G39*F39</f>
        <v>1416.8</v>
      </c>
      <c r="I39" s="55">
        <f>E39*H39</f>
        <v>5667.2</v>
      </c>
      <c r="J39" s="20"/>
      <c r="K39" s="17"/>
      <c r="L39" s="18"/>
      <c r="M39" s="19"/>
      <c r="N39" s="20"/>
      <c r="O39" s="20"/>
    </row>
    <row r="40" spans="1:15" ht="15">
      <c r="A40" s="63" t="s">
        <v>66</v>
      </c>
      <c r="B40" s="64"/>
      <c r="C40" s="65"/>
      <c r="D40" s="1054">
        <f>SUM(D37:D39)</f>
        <v>3</v>
      </c>
      <c r="E40" s="66"/>
      <c r="F40" s="66"/>
      <c r="G40" s="67"/>
      <c r="H40" s="69"/>
      <c r="I40" s="71">
        <f>SUM(I37:I39)</f>
        <v>106611.2</v>
      </c>
      <c r="J40" s="20"/>
      <c r="K40" s="17"/>
      <c r="L40" s="18"/>
      <c r="M40" s="19"/>
      <c r="N40" s="20"/>
      <c r="O40" s="20"/>
    </row>
    <row r="41" spans="1:15" ht="18" customHeight="1">
      <c r="A41" s="72"/>
      <c r="B41" s="73"/>
      <c r="C41" s="74"/>
      <c r="D41" s="73"/>
      <c r="E41" s="73"/>
      <c r="F41" s="73"/>
      <c r="G41" s="73"/>
      <c r="H41" s="64" t="s">
        <v>67</v>
      </c>
      <c r="I41" s="64"/>
      <c r="J41" s="929"/>
      <c r="K41" s="64"/>
      <c r="L41" s="64"/>
      <c r="M41" s="65"/>
      <c r="N41" s="1221">
        <f>I40</f>
        <v>106611.2</v>
      </c>
      <c r="O41" s="1222">
        <f>N41</f>
        <v>106611.2</v>
      </c>
    </row>
    <row r="42" spans="1:15" ht="18" customHeight="1">
      <c r="A42" s="76"/>
      <c r="B42" s="77"/>
      <c r="C42" s="32"/>
      <c r="D42" s="78"/>
      <c r="E42" s="78"/>
      <c r="F42" s="78"/>
      <c r="G42" s="78"/>
      <c r="H42" s="64" t="s">
        <v>35</v>
      </c>
      <c r="I42" s="64"/>
      <c r="J42" s="929"/>
      <c r="K42" s="64"/>
      <c r="L42" s="64"/>
      <c r="M42" s="65"/>
      <c r="N42" s="1223">
        <v>0.245</v>
      </c>
      <c r="O42" s="1222">
        <f>N41*N42</f>
        <v>26119.743999999999</v>
      </c>
    </row>
    <row r="43" spans="1:15" ht="18" customHeight="1">
      <c r="A43" s="79" t="s">
        <v>68</v>
      </c>
      <c r="B43" s="80"/>
      <c r="C43" s="80"/>
      <c r="D43" s="81">
        <v>4</v>
      </c>
      <c r="E43" s="78" t="s">
        <v>69</v>
      </c>
      <c r="F43" s="82" t="s">
        <v>70</v>
      </c>
      <c r="G43" s="64"/>
      <c r="H43" s="64"/>
      <c r="I43" s="64"/>
      <c r="J43" s="929"/>
      <c r="K43" s="64"/>
      <c r="L43" s="64"/>
      <c r="M43" s="65"/>
      <c r="N43" s="1224"/>
      <c r="O43" s="1222">
        <f>O41+O42</f>
        <v>132730.94399999999</v>
      </c>
    </row>
    <row r="44" spans="1:15" ht="18" customHeight="1">
      <c r="A44" s="72" t="s">
        <v>1755</v>
      </c>
      <c r="B44" s="84"/>
      <c r="C44" s="84"/>
      <c r="D44" s="84"/>
      <c r="E44" s="84"/>
      <c r="F44" s="84"/>
      <c r="G44" s="84"/>
      <c r="H44" s="84"/>
      <c r="I44" s="84"/>
      <c r="J44" s="929"/>
      <c r="K44" s="84"/>
      <c r="L44" s="84"/>
      <c r="M44" s="85"/>
      <c r="N44" s="86"/>
      <c r="O44" s="14">
        <f>TRUNC(O43/D43,2)</f>
        <v>33182.730000000003</v>
      </c>
    </row>
    <row r="46" spans="1:15" ht="15.75">
      <c r="A46" s="1469" t="s">
        <v>31</v>
      </c>
      <c r="B46" s="1470"/>
      <c r="C46" s="1470"/>
      <c r="D46" s="1470"/>
      <c r="E46" s="1470"/>
      <c r="F46" s="1470"/>
      <c r="G46" s="1470"/>
      <c r="H46" s="1470"/>
      <c r="I46" s="1470"/>
      <c r="J46" s="1471"/>
    </row>
    <row r="47" spans="1:15" ht="15.75">
      <c r="A47" s="1476" t="s">
        <v>2180</v>
      </c>
      <c r="B47" s="1477"/>
      <c r="C47" s="1477"/>
      <c r="D47" s="1477"/>
      <c r="E47" s="1477"/>
      <c r="F47" s="1477"/>
      <c r="G47" s="1477"/>
      <c r="H47" s="1477"/>
      <c r="I47" s="1477"/>
      <c r="J47" s="1478"/>
    </row>
    <row r="48" spans="1:15">
      <c r="A48" s="38" t="s">
        <v>32</v>
      </c>
      <c r="B48" s="38" t="s">
        <v>33</v>
      </c>
      <c r="C48" s="39" t="s">
        <v>34</v>
      </c>
      <c r="D48" s="40" t="s">
        <v>39</v>
      </c>
      <c r="E48" s="41"/>
      <c r="F48" s="42"/>
      <c r="G48" s="42"/>
      <c r="H48" s="42"/>
      <c r="I48" s="43"/>
      <c r="J48" s="1479"/>
    </row>
    <row r="49" spans="1:15">
      <c r="A49" s="38"/>
      <c r="B49" s="38"/>
      <c r="C49" s="39"/>
      <c r="D49" s="1482" t="s">
        <v>41</v>
      </c>
      <c r="E49" s="1484" t="s">
        <v>42</v>
      </c>
      <c r="F49" s="44" t="s">
        <v>43</v>
      </c>
      <c r="G49" s="45"/>
      <c r="H49" s="46" t="s">
        <v>44</v>
      </c>
      <c r="I49" s="47"/>
      <c r="J49" s="1480"/>
    </row>
    <row r="50" spans="1:15">
      <c r="A50" s="48"/>
      <c r="B50" s="48"/>
      <c r="C50" s="49"/>
      <c r="D50" s="1483"/>
      <c r="E50" s="1485"/>
      <c r="F50" s="688" t="s">
        <v>17</v>
      </c>
      <c r="G50" s="688" t="s">
        <v>124</v>
      </c>
      <c r="H50" s="689" t="s">
        <v>48</v>
      </c>
      <c r="I50" s="690" t="s">
        <v>49</v>
      </c>
      <c r="J50" s="1481"/>
    </row>
    <row r="52" spans="1:15" ht="15.75">
      <c r="A52" s="1076" t="s">
        <v>8</v>
      </c>
      <c r="B52" s="1077"/>
      <c r="C52" s="1078" t="s">
        <v>2180</v>
      </c>
      <c r="D52" s="1079"/>
      <c r="E52" s="1079"/>
      <c r="F52" s="1080"/>
      <c r="G52" s="1080"/>
      <c r="H52" s="1080"/>
      <c r="I52" s="1081"/>
    </row>
    <row r="53" spans="1:15" ht="18" customHeight="1">
      <c r="A53" s="1105" t="s">
        <v>22</v>
      </c>
      <c r="B53" s="1198" t="s">
        <v>2215</v>
      </c>
      <c r="C53" s="1087" t="s">
        <v>54</v>
      </c>
      <c r="D53" s="1088">
        <v>1</v>
      </c>
      <c r="E53" s="1089">
        <v>4</v>
      </c>
      <c r="F53" s="1090">
        <v>1</v>
      </c>
      <c r="G53" s="1091">
        <v>2492.86</v>
      </c>
      <c r="H53" s="1092">
        <f>G53*F53</f>
        <v>2492.86</v>
      </c>
      <c r="I53" s="1093">
        <f>E53*H53</f>
        <v>9971.44</v>
      </c>
      <c r="K53" s="88" t="s">
        <v>2213</v>
      </c>
    </row>
    <row r="54" spans="1:15" ht="15.95" customHeight="1">
      <c r="A54" s="1206" t="s">
        <v>52</v>
      </c>
      <c r="B54" s="1108" t="s">
        <v>2187</v>
      </c>
      <c r="C54" s="1094" t="s">
        <v>58</v>
      </c>
      <c r="D54" s="1095">
        <v>1</v>
      </c>
      <c r="E54" s="1096">
        <v>2</v>
      </c>
      <c r="F54" s="1097">
        <v>1</v>
      </c>
      <c r="G54" s="1098">
        <v>3730.16</v>
      </c>
      <c r="H54" s="1099">
        <f t="shared" ref="H54:H62" si="8">G54*F54</f>
        <v>3730.16</v>
      </c>
      <c r="I54" s="1100">
        <f t="shared" ref="I54:I62" si="9">E54*H54</f>
        <v>7460.32</v>
      </c>
    </row>
    <row r="55" spans="1:15" ht="15.95" customHeight="1">
      <c r="A55" s="1206" t="s">
        <v>55</v>
      </c>
      <c r="B55" s="1108" t="s">
        <v>2276</v>
      </c>
      <c r="C55" s="1094" t="s">
        <v>60</v>
      </c>
      <c r="D55" s="1095">
        <v>1</v>
      </c>
      <c r="E55" s="1096">
        <v>4</v>
      </c>
      <c r="F55" s="1097">
        <v>1</v>
      </c>
      <c r="G55" s="1098">
        <v>3469.95</v>
      </c>
      <c r="H55" s="1099">
        <f t="shared" si="8"/>
        <v>3469.95</v>
      </c>
      <c r="I55" s="1100">
        <f t="shared" si="9"/>
        <v>13879.8</v>
      </c>
    </row>
    <row r="56" spans="1:15" ht="15.95" customHeight="1">
      <c r="A56" s="1206" t="s">
        <v>56</v>
      </c>
      <c r="B56" s="1108" t="s">
        <v>2186</v>
      </c>
      <c r="C56" s="1094" t="s">
        <v>2214</v>
      </c>
      <c r="D56" s="1095">
        <v>1</v>
      </c>
      <c r="E56" s="1096">
        <v>4</v>
      </c>
      <c r="F56" s="1097">
        <v>1</v>
      </c>
      <c r="G56" s="1098">
        <v>2590.89</v>
      </c>
      <c r="H56" s="1099">
        <f t="shared" si="8"/>
        <v>2590.89</v>
      </c>
      <c r="I56" s="1100">
        <f t="shared" si="9"/>
        <v>10363.56</v>
      </c>
    </row>
    <row r="57" spans="1:15" ht="15.95" customHeight="1">
      <c r="A57" s="1206" t="s">
        <v>2179</v>
      </c>
      <c r="B57" s="1108" t="s">
        <v>2185</v>
      </c>
      <c r="C57" s="1094" t="s">
        <v>72</v>
      </c>
      <c r="D57" s="1095">
        <v>1</v>
      </c>
      <c r="E57" s="1096">
        <v>2</v>
      </c>
      <c r="F57" s="1097">
        <v>1</v>
      </c>
      <c r="G57" s="1098">
        <v>2590.89</v>
      </c>
      <c r="H57" s="1099">
        <f t="shared" si="8"/>
        <v>2590.89</v>
      </c>
      <c r="I57" s="1100">
        <f t="shared" si="9"/>
        <v>5181.78</v>
      </c>
    </row>
    <row r="58" spans="1:15" ht="15.95" customHeight="1">
      <c r="A58" s="1206" t="s">
        <v>2296</v>
      </c>
      <c r="B58" s="1108" t="s">
        <v>2184</v>
      </c>
      <c r="C58" s="1094" t="s">
        <v>2192</v>
      </c>
      <c r="D58" s="1095">
        <v>1</v>
      </c>
      <c r="E58" s="1096">
        <v>1</v>
      </c>
      <c r="F58" s="1097">
        <v>1</v>
      </c>
      <c r="G58" s="1098">
        <v>2590.89</v>
      </c>
      <c r="H58" s="1099">
        <f t="shared" si="8"/>
        <v>2590.89</v>
      </c>
      <c r="I58" s="1100">
        <f t="shared" si="9"/>
        <v>2590.89</v>
      </c>
    </row>
    <row r="59" spans="1:15" ht="15.95" customHeight="1">
      <c r="A59" s="1206" t="s">
        <v>2297</v>
      </c>
      <c r="B59" s="1108" t="s">
        <v>2277</v>
      </c>
      <c r="C59" s="1094" t="s">
        <v>2193</v>
      </c>
      <c r="D59" s="1095">
        <v>1</v>
      </c>
      <c r="E59" s="1096">
        <v>2</v>
      </c>
      <c r="F59" s="1097">
        <v>1</v>
      </c>
      <c r="G59" s="1098">
        <v>2679.57</v>
      </c>
      <c r="H59" s="1099">
        <f t="shared" si="8"/>
        <v>2679.57</v>
      </c>
      <c r="I59" s="1100">
        <f t="shared" si="9"/>
        <v>5359.14</v>
      </c>
    </row>
    <row r="60" spans="1:15" ht="15.95" customHeight="1">
      <c r="A60" s="1206" t="s">
        <v>2298</v>
      </c>
      <c r="B60" s="1106" t="s">
        <v>2113</v>
      </c>
      <c r="C60" s="1094" t="s">
        <v>2182</v>
      </c>
      <c r="D60" s="1095">
        <v>1</v>
      </c>
      <c r="E60" s="1096">
        <v>4</v>
      </c>
      <c r="F60" s="1097">
        <v>1</v>
      </c>
      <c r="G60" s="1098">
        <v>2325.23</v>
      </c>
      <c r="H60" s="1099">
        <f t="shared" si="8"/>
        <v>2325.23</v>
      </c>
      <c r="I60" s="1100">
        <f t="shared" si="9"/>
        <v>9300.92</v>
      </c>
    </row>
    <row r="61" spans="1:15" ht="15.95" customHeight="1">
      <c r="A61" s="1206" t="s">
        <v>2299</v>
      </c>
      <c r="B61" s="1106" t="s">
        <v>2183</v>
      </c>
      <c r="C61" s="1094" t="s">
        <v>2181</v>
      </c>
      <c r="D61" s="1095">
        <v>1</v>
      </c>
      <c r="E61" s="1096">
        <v>4</v>
      </c>
      <c r="F61" s="1097">
        <v>1</v>
      </c>
      <c r="G61" s="1098">
        <v>2495.36</v>
      </c>
      <c r="H61" s="1099">
        <f t="shared" si="8"/>
        <v>2495.36</v>
      </c>
      <c r="I61" s="1100">
        <f t="shared" si="9"/>
        <v>9981.44</v>
      </c>
    </row>
    <row r="62" spans="1:15" ht="15.95" customHeight="1">
      <c r="A62" s="1107"/>
      <c r="B62" s="1112"/>
      <c r="C62" s="1111" t="s">
        <v>2401</v>
      </c>
      <c r="D62" s="1101">
        <v>1</v>
      </c>
      <c r="E62" s="1101">
        <v>4</v>
      </c>
      <c r="F62" s="1101">
        <v>1</v>
      </c>
      <c r="G62" s="1102">
        <v>3850</v>
      </c>
      <c r="H62" s="1103">
        <f t="shared" si="8"/>
        <v>3850</v>
      </c>
      <c r="I62" s="1104">
        <f t="shared" si="9"/>
        <v>15400</v>
      </c>
      <c r="N62" s="1149"/>
      <c r="O62" s="1149"/>
    </row>
    <row r="63" spans="1:15" ht="14.1" customHeight="1">
      <c r="A63" s="1139"/>
      <c r="B63" s="1141"/>
      <c r="C63" s="1143" t="s">
        <v>2280</v>
      </c>
      <c r="D63" s="1145"/>
      <c r="E63" s="1145"/>
      <c r="F63" s="1146"/>
      <c r="G63" s="1146"/>
      <c r="H63" s="1146"/>
      <c r="I63" s="1146">
        <f>SUM(I53:I62)</f>
        <v>89489.29</v>
      </c>
    </row>
    <row r="64" spans="1:15" ht="14.1" customHeight="1">
      <c r="A64" s="1201"/>
      <c r="B64" s="1202"/>
      <c r="C64" s="1203" t="s">
        <v>2281</v>
      </c>
      <c r="D64" s="1204"/>
      <c r="E64" s="1204"/>
      <c r="F64" s="1205"/>
      <c r="G64" s="1205"/>
      <c r="H64" s="1205"/>
      <c r="I64" s="1205">
        <f>I63/1.7525</f>
        <v>51063.788873038517</v>
      </c>
    </row>
    <row r="65" spans="1:9" ht="14.1" customHeight="1">
      <c r="A65" s="1140"/>
      <c r="B65" s="1142"/>
      <c r="C65" s="1144" t="s">
        <v>2278</v>
      </c>
      <c r="D65" s="1147"/>
      <c r="E65" s="1147"/>
      <c r="F65" s="1148"/>
      <c r="G65" s="1148"/>
      <c r="H65" s="1148"/>
      <c r="I65" s="1148">
        <f>(I64)*1.1875</f>
        <v>60638.24928673324</v>
      </c>
    </row>
    <row r="66" spans="1:9" ht="14.1" customHeight="1">
      <c r="A66" s="1140"/>
      <c r="B66" s="1142"/>
      <c r="C66" s="1144" t="s">
        <v>2211</v>
      </c>
      <c r="D66" s="1147"/>
      <c r="E66" s="1147"/>
      <c r="F66" s="1148"/>
      <c r="G66" s="1148"/>
      <c r="H66" s="1148"/>
      <c r="I66" s="1148">
        <f>(I64+I65)*0.245</f>
        <v>27366.99934914408</v>
      </c>
    </row>
    <row r="67" spans="1:9" ht="14.1" customHeight="1">
      <c r="A67" s="1140"/>
      <c r="B67" s="1142"/>
      <c r="C67" s="1144" t="s">
        <v>2212</v>
      </c>
      <c r="D67" s="1147"/>
      <c r="E67" s="1147"/>
      <c r="F67" s="1148"/>
      <c r="G67" s="1148"/>
      <c r="H67" s="1148"/>
      <c r="I67" s="1148">
        <f>SUM(I64:I66)</f>
        <v>139069.03750891585</v>
      </c>
    </row>
    <row r="68" spans="1:9" ht="14.1" customHeight="1">
      <c r="C68" s="1199" t="s">
        <v>2279</v>
      </c>
      <c r="I68" s="1200">
        <f>I67/E61</f>
        <v>34767.259377228962</v>
      </c>
    </row>
  </sheetData>
  <mergeCells count="18">
    <mergeCell ref="A46:J46"/>
    <mergeCell ref="A47:J47"/>
    <mergeCell ref="J48:J50"/>
    <mergeCell ref="D49:D50"/>
    <mergeCell ref="E49:E50"/>
    <mergeCell ref="A3:J3"/>
    <mergeCell ref="K3:L4"/>
    <mergeCell ref="A4:J4"/>
    <mergeCell ref="O5:O7"/>
    <mergeCell ref="D6:D7"/>
    <mergeCell ref="E6:E7"/>
    <mergeCell ref="J6:J7"/>
    <mergeCell ref="A29:J29"/>
    <mergeCell ref="K29:L30"/>
    <mergeCell ref="A30:J30"/>
    <mergeCell ref="J31:J33"/>
    <mergeCell ref="D32:D33"/>
    <mergeCell ref="E32:E33"/>
  </mergeCells>
  <printOptions horizontalCentered="1"/>
  <pageMargins left="0.39370078740157483" right="0.39370078740157483" top="0.78740157480314965" bottom="0.59055118110236227" header="0.51181102362204722" footer="0.31496062992125984"/>
  <pageSetup paperSize="9" scale="75" firstPageNumber="9" orientation="landscape" r:id="rId1"/>
  <headerFooter alignWithMargins="0"/>
  <rowBreaks count="1" manualBreakCount="1">
    <brk id="25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8"/>
  <sheetViews>
    <sheetView showGridLines="0" showZeros="0" topLeftCell="A24" zoomScaleNormal="100" workbookViewId="0">
      <selection sqref="A1:J49"/>
    </sheetView>
  </sheetViews>
  <sheetFormatPr defaultRowHeight="15"/>
  <cols>
    <col min="1" max="1" width="2.7109375" style="1504" customWidth="1"/>
    <col min="2" max="2" width="9.140625" style="1504"/>
    <col min="3" max="3" width="63.5703125" style="1504" customWidth="1"/>
    <col min="4" max="4" width="17.7109375" style="1504" bestFit="1" customWidth="1"/>
    <col min="5" max="5" width="1.28515625" style="1505" customWidth="1"/>
    <col min="6" max="9" width="15.7109375" style="1504" customWidth="1"/>
    <col min="10" max="10" width="3" style="1504" customWidth="1"/>
    <col min="11" max="16384" width="9.140625" style="1504"/>
  </cols>
  <sheetData>
    <row r="1" spans="2:9">
      <c r="E1" s="1504"/>
    </row>
    <row r="2" spans="2:9">
      <c r="B2" s="1542" t="s">
        <v>32</v>
      </c>
      <c r="C2" s="1542" t="s">
        <v>2502</v>
      </c>
      <c r="D2" s="1542" t="s">
        <v>2501</v>
      </c>
      <c r="E2" s="1507"/>
      <c r="F2" s="1542" t="s">
        <v>2500</v>
      </c>
      <c r="G2" s="1542" t="s">
        <v>2499</v>
      </c>
      <c r="H2" s="1542" t="s">
        <v>2498</v>
      </c>
      <c r="I2" s="1542" t="s">
        <v>2497</v>
      </c>
    </row>
    <row r="3" spans="2:9" ht="6.75" customHeight="1">
      <c r="B3" s="1522"/>
      <c r="C3" s="1522"/>
      <c r="D3" s="1522"/>
      <c r="E3" s="1522"/>
      <c r="F3" s="1522"/>
      <c r="G3" s="1522"/>
      <c r="H3" s="1522"/>
      <c r="I3" s="1522"/>
    </row>
    <row r="4" spans="2:9" ht="19.5" customHeight="1">
      <c r="B4" s="1541">
        <v>1</v>
      </c>
      <c r="C4" s="1540" t="s">
        <v>117</v>
      </c>
      <c r="D4" s="1539">
        <f>Orçamento!$Q$45</f>
        <v>400173.28</v>
      </c>
      <c r="E4" s="1530"/>
      <c r="F4" s="1538">
        <f>F6*$D4</f>
        <v>400173.28</v>
      </c>
      <c r="G4" s="1538">
        <f>G6*$D4</f>
        <v>0</v>
      </c>
      <c r="H4" s="1538">
        <f>H6*$D4</f>
        <v>0</v>
      </c>
      <c r="I4" s="1538">
        <f>I6*$D4</f>
        <v>0</v>
      </c>
    </row>
    <row r="5" spans="2:9" ht="6.75" customHeight="1">
      <c r="B5" s="1537"/>
      <c r="C5" s="1536"/>
      <c r="D5" s="1535"/>
      <c r="E5" s="1530"/>
      <c r="F5" s="1534"/>
      <c r="G5" s="1534"/>
      <c r="H5" s="1534"/>
      <c r="I5" s="1534"/>
    </row>
    <row r="6" spans="2:9" ht="19.5" customHeight="1">
      <c r="B6" s="1533"/>
      <c r="C6" s="1532"/>
      <c r="D6" s="1531"/>
      <c r="E6" s="1530"/>
      <c r="F6" s="1529">
        <v>1</v>
      </c>
      <c r="G6" s="1529"/>
      <c r="H6" s="1529"/>
      <c r="I6" s="1529"/>
    </row>
    <row r="7" spans="2:9" ht="6.75" customHeight="1">
      <c r="E7" s="1504"/>
    </row>
    <row r="8" spans="2:9" ht="19.5" customHeight="1">
      <c r="B8" s="1541">
        <v>2</v>
      </c>
      <c r="C8" s="1540" t="s">
        <v>440</v>
      </c>
      <c r="D8" s="1539">
        <f>Orçamento!$Q$73</f>
        <v>195174.75</v>
      </c>
      <c r="E8" s="1530"/>
      <c r="F8" s="1538">
        <f>F10*$D8</f>
        <v>136622.32499999998</v>
      </c>
      <c r="G8" s="1538">
        <f>G10*$D8</f>
        <v>58552.424999999996</v>
      </c>
      <c r="H8" s="1538">
        <f>H10*$D8</f>
        <v>0</v>
      </c>
      <c r="I8" s="1538">
        <f>I10*$D8</f>
        <v>0</v>
      </c>
    </row>
    <row r="9" spans="2:9" ht="6.75" customHeight="1">
      <c r="B9" s="1537"/>
      <c r="C9" s="1536"/>
      <c r="D9" s="1535"/>
      <c r="E9" s="1530"/>
      <c r="F9" s="1534"/>
      <c r="G9" s="1534"/>
      <c r="H9" s="1534"/>
      <c r="I9" s="1534"/>
    </row>
    <row r="10" spans="2:9" ht="19.5" customHeight="1">
      <c r="B10" s="1533"/>
      <c r="C10" s="1532"/>
      <c r="D10" s="1531"/>
      <c r="E10" s="1530"/>
      <c r="F10" s="1529">
        <v>0.7</v>
      </c>
      <c r="G10" s="1529">
        <v>0.3</v>
      </c>
      <c r="H10" s="1529"/>
      <c r="I10" s="1529"/>
    </row>
    <row r="11" spans="2:9" ht="6.75" customHeight="1">
      <c r="E11" s="1504"/>
    </row>
    <row r="12" spans="2:9" ht="19.5" customHeight="1">
      <c r="B12" s="1541">
        <v>3</v>
      </c>
      <c r="C12" s="1540" t="s">
        <v>2496</v>
      </c>
      <c r="D12" s="1539">
        <f>Orçamento!$Q$77</f>
        <v>1673539.53</v>
      </c>
      <c r="E12" s="1530"/>
      <c r="F12" s="1538">
        <f>F14*$D12</f>
        <v>502061.859</v>
      </c>
      <c r="G12" s="1538">
        <f>G14*$D12</f>
        <v>669415.81200000003</v>
      </c>
      <c r="H12" s="1538">
        <f>H14*$D12</f>
        <v>502061.859</v>
      </c>
      <c r="I12" s="1538">
        <f>I14*$D12</f>
        <v>0</v>
      </c>
    </row>
    <row r="13" spans="2:9" ht="6.75" customHeight="1">
      <c r="B13" s="1537"/>
      <c r="C13" s="1536"/>
      <c r="D13" s="1535"/>
      <c r="E13" s="1530"/>
      <c r="F13" s="1534"/>
      <c r="G13" s="1534"/>
      <c r="H13" s="1534"/>
      <c r="I13" s="1534"/>
    </row>
    <row r="14" spans="2:9" ht="19.5" customHeight="1">
      <c r="B14" s="1533"/>
      <c r="C14" s="1532"/>
      <c r="D14" s="1531"/>
      <c r="E14" s="1530"/>
      <c r="F14" s="1529">
        <v>0.3</v>
      </c>
      <c r="G14" s="1529">
        <v>0.4</v>
      </c>
      <c r="H14" s="1529">
        <v>0.3</v>
      </c>
      <c r="I14" s="1529"/>
    </row>
    <row r="15" spans="2:9" ht="6.75" customHeight="1">
      <c r="E15" s="1504"/>
    </row>
    <row r="16" spans="2:9" ht="19.5" customHeight="1">
      <c r="B16" s="1541">
        <v>4</v>
      </c>
      <c r="C16" s="1540" t="s">
        <v>2495</v>
      </c>
      <c r="D16" s="1539">
        <f>Orçamento!$Q$96</f>
        <v>530176.68000000005</v>
      </c>
      <c r="E16" s="1530"/>
      <c r="F16" s="1538">
        <f>F18*$D16</f>
        <v>0</v>
      </c>
      <c r="G16" s="1538">
        <f>G18*$D16</f>
        <v>159053.00400000002</v>
      </c>
      <c r="H16" s="1538">
        <f>H18*$D16</f>
        <v>318106.00800000003</v>
      </c>
      <c r="I16" s="1538">
        <f>I18*$D16</f>
        <v>53017.668000000005</v>
      </c>
    </row>
    <row r="17" spans="2:9" ht="6.75" customHeight="1">
      <c r="B17" s="1537"/>
      <c r="C17" s="1536"/>
      <c r="D17" s="1535"/>
      <c r="E17" s="1530"/>
      <c r="F17" s="1534"/>
      <c r="G17" s="1534"/>
      <c r="H17" s="1534"/>
      <c r="I17" s="1534"/>
    </row>
    <row r="18" spans="2:9" ht="19.5" customHeight="1">
      <c r="B18" s="1533"/>
      <c r="C18" s="1532"/>
      <c r="D18" s="1531"/>
      <c r="E18" s="1530"/>
      <c r="F18" s="1529"/>
      <c r="G18" s="1529">
        <v>0.3</v>
      </c>
      <c r="H18" s="1529">
        <v>0.6</v>
      </c>
      <c r="I18" s="1529">
        <v>0.1</v>
      </c>
    </row>
    <row r="19" spans="2:9" ht="6.75" customHeight="1">
      <c r="E19" s="1504"/>
    </row>
    <row r="20" spans="2:9" ht="19.5" customHeight="1">
      <c r="B20" s="1541">
        <v>5</v>
      </c>
      <c r="C20" s="1540" t="s">
        <v>461</v>
      </c>
      <c r="D20" s="1539">
        <f>Orçamento!$Q$107</f>
        <v>568504.99</v>
      </c>
      <c r="E20" s="1530"/>
      <c r="F20" s="1538">
        <f>F22*$D20</f>
        <v>0</v>
      </c>
      <c r="G20" s="1538">
        <f>G22*$D20</f>
        <v>227401.99600000001</v>
      </c>
      <c r="H20" s="1538">
        <f>H22*$D20</f>
        <v>341102.99400000001</v>
      </c>
      <c r="I20" s="1538">
        <f>I22*$D20</f>
        <v>0</v>
      </c>
    </row>
    <row r="21" spans="2:9" ht="6.75" customHeight="1">
      <c r="B21" s="1537"/>
      <c r="C21" s="1536"/>
      <c r="D21" s="1535"/>
      <c r="E21" s="1530"/>
      <c r="F21" s="1534"/>
      <c r="G21" s="1534"/>
      <c r="H21" s="1534"/>
      <c r="I21" s="1534"/>
    </row>
    <row r="22" spans="2:9" ht="19.5" customHeight="1">
      <c r="B22" s="1533"/>
      <c r="C22" s="1532"/>
      <c r="D22" s="1531"/>
      <c r="E22" s="1530"/>
      <c r="F22" s="1529"/>
      <c r="G22" s="1529">
        <v>0.4</v>
      </c>
      <c r="H22" s="1529">
        <v>0.6</v>
      </c>
      <c r="I22" s="1529"/>
    </row>
    <row r="23" spans="2:9" ht="6.75" customHeight="1">
      <c r="E23" s="1504"/>
    </row>
    <row r="24" spans="2:9" ht="19.5" customHeight="1">
      <c r="B24" s="1541">
        <v>6</v>
      </c>
      <c r="C24" s="1540" t="s">
        <v>2494</v>
      </c>
      <c r="D24" s="1539">
        <f>Orçamento!$Q$118</f>
        <v>79755.61</v>
      </c>
      <c r="E24" s="1530"/>
      <c r="F24" s="1538">
        <f>F26*$D24</f>
        <v>0</v>
      </c>
      <c r="G24" s="1538">
        <f>G26*$D24</f>
        <v>0</v>
      </c>
      <c r="H24" s="1538">
        <f>H26*$D24</f>
        <v>47853.366000000002</v>
      </c>
      <c r="I24" s="1538">
        <f>I26*$D24</f>
        <v>31902.244000000002</v>
      </c>
    </row>
    <row r="25" spans="2:9" ht="6.75" customHeight="1">
      <c r="B25" s="1537"/>
      <c r="C25" s="1536"/>
      <c r="D25" s="1535"/>
      <c r="E25" s="1530"/>
      <c r="F25" s="1534"/>
      <c r="G25" s="1534"/>
      <c r="H25" s="1534"/>
      <c r="I25" s="1534"/>
    </row>
    <row r="26" spans="2:9" ht="19.5" customHeight="1">
      <c r="B26" s="1533"/>
      <c r="C26" s="1532"/>
      <c r="D26" s="1531"/>
      <c r="E26" s="1530"/>
      <c r="F26" s="1529"/>
      <c r="G26" s="1529"/>
      <c r="H26" s="1529">
        <v>0.6</v>
      </c>
      <c r="I26" s="1529">
        <v>0.4</v>
      </c>
    </row>
    <row r="27" spans="2:9" ht="6.75" customHeight="1">
      <c r="E27" s="1504"/>
    </row>
    <row r="28" spans="2:9" ht="19.5" customHeight="1">
      <c r="B28" s="1541">
        <v>7</v>
      </c>
      <c r="C28" s="1540" t="s">
        <v>883</v>
      </c>
      <c r="D28" s="1539">
        <f>Orçamento!$Q$129</f>
        <v>692810.71</v>
      </c>
      <c r="E28" s="1530"/>
      <c r="F28" s="1538">
        <f>F30*$D28</f>
        <v>0</v>
      </c>
      <c r="G28" s="1538">
        <f>G30*$D28</f>
        <v>0</v>
      </c>
      <c r="H28" s="1538">
        <f>H30*$D28</f>
        <v>415686.42599999998</v>
      </c>
      <c r="I28" s="1538">
        <f>I30*$D28</f>
        <v>277124.28399999999</v>
      </c>
    </row>
    <row r="29" spans="2:9" ht="6.75" customHeight="1">
      <c r="B29" s="1537"/>
      <c r="C29" s="1536"/>
      <c r="D29" s="1535"/>
      <c r="E29" s="1530"/>
      <c r="F29" s="1534"/>
      <c r="G29" s="1534"/>
      <c r="H29" s="1534"/>
      <c r="I29" s="1534"/>
    </row>
    <row r="30" spans="2:9" ht="19.5" customHeight="1">
      <c r="B30" s="1533"/>
      <c r="C30" s="1532"/>
      <c r="D30" s="1531"/>
      <c r="E30" s="1530"/>
      <c r="F30" s="1529"/>
      <c r="G30" s="1529"/>
      <c r="H30" s="1529">
        <v>0.6</v>
      </c>
      <c r="I30" s="1529">
        <v>0.4</v>
      </c>
    </row>
    <row r="31" spans="2:9" ht="6.75" customHeight="1">
      <c r="E31" s="1504"/>
    </row>
    <row r="32" spans="2:9" ht="19.5" customHeight="1">
      <c r="B32" s="1541">
        <v>8</v>
      </c>
      <c r="C32" s="1540" t="s">
        <v>472</v>
      </c>
      <c r="D32" s="1539">
        <f>Orçamento!$Q$281</f>
        <v>679620.28</v>
      </c>
      <c r="E32" s="1530"/>
      <c r="F32" s="1538">
        <f>F34*$D32</f>
        <v>67962.028000000006</v>
      </c>
      <c r="G32" s="1538">
        <f>G34*$D32</f>
        <v>237867.098</v>
      </c>
      <c r="H32" s="1538">
        <f>H34*$D32</f>
        <v>305829.12600000005</v>
      </c>
      <c r="I32" s="1538">
        <f>I34*$D32</f>
        <v>67962.028000000006</v>
      </c>
    </row>
    <row r="33" spans="2:9" ht="6.75" customHeight="1">
      <c r="B33" s="1537"/>
      <c r="C33" s="1536"/>
      <c r="D33" s="1535"/>
      <c r="E33" s="1530"/>
      <c r="F33" s="1534"/>
      <c r="G33" s="1534"/>
      <c r="H33" s="1534"/>
      <c r="I33" s="1534"/>
    </row>
    <row r="34" spans="2:9" ht="19.5" customHeight="1">
      <c r="B34" s="1533"/>
      <c r="C34" s="1532"/>
      <c r="D34" s="1531"/>
      <c r="E34" s="1530"/>
      <c r="F34" s="1529">
        <v>0.1</v>
      </c>
      <c r="G34" s="1529">
        <v>0.35</v>
      </c>
      <c r="H34" s="1529">
        <v>0.45</v>
      </c>
      <c r="I34" s="1529">
        <v>0.1</v>
      </c>
    </row>
    <row r="35" spans="2:9" ht="6.75" customHeight="1">
      <c r="E35" s="1504"/>
    </row>
    <row r="36" spans="2:9" ht="19.5" customHeight="1">
      <c r="B36" s="1541">
        <v>9</v>
      </c>
      <c r="C36" s="1540" t="s">
        <v>536</v>
      </c>
      <c r="D36" s="1539">
        <f>Orçamento!$Q$361</f>
        <v>242512.01000000004</v>
      </c>
      <c r="E36" s="1530"/>
      <c r="F36" s="1538">
        <f>F38*$D36</f>
        <v>0</v>
      </c>
      <c r="G36" s="1538">
        <f>G38*$D36</f>
        <v>0</v>
      </c>
      <c r="H36" s="1538">
        <f>H38*$D36</f>
        <v>72753.603000000003</v>
      </c>
      <c r="I36" s="1538">
        <f>I38*$D36</f>
        <v>169758.40700000001</v>
      </c>
    </row>
    <row r="37" spans="2:9" ht="6.75" customHeight="1">
      <c r="B37" s="1537"/>
      <c r="C37" s="1536"/>
      <c r="D37" s="1535"/>
      <c r="E37" s="1530"/>
      <c r="F37" s="1534"/>
      <c r="G37" s="1534"/>
      <c r="H37" s="1534"/>
      <c r="I37" s="1534"/>
    </row>
    <row r="38" spans="2:9" ht="19.5" customHeight="1">
      <c r="B38" s="1533"/>
      <c r="C38" s="1532"/>
      <c r="D38" s="1531"/>
      <c r="E38" s="1530"/>
      <c r="F38" s="1529"/>
      <c r="G38" s="1529"/>
      <c r="H38" s="1529">
        <v>0.3</v>
      </c>
      <c r="I38" s="1529">
        <v>0.7</v>
      </c>
    </row>
    <row r="39" spans="2:9" ht="6.75" customHeight="1">
      <c r="E39" s="1504"/>
    </row>
    <row r="40" spans="2:9">
      <c r="B40" s="1528" t="s">
        <v>77</v>
      </c>
      <c r="C40" s="1527"/>
      <c r="D40" s="1526">
        <f>SUM(D4:D38)</f>
        <v>5062267.84</v>
      </c>
      <c r="F40" s="1525">
        <f>SUM(F4,F8,F12,F16,F20,F24,F28,F32,F36)</f>
        <v>1106819.4919999999</v>
      </c>
      <c r="G40" s="1525">
        <f>SUM(G4,G8,G12,G16,G20,G24,G28,G32,G36)</f>
        <v>1352290.3350000002</v>
      </c>
      <c r="H40" s="1525">
        <f>SUM(H4,H8,H12,H16,H20,H24,H28,H32,H36)</f>
        <v>2003393.3820000002</v>
      </c>
      <c r="I40" s="1525">
        <f>SUM(I4,I8,I12,I16,I20,I24,I28,I32,I36)</f>
        <v>599764.63100000005</v>
      </c>
    </row>
    <row r="41" spans="2:9" ht="6.75" customHeight="1">
      <c r="B41" s="1523"/>
      <c r="C41" s="1522"/>
      <c r="D41" s="1521"/>
      <c r="E41" s="1520"/>
      <c r="F41" s="1519"/>
      <c r="G41" s="1519"/>
      <c r="H41" s="1519"/>
      <c r="I41" s="1519"/>
    </row>
    <row r="42" spans="2:9" ht="19.5" customHeight="1">
      <c r="B42" s="1518" t="s">
        <v>2493</v>
      </c>
      <c r="C42" s="1517"/>
      <c r="D42" s="1516"/>
      <c r="E42" s="1507"/>
      <c r="F42" s="1515">
        <f>F40</f>
        <v>1106819.4919999999</v>
      </c>
      <c r="G42" s="1515">
        <f>G40</f>
        <v>1352290.3350000002</v>
      </c>
      <c r="H42" s="1515">
        <f>H40</f>
        <v>2003393.3820000002</v>
      </c>
      <c r="I42" s="1515">
        <f>I40</f>
        <v>599764.63100000005</v>
      </c>
    </row>
    <row r="43" spans="2:9" ht="6.75" customHeight="1">
      <c r="B43" s="1514"/>
      <c r="C43" s="1513"/>
      <c r="D43" s="1512"/>
      <c r="E43" s="1507"/>
      <c r="F43" s="1524"/>
      <c r="G43" s="1524"/>
      <c r="H43" s="1524"/>
      <c r="I43" s="1524"/>
    </row>
    <row r="44" spans="2:9" ht="19.5" customHeight="1">
      <c r="B44" s="1510"/>
      <c r="C44" s="1509"/>
      <c r="D44" s="1508"/>
      <c r="E44" s="1507"/>
      <c r="F44" s="1506">
        <f>F42/$D$40</f>
        <v>0.21864103737347881</v>
      </c>
      <c r="G44" s="1506">
        <f>G42/$D$40</f>
        <v>0.26713132883146701</v>
      </c>
      <c r="H44" s="1506">
        <f>H42/$D$40</f>
        <v>0.39575017468850487</v>
      </c>
      <c r="I44" s="1506">
        <f>I42/$D$40</f>
        <v>0.11847745910654939</v>
      </c>
    </row>
    <row r="45" spans="2:9" ht="6.75" customHeight="1">
      <c r="B45" s="1523"/>
      <c r="C45" s="1522"/>
      <c r="D45" s="1521"/>
      <c r="E45" s="1520"/>
      <c r="F45" s="1519"/>
      <c r="G45" s="1519"/>
      <c r="H45" s="1519"/>
      <c r="I45" s="1519"/>
    </row>
    <row r="46" spans="2:9" ht="19.5" customHeight="1">
      <c r="B46" s="1518" t="s">
        <v>2492</v>
      </c>
      <c r="C46" s="1517"/>
      <c r="D46" s="1516"/>
      <c r="E46" s="1507"/>
      <c r="F46" s="1515">
        <f>F42</f>
        <v>1106819.4919999999</v>
      </c>
      <c r="G46" s="1515">
        <f>F46+G42</f>
        <v>2459109.827</v>
      </c>
      <c r="H46" s="1515">
        <f>G46+H42</f>
        <v>4462503.2090000007</v>
      </c>
      <c r="I46" s="1515">
        <f>H46+I42</f>
        <v>5062267.8400000008</v>
      </c>
    </row>
    <row r="47" spans="2:9" ht="6.75" customHeight="1">
      <c r="B47" s="1514"/>
      <c r="C47" s="1513"/>
      <c r="D47" s="1512"/>
      <c r="E47" s="1507"/>
      <c r="F47" s="1511"/>
      <c r="G47" s="1511"/>
      <c r="H47" s="1511"/>
      <c r="I47" s="1511"/>
    </row>
    <row r="48" spans="2:9" ht="19.5" customHeight="1">
      <c r="B48" s="1510"/>
      <c r="C48" s="1509"/>
      <c r="D48" s="1508"/>
      <c r="E48" s="1507"/>
      <c r="F48" s="1506">
        <f>F44</f>
        <v>0.21864103737347881</v>
      </c>
      <c r="G48" s="1506">
        <f>F48+G44</f>
        <v>0.48577236620494579</v>
      </c>
      <c r="H48" s="1506">
        <f>G48+H44</f>
        <v>0.88152254089345061</v>
      </c>
      <c r="I48" s="1506">
        <f>H48+I44</f>
        <v>1</v>
      </c>
    </row>
  </sheetData>
  <mergeCells count="30">
    <mergeCell ref="B12:B14"/>
    <mergeCell ref="C12:C14"/>
    <mergeCell ref="D12:D14"/>
    <mergeCell ref="C16:C18"/>
    <mergeCell ref="D16:D18"/>
    <mergeCell ref="B20:B22"/>
    <mergeCell ref="C20:C22"/>
    <mergeCell ref="D4:D6"/>
    <mergeCell ref="C4:C6"/>
    <mergeCell ref="B4:B6"/>
    <mergeCell ref="B8:B10"/>
    <mergeCell ref="C8:C10"/>
    <mergeCell ref="D8:D10"/>
    <mergeCell ref="D20:D22"/>
    <mergeCell ref="B16:B18"/>
    <mergeCell ref="B24:B26"/>
    <mergeCell ref="C24:C26"/>
    <mergeCell ref="D24:D26"/>
    <mergeCell ref="B46:D48"/>
    <mergeCell ref="B40:C40"/>
    <mergeCell ref="B42:D44"/>
    <mergeCell ref="B36:B38"/>
    <mergeCell ref="C36:C38"/>
    <mergeCell ref="D36:D38"/>
    <mergeCell ref="B28:B30"/>
    <mergeCell ref="C28:C30"/>
    <mergeCell ref="D28:D30"/>
    <mergeCell ref="B32:B34"/>
    <mergeCell ref="C32:C34"/>
    <mergeCell ref="D32:D34"/>
  </mergeCells>
  <conditionalFormatting sqref="F43:I43 F47:I47">
    <cfRule type="expression" dxfId="9" priority="10">
      <formula>F44&gt;0</formula>
    </cfRule>
  </conditionalFormatting>
  <conditionalFormatting sqref="F5:I5">
    <cfRule type="expression" dxfId="8" priority="9">
      <formula>F6&gt;0</formula>
    </cfRule>
  </conditionalFormatting>
  <conditionalFormatting sqref="F13:I13">
    <cfRule type="expression" dxfId="7" priority="8">
      <formula>F14&gt;0</formula>
    </cfRule>
  </conditionalFormatting>
  <conditionalFormatting sqref="F17:I17">
    <cfRule type="expression" dxfId="6" priority="7">
      <formula>F18&gt;0</formula>
    </cfRule>
  </conditionalFormatting>
  <conditionalFormatting sqref="F37:I37">
    <cfRule type="expression" dxfId="5" priority="4">
      <formula>F38&gt;0</formula>
    </cfRule>
  </conditionalFormatting>
  <conditionalFormatting sqref="F21:I21">
    <cfRule type="expression" dxfId="4" priority="6">
      <formula>F22&gt;0</formula>
    </cfRule>
  </conditionalFormatting>
  <conditionalFormatting sqref="F25:I25">
    <cfRule type="expression" dxfId="3" priority="5">
      <formula>F26&gt;0</formula>
    </cfRule>
  </conditionalFormatting>
  <conditionalFormatting sqref="F9:I9">
    <cfRule type="expression" dxfId="2" priority="3">
      <formula>F10&gt;0</formula>
    </cfRule>
  </conditionalFormatting>
  <conditionalFormatting sqref="F29:I29">
    <cfRule type="expression" dxfId="1" priority="2">
      <formula>F30&gt;0</formula>
    </cfRule>
  </conditionalFormatting>
  <conditionalFormatting sqref="F33:I33">
    <cfRule type="expression" dxfId="0" priority="1">
      <formula>F34&gt;0</formula>
    </cfRule>
  </conditionalFormatting>
  <pageMargins left="0.23622047244094491" right="0.19685039370078741" top="0.43307086614173229" bottom="0.43307086614173229" header="0.19685039370078741" footer="0.15748031496062992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6</vt:i4>
      </vt:variant>
    </vt:vector>
  </HeadingPairs>
  <TitlesOfParts>
    <vt:vector size="13" baseType="lpstr">
      <vt:lpstr>res</vt:lpstr>
      <vt:lpstr>Orçamento</vt:lpstr>
      <vt:lpstr>COMPOSIÇÕES</vt:lpstr>
      <vt:lpstr>COMP AUX</vt:lpstr>
      <vt:lpstr>memoria</vt:lpstr>
      <vt:lpstr>Administração da Obra</vt:lpstr>
      <vt:lpstr>Cronograma</vt:lpstr>
      <vt:lpstr>'Administração da Obra'!Area_de_impressao</vt:lpstr>
      <vt:lpstr>'COMP AUX'!Area_de_impressao</vt:lpstr>
      <vt:lpstr>COMPOSIÇÕES!Area_de_impressao</vt:lpstr>
      <vt:lpstr>Orçamento!Area_de_impressao</vt:lpstr>
      <vt:lpstr>res!Area_de_impressao</vt:lpstr>
      <vt:lpstr>Orçamento!Titulos_de_impressao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Rangel</dc:creator>
  <cp:lastModifiedBy>JacobsGuimar</cp:lastModifiedBy>
  <cp:lastPrinted>2018-11-21T20:01:53Z</cp:lastPrinted>
  <dcterms:created xsi:type="dcterms:W3CDTF">2013-08-05T14:14:34Z</dcterms:created>
  <dcterms:modified xsi:type="dcterms:W3CDTF">2018-11-22T21:50:59Z</dcterms:modified>
</cp:coreProperties>
</file>